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P:\Housing Development Share\Projects\02PotentialProjects\Long Beach\3590 Elm - HQ Housing Option\Financing\CDLAC App\"/>
    </mc:Choice>
  </mc:AlternateContent>
  <xr:revisionPtr revIDLastSave="0" documentId="8_{41A75B30-0A9D-4446-9D16-E3988B5220C5}" xr6:coauthVersionLast="47" xr6:coauthVersionMax="47" xr10:uidLastSave="{00000000-0000-0000-0000-000000000000}"/>
  <bookViews>
    <workbookView xWindow="-120" yWindow="-120" windowWidth="29040" windowHeight="17520" tabRatio="889"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iterate="1"/>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457" i="3" l="1"/>
  <c r="AG455" i="3"/>
  <c r="AG451" i="3"/>
  <c r="AG452" i="3" s="1"/>
  <c r="AA928" i="3"/>
  <c r="AA927" i="3"/>
  <c r="C93" i="4"/>
  <c r="S49" i="4"/>
  <c r="C94" i="4"/>
  <c r="C88" i="4"/>
  <c r="C95" i="4"/>
  <c r="C75" i="4"/>
  <c r="AC895" i="3" s="1"/>
  <c r="S95" i="4"/>
  <c r="AB50" i="15" l="1"/>
  <c r="AO640" i="3"/>
  <c r="AM568" i="3" s="1"/>
  <c r="C45" i="4"/>
  <c r="AM571" i="3"/>
  <c r="S80" i="4"/>
  <c r="S79" i="4"/>
  <c r="S30" i="4"/>
  <c r="S31" i="4"/>
  <c r="S32" i="4"/>
  <c r="S33" i="4"/>
  <c r="S35" i="4"/>
  <c r="S36" i="4"/>
  <c r="S37" i="4"/>
  <c r="S29" i="4"/>
  <c r="S65" i="4"/>
  <c r="C65" i="4"/>
  <c r="S50" i="4"/>
  <c r="C43" i="4"/>
  <c r="C49" i="4"/>
  <c r="S43" i="4"/>
  <c r="S40" i="4"/>
  <c r="S53" i="4"/>
  <c r="C53" i="4"/>
  <c r="S86" i="4"/>
  <c r="S85" i="4"/>
  <c r="S99" i="4"/>
  <c r="S45" i="4"/>
  <c r="AO639" i="3"/>
  <c r="AM567" i="3"/>
  <c r="C104" i="11" l="1"/>
  <c r="B104" i="11"/>
  <c r="A104" i="11"/>
  <c r="C103" i="11"/>
  <c r="B103" i="11"/>
  <c r="C102" i="11"/>
  <c r="B102" i="11"/>
  <c r="C101" i="11"/>
  <c r="B101" i="11"/>
  <c r="C100" i="11"/>
  <c r="B100" i="11"/>
  <c r="C96" i="11"/>
  <c r="B96" i="11"/>
  <c r="C95" i="11"/>
  <c r="B95" i="11"/>
  <c r="C94" i="11"/>
  <c r="B94" i="11"/>
  <c r="C93" i="11"/>
  <c r="B93" i="11"/>
  <c r="C92" i="11"/>
  <c r="B92" i="11"/>
  <c r="C91" i="11"/>
  <c r="B91" i="11"/>
  <c r="C90" i="11"/>
  <c r="B90" i="11"/>
  <c r="C89" i="11"/>
  <c r="B89" i="11"/>
  <c r="C88" i="11"/>
  <c r="B88" i="11"/>
  <c r="C87" i="11"/>
  <c r="B87" i="11"/>
  <c r="C86" i="11"/>
  <c r="B86" i="11"/>
  <c r="C85" i="11"/>
  <c r="B85" i="11"/>
  <c r="C84" i="11"/>
  <c r="B84" i="11"/>
  <c r="C81" i="11"/>
  <c r="B81" i="11"/>
  <c r="C80" i="11"/>
  <c r="B80" i="11"/>
  <c r="C77" i="11"/>
  <c r="B77" i="11"/>
  <c r="C76" i="11"/>
  <c r="B76" i="11"/>
  <c r="C75" i="11"/>
  <c r="B75" i="11"/>
  <c r="C74" i="11"/>
  <c r="B74" i="11"/>
  <c r="C73" i="11"/>
  <c r="B73" i="11"/>
  <c r="C70" i="11"/>
  <c r="B70" i="11"/>
  <c r="A70" i="11"/>
  <c r="C69" i="11"/>
  <c r="B69" i="11"/>
  <c r="C68" i="11"/>
  <c r="B68" i="11"/>
  <c r="C67" i="11"/>
  <c r="B67" i="11"/>
  <c r="C66" i="11"/>
  <c r="B66" i="11"/>
  <c r="C62" i="11"/>
  <c r="B62" i="11"/>
  <c r="A62" i="11"/>
  <c r="C61" i="11"/>
  <c r="B61" i="11"/>
  <c r="C60" i="11"/>
  <c r="B60" i="11"/>
  <c r="C59" i="11"/>
  <c r="B59" i="11"/>
  <c r="C58" i="11"/>
  <c r="B58" i="11"/>
  <c r="C57" i="11"/>
  <c r="B57" i="11"/>
  <c r="C54" i="11"/>
  <c r="B54" i="11"/>
  <c r="A54" i="11"/>
  <c r="C53" i="11"/>
  <c r="B53" i="11"/>
  <c r="C52" i="11"/>
  <c r="B52" i="11"/>
  <c r="C51" i="11"/>
  <c r="B51" i="11"/>
  <c r="C50" i="11"/>
  <c r="B50" i="11"/>
  <c r="C49" i="11"/>
  <c r="B49" i="11"/>
  <c r="C48" i="11"/>
  <c r="B48" i="11"/>
  <c r="C47" i="11"/>
  <c r="B47" i="11"/>
  <c r="C46" i="11"/>
  <c r="B46" i="11"/>
  <c r="C44" i="11"/>
  <c r="B44" i="11"/>
  <c r="C42" i="11"/>
  <c r="B42" i="11"/>
  <c r="C41" i="11"/>
  <c r="B41" i="11"/>
  <c r="C38" i="11"/>
  <c r="B38" i="11"/>
  <c r="A38" i="11"/>
  <c r="C37" i="11"/>
  <c r="B37" i="11"/>
  <c r="C36" i="11"/>
  <c r="B36" i="11"/>
  <c r="C35" i="11"/>
  <c r="B35" i="11"/>
  <c r="C34" i="11"/>
  <c r="B34" i="11"/>
  <c r="C33" i="11"/>
  <c r="B33" i="11"/>
  <c r="C32" i="11"/>
  <c r="B32" i="11"/>
  <c r="C31" i="11"/>
  <c r="B31" i="11"/>
  <c r="C30" i="11"/>
  <c r="B30" i="11"/>
  <c r="C28" i="11"/>
  <c r="B28" i="11"/>
  <c r="C26" i="11"/>
  <c r="B26" i="11"/>
  <c r="A26" i="11"/>
  <c r="C25" i="11"/>
  <c r="B25" i="11"/>
  <c r="C24" i="11"/>
  <c r="B24" i="11"/>
  <c r="C23" i="11"/>
  <c r="B23" i="11"/>
  <c r="C22" i="11"/>
  <c r="B22" i="11"/>
  <c r="C21" i="11"/>
  <c r="B21" i="11"/>
  <c r="C20" i="11"/>
  <c r="B20" i="11"/>
  <c r="C19" i="11"/>
  <c r="B19" i="11"/>
  <c r="C18" i="11"/>
  <c r="B18" i="11"/>
  <c r="C16" i="11"/>
  <c r="B16" i="11"/>
  <c r="C15" i="11"/>
  <c r="B15" i="11"/>
  <c r="C14" i="11"/>
  <c r="B14" i="11"/>
  <c r="C11" i="11"/>
  <c r="B11" i="11"/>
  <c r="C10" i="11"/>
  <c r="B10" i="11"/>
  <c r="C8" i="11"/>
  <c r="B8" i="11"/>
  <c r="C7" i="11"/>
  <c r="B7" i="11"/>
  <c r="C6" i="11"/>
  <c r="B6" i="11"/>
  <c r="C5" i="11"/>
  <c r="B5" i="11"/>
  <c r="G69" i="7"/>
  <c r="I69" i="7" s="1"/>
  <c r="K69" i="7" s="1"/>
  <c r="M69" i="7" s="1"/>
  <c r="O69" i="7" s="1"/>
  <c r="Q69" i="7" s="1"/>
  <c r="S69" i="7" s="1"/>
  <c r="U69" i="7" s="1"/>
  <c r="W69" i="7" s="1"/>
  <c r="Y69" i="7" s="1"/>
  <c r="AA69" i="7" s="1"/>
  <c r="AC69" i="7" s="1"/>
  <c r="AE69" i="7" s="1"/>
  <c r="AG69" i="7" s="1"/>
  <c r="G68" i="7"/>
  <c r="I68" i="7" s="1"/>
  <c r="K68" i="7" s="1"/>
  <c r="M68" i="7" s="1"/>
  <c r="O68" i="7" s="1"/>
  <c r="Q68" i="7" s="1"/>
  <c r="S68" i="7" s="1"/>
  <c r="U68" i="7" s="1"/>
  <c r="W68" i="7" s="1"/>
  <c r="Y68" i="7" s="1"/>
  <c r="AA68" i="7" s="1"/>
  <c r="AC68" i="7" s="1"/>
  <c r="AE68" i="7" s="1"/>
  <c r="AG68" i="7" s="1"/>
  <c r="E58" i="7"/>
  <c r="G57" i="7"/>
  <c r="I57" i="7" s="1"/>
  <c r="K57" i="7" s="1"/>
  <c r="M57" i="7" s="1"/>
  <c r="O57" i="7" s="1"/>
  <c r="Q57" i="7" s="1"/>
  <c r="S57" i="7" s="1"/>
  <c r="U57" i="7" s="1"/>
  <c r="W57" i="7" s="1"/>
  <c r="Y57" i="7" s="1"/>
  <c r="AA57" i="7" s="1"/>
  <c r="AC57" i="7" s="1"/>
  <c r="AE57" i="7" s="1"/>
  <c r="AG57" i="7" s="1"/>
  <c r="G56" i="7"/>
  <c r="I56" i="7" s="1"/>
  <c r="K56" i="7" s="1"/>
  <c r="M56" i="7" s="1"/>
  <c r="O56" i="7" s="1"/>
  <c r="Q56" i="7" s="1"/>
  <c r="S56" i="7" s="1"/>
  <c r="U56" i="7" s="1"/>
  <c r="W56" i="7" s="1"/>
  <c r="Y56" i="7" s="1"/>
  <c r="AA56" i="7" s="1"/>
  <c r="AC56" i="7" s="1"/>
  <c r="AE56" i="7" s="1"/>
  <c r="AG56" i="7" s="1"/>
  <c r="G55" i="7"/>
  <c r="I55" i="7" s="1"/>
  <c r="K55" i="7" s="1"/>
  <c r="M55" i="7" s="1"/>
  <c r="O55" i="7" s="1"/>
  <c r="Q55" i="7" s="1"/>
  <c r="S55" i="7" s="1"/>
  <c r="U55" i="7" s="1"/>
  <c r="W55" i="7" s="1"/>
  <c r="Y55" i="7" s="1"/>
  <c r="AA55" i="7" s="1"/>
  <c r="AC55" i="7" s="1"/>
  <c r="AE55" i="7" s="1"/>
  <c r="AG55" i="7" s="1"/>
  <c r="G54" i="7"/>
  <c r="I54" i="7" s="1"/>
  <c r="K54" i="7" s="1"/>
  <c r="M54" i="7" s="1"/>
  <c r="O54" i="7" s="1"/>
  <c r="Q54" i="7" s="1"/>
  <c r="S54" i="7" s="1"/>
  <c r="U54" i="7" s="1"/>
  <c r="W54" i="7" s="1"/>
  <c r="Y54" i="7" s="1"/>
  <c r="AA54" i="7" s="1"/>
  <c r="AC54" i="7" s="1"/>
  <c r="AE54" i="7" s="1"/>
  <c r="AG54" i="7" s="1"/>
  <c r="G53" i="7"/>
  <c r="AG42" i="7"/>
  <c r="AE42" i="7"/>
  <c r="AC42" i="7"/>
  <c r="AA42" i="7"/>
  <c r="Y42" i="7"/>
  <c r="W42" i="7"/>
  <c r="U42" i="7"/>
  <c r="S42" i="7"/>
  <c r="Q42" i="7"/>
  <c r="O42" i="7"/>
  <c r="M42" i="7"/>
  <c r="K42" i="7"/>
  <c r="I42" i="7"/>
  <c r="G42" i="7"/>
  <c r="AG41" i="7"/>
  <c r="AE41" i="7"/>
  <c r="AC41" i="7"/>
  <c r="AA41" i="7"/>
  <c r="Y41" i="7"/>
  <c r="W41" i="7"/>
  <c r="U41" i="7"/>
  <c r="S41" i="7"/>
  <c r="Q41" i="7"/>
  <c r="O41" i="7"/>
  <c r="M41" i="7"/>
  <c r="K41" i="7"/>
  <c r="I41" i="7"/>
  <c r="G41" i="7"/>
  <c r="E40" i="7"/>
  <c r="U40" i="7" s="1"/>
  <c r="A40" i="7"/>
  <c r="E33" i="7"/>
  <c r="G33" i="7" s="1"/>
  <c r="I33" i="7" s="1"/>
  <c r="K33" i="7" s="1"/>
  <c r="M33" i="7" s="1"/>
  <c r="O33" i="7" s="1"/>
  <c r="Q33" i="7" s="1"/>
  <c r="S33" i="7" s="1"/>
  <c r="U33" i="7" s="1"/>
  <c r="W33" i="7" s="1"/>
  <c r="Y33" i="7" s="1"/>
  <c r="AA33" i="7" s="1"/>
  <c r="AC33" i="7" s="1"/>
  <c r="AE33" i="7" s="1"/>
  <c r="AG33" i="7" s="1"/>
  <c r="A33" i="7"/>
  <c r="E32" i="7"/>
  <c r="G32" i="7" s="1"/>
  <c r="I32" i="7" s="1"/>
  <c r="K32" i="7" s="1"/>
  <c r="M32" i="7" s="1"/>
  <c r="O32" i="7" s="1"/>
  <c r="Q32" i="7" s="1"/>
  <c r="S32" i="7" s="1"/>
  <c r="U32" i="7" s="1"/>
  <c r="W32" i="7" s="1"/>
  <c r="Y32" i="7" s="1"/>
  <c r="AA32" i="7" s="1"/>
  <c r="AC32" i="7" s="1"/>
  <c r="AE32" i="7" s="1"/>
  <c r="AG32" i="7" s="1"/>
  <c r="A32" i="7"/>
  <c r="E31" i="7"/>
  <c r="G31" i="7" s="1"/>
  <c r="I31" i="7" s="1"/>
  <c r="K31" i="7" s="1"/>
  <c r="M31" i="7" s="1"/>
  <c r="O31" i="7" s="1"/>
  <c r="Q31" i="7" s="1"/>
  <c r="S31" i="7" s="1"/>
  <c r="U31" i="7" s="1"/>
  <c r="W31" i="7" s="1"/>
  <c r="Y31" i="7" s="1"/>
  <c r="AA31" i="7" s="1"/>
  <c r="AC31" i="7" s="1"/>
  <c r="AE31" i="7" s="1"/>
  <c r="AG31" i="7" s="1"/>
  <c r="E30" i="7"/>
  <c r="G30" i="7" s="1"/>
  <c r="I30" i="7" s="1"/>
  <c r="K30" i="7" s="1"/>
  <c r="M30" i="7" s="1"/>
  <c r="O30" i="7" s="1"/>
  <c r="Q30" i="7" s="1"/>
  <c r="S30" i="7" s="1"/>
  <c r="U30" i="7" s="1"/>
  <c r="W30" i="7" s="1"/>
  <c r="Y30" i="7" s="1"/>
  <c r="AA30" i="7" s="1"/>
  <c r="AC30" i="7" s="1"/>
  <c r="AE30" i="7" s="1"/>
  <c r="AG30" i="7" s="1"/>
  <c r="E29" i="7"/>
  <c r="E28" i="7"/>
  <c r="E27" i="7"/>
  <c r="G27" i="7" s="1"/>
  <c r="I27" i="7" s="1"/>
  <c r="K27" i="7" s="1"/>
  <c r="M27" i="7" s="1"/>
  <c r="O27" i="7" s="1"/>
  <c r="Q27" i="7" s="1"/>
  <c r="S27" i="7" s="1"/>
  <c r="U27" i="7" s="1"/>
  <c r="W27" i="7" s="1"/>
  <c r="Y27" i="7" s="1"/>
  <c r="AA27" i="7" s="1"/>
  <c r="AC27" i="7" s="1"/>
  <c r="AE27" i="7" s="1"/>
  <c r="AG27" i="7" s="1"/>
  <c r="E26" i="7"/>
  <c r="G26" i="7" s="1"/>
  <c r="I26" i="7" s="1"/>
  <c r="K26" i="7" s="1"/>
  <c r="M26" i="7" s="1"/>
  <c r="O26" i="7" s="1"/>
  <c r="Q26" i="7" s="1"/>
  <c r="S26" i="7" s="1"/>
  <c r="U26" i="7" s="1"/>
  <c r="W26" i="7" s="1"/>
  <c r="Y26" i="7" s="1"/>
  <c r="AA26" i="7" s="1"/>
  <c r="AC26" i="7" s="1"/>
  <c r="AE26" i="7" s="1"/>
  <c r="AG26" i="7" s="1"/>
  <c r="G24" i="7"/>
  <c r="I24" i="7" s="1"/>
  <c r="K24" i="7" s="1"/>
  <c r="M24" i="7" s="1"/>
  <c r="O24" i="7" s="1"/>
  <c r="Q24" i="7" s="1"/>
  <c r="S24" i="7" s="1"/>
  <c r="U24" i="7" s="1"/>
  <c r="W24" i="7" s="1"/>
  <c r="Y24" i="7" s="1"/>
  <c r="AA24" i="7" s="1"/>
  <c r="AC24" i="7" s="1"/>
  <c r="AE24" i="7" s="1"/>
  <c r="AG24" i="7" s="1"/>
  <c r="E19" i="7"/>
  <c r="G19" i="7" s="1"/>
  <c r="I19" i="7" s="1"/>
  <c r="K19" i="7" s="1"/>
  <c r="M19" i="7" s="1"/>
  <c r="O19" i="7" s="1"/>
  <c r="Q19" i="7" s="1"/>
  <c r="S19" i="7" s="1"/>
  <c r="U19" i="7" s="1"/>
  <c r="W19" i="7" s="1"/>
  <c r="Y19" i="7" s="1"/>
  <c r="AA19" i="7" s="1"/>
  <c r="AC19" i="7" s="1"/>
  <c r="AE19" i="7" s="1"/>
  <c r="AG19" i="7" s="1"/>
  <c r="E16" i="7"/>
  <c r="G16" i="7" s="1"/>
  <c r="I16" i="7" s="1"/>
  <c r="K16" i="7" s="1"/>
  <c r="M16" i="7" s="1"/>
  <c r="O16" i="7" s="1"/>
  <c r="Q16" i="7" s="1"/>
  <c r="S16" i="7" s="1"/>
  <c r="U16" i="7" s="1"/>
  <c r="W16" i="7" s="1"/>
  <c r="Y16" i="7" s="1"/>
  <c r="AA16" i="7" s="1"/>
  <c r="AC16" i="7" s="1"/>
  <c r="AE16" i="7" s="1"/>
  <c r="AG16" i="7" s="1"/>
  <c r="C9" i="7"/>
  <c r="C7" i="7"/>
  <c r="C5" i="7"/>
  <c r="J38" i="8"/>
  <c r="I38" i="8"/>
  <c r="D38" i="8"/>
  <c r="B38" i="8"/>
  <c r="G38" i="8" s="1"/>
  <c r="A38" i="8"/>
  <c r="J37" i="8"/>
  <c r="I37" i="8"/>
  <c r="D37" i="8"/>
  <c r="B37" i="8"/>
  <c r="G37" i="8" s="1"/>
  <c r="A37" i="8"/>
  <c r="J36" i="8"/>
  <c r="I36" i="8"/>
  <c r="D36" i="8"/>
  <c r="B36" i="8"/>
  <c r="G36" i="8" s="1"/>
  <c r="A36" i="8"/>
  <c r="J35" i="8"/>
  <c r="I35" i="8"/>
  <c r="D35" i="8"/>
  <c r="B35" i="8"/>
  <c r="G35" i="8" s="1"/>
  <c r="A35" i="8"/>
  <c r="J34" i="8"/>
  <c r="I34" i="8"/>
  <c r="D34" i="8"/>
  <c r="B34" i="8"/>
  <c r="G34" i="8" s="1"/>
  <c r="A34" i="8"/>
  <c r="J33" i="8"/>
  <c r="I33" i="8"/>
  <c r="D33" i="8"/>
  <c r="B33" i="8"/>
  <c r="G33" i="8" s="1"/>
  <c r="A33" i="8"/>
  <c r="J32" i="8"/>
  <c r="I32" i="8"/>
  <c r="D32" i="8"/>
  <c r="B32" i="8"/>
  <c r="G32" i="8" s="1"/>
  <c r="A32" i="8"/>
  <c r="J31" i="8"/>
  <c r="I31" i="8"/>
  <c r="D31" i="8"/>
  <c r="B31" i="8"/>
  <c r="G31" i="8" s="1"/>
  <c r="A31" i="8"/>
  <c r="J30" i="8"/>
  <c r="I30" i="8"/>
  <c r="D30" i="8"/>
  <c r="B30" i="8"/>
  <c r="G30" i="8" s="1"/>
  <c r="A30" i="8"/>
  <c r="J29" i="8"/>
  <c r="I29" i="8"/>
  <c r="D29" i="8"/>
  <c r="B29" i="8"/>
  <c r="G29" i="8" s="1"/>
  <c r="A29" i="8"/>
  <c r="J28" i="8"/>
  <c r="I28" i="8"/>
  <c r="D28" i="8"/>
  <c r="B28" i="8"/>
  <c r="G28" i="8" s="1"/>
  <c r="A28" i="8"/>
  <c r="J27" i="8"/>
  <c r="I27" i="8"/>
  <c r="D27" i="8"/>
  <c r="B27" i="8"/>
  <c r="G27" i="8" s="1"/>
  <c r="A27" i="8"/>
  <c r="J26" i="8"/>
  <c r="I26" i="8"/>
  <c r="D26" i="8"/>
  <c r="B26" i="8"/>
  <c r="G26" i="8" s="1"/>
  <c r="A26" i="8"/>
  <c r="J25" i="8"/>
  <c r="I25" i="8"/>
  <c r="D25" i="8"/>
  <c r="B25" i="8"/>
  <c r="G25" i="8" s="1"/>
  <c r="A25" i="8"/>
  <c r="J24" i="8"/>
  <c r="I24" i="8"/>
  <c r="D24" i="8"/>
  <c r="B24" i="8"/>
  <c r="G24" i="8" s="1"/>
  <c r="A24" i="8"/>
  <c r="J23" i="8"/>
  <c r="I23" i="8"/>
  <c r="D23" i="8"/>
  <c r="B23" i="8"/>
  <c r="G23" i="8" s="1"/>
  <c r="A23" i="8"/>
  <c r="J22" i="8"/>
  <c r="I22" i="8"/>
  <c r="D22" i="8"/>
  <c r="B22" i="8"/>
  <c r="G22" i="8" s="1"/>
  <c r="A22" i="8"/>
  <c r="J21" i="8"/>
  <c r="I21" i="8"/>
  <c r="D21" i="8"/>
  <c r="B21" i="8"/>
  <c r="G21" i="8" s="1"/>
  <c r="A21" i="8"/>
  <c r="J20" i="8"/>
  <c r="I20" i="8"/>
  <c r="D20" i="8"/>
  <c r="B20" i="8"/>
  <c r="G20" i="8" s="1"/>
  <c r="A20" i="8"/>
  <c r="J19" i="8"/>
  <c r="I19" i="8"/>
  <c r="D19" i="8"/>
  <c r="B19" i="8"/>
  <c r="G19" i="8" s="1"/>
  <c r="A19" i="8"/>
  <c r="J18" i="8"/>
  <c r="I18" i="8"/>
  <c r="D18" i="8"/>
  <c r="B18" i="8"/>
  <c r="G18" i="8" s="1"/>
  <c r="A18" i="8"/>
  <c r="J17" i="8"/>
  <c r="I17" i="8"/>
  <c r="D17" i="8"/>
  <c r="B17" i="8"/>
  <c r="G17" i="8" s="1"/>
  <c r="A17" i="8"/>
  <c r="J16" i="8"/>
  <c r="I16" i="8"/>
  <c r="D16" i="8"/>
  <c r="B16" i="8"/>
  <c r="G16" i="8" s="1"/>
  <c r="A16" i="8"/>
  <c r="J15" i="8"/>
  <c r="I15" i="8"/>
  <c r="D15" i="8"/>
  <c r="B15" i="8"/>
  <c r="G15" i="8" s="1"/>
  <c r="A15" i="8"/>
  <c r="J14" i="8"/>
  <c r="I14" i="8"/>
  <c r="D14" i="8"/>
  <c r="B14" i="8"/>
  <c r="G14" i="8" s="1"/>
  <c r="A14" i="8"/>
  <c r="J13" i="8"/>
  <c r="I13" i="8"/>
  <c r="D13" i="8"/>
  <c r="B13" i="8"/>
  <c r="G13" i="8" s="1"/>
  <c r="A13" i="8"/>
  <c r="J12" i="8"/>
  <c r="I12" i="8"/>
  <c r="D12" i="8"/>
  <c r="B12" i="8"/>
  <c r="G12" i="8" s="1"/>
  <c r="A12" i="8"/>
  <c r="J11" i="8"/>
  <c r="I11" i="8"/>
  <c r="D11" i="8"/>
  <c r="B11" i="8"/>
  <c r="G11" i="8" s="1"/>
  <c r="A11" i="8"/>
  <c r="J10" i="8"/>
  <c r="I10" i="8"/>
  <c r="D10" i="8"/>
  <c r="B10" i="8"/>
  <c r="G10" i="8" s="1"/>
  <c r="A10" i="8"/>
  <c r="J9" i="8"/>
  <c r="I9" i="8"/>
  <c r="D9" i="8"/>
  <c r="B9" i="8"/>
  <c r="G9" i="8" s="1"/>
  <c r="A9" i="8"/>
  <c r="J8" i="8"/>
  <c r="I8" i="8"/>
  <c r="B8" i="8"/>
  <c r="G8" i="8" s="1"/>
  <c r="A8" i="8"/>
  <c r="J7" i="8"/>
  <c r="I7" i="8"/>
  <c r="B7" i="8"/>
  <c r="G7" i="8" s="1"/>
  <c r="A7" i="8"/>
  <c r="J6" i="8"/>
  <c r="I6" i="8"/>
  <c r="B6" i="8"/>
  <c r="G6" i="8" s="1"/>
  <c r="A6" i="8"/>
  <c r="F5" i="8"/>
  <c r="B5" i="8"/>
  <c r="A5" i="8"/>
  <c r="F4" i="8"/>
  <c r="B4" i="8"/>
  <c r="A4" i="8"/>
  <c r="G154" i="21"/>
  <c r="G151" i="21"/>
  <c r="E153" i="21" s="1"/>
  <c r="G123" i="21"/>
  <c r="B106" i="21"/>
  <c r="E102" i="21"/>
  <c r="G100" i="21"/>
  <c r="B96" i="21"/>
  <c r="L94" i="21"/>
  <c r="L93" i="21"/>
  <c r="E93" i="21"/>
  <c r="L92" i="21"/>
  <c r="L91" i="21"/>
  <c r="L90" i="21"/>
  <c r="L89" i="21"/>
  <c r="L88" i="21"/>
  <c r="L87" i="21"/>
  <c r="G86" i="21"/>
  <c r="G92" i="21" s="1"/>
  <c r="G84" i="21"/>
  <c r="G90" i="21" s="1"/>
  <c r="B81" i="21"/>
  <c r="G75" i="21"/>
  <c r="G72" i="21"/>
  <c r="G68" i="21"/>
  <c r="G67" i="21"/>
  <c r="B58" i="21"/>
  <c r="N54" i="21"/>
  <c r="M54" i="21"/>
  <c r="U54" i="21" s="1"/>
  <c r="L54" i="21"/>
  <c r="N53" i="21"/>
  <c r="M53" i="21"/>
  <c r="L53" i="21"/>
  <c r="N52" i="21"/>
  <c r="M52" i="21"/>
  <c r="L52" i="21"/>
  <c r="N51" i="21"/>
  <c r="M51" i="21"/>
  <c r="T51" i="21" s="1"/>
  <c r="L51" i="21"/>
  <c r="N50" i="21"/>
  <c r="M50" i="21"/>
  <c r="L50" i="21"/>
  <c r="N49" i="21"/>
  <c r="M49" i="21"/>
  <c r="R49" i="21" s="1" a="1"/>
  <c r="L49" i="21"/>
  <c r="B49" i="21"/>
  <c r="N48" i="21"/>
  <c r="M48" i="21"/>
  <c r="L48" i="21"/>
  <c r="N47" i="21"/>
  <c r="M47" i="21"/>
  <c r="U47" i="21" s="1"/>
  <c r="L47" i="21"/>
  <c r="N46" i="21"/>
  <c r="M46" i="21"/>
  <c r="U46" i="21" s="1"/>
  <c r="L46" i="21"/>
  <c r="G46" i="21"/>
  <c r="N45" i="21"/>
  <c r="M45" i="21"/>
  <c r="S45" i="21" s="1"/>
  <c r="L45" i="21"/>
  <c r="N44" i="21"/>
  <c r="M44" i="21"/>
  <c r="L44" i="21"/>
  <c r="N43" i="21"/>
  <c r="M43" i="21"/>
  <c r="U43" i="21" s="1"/>
  <c r="L43" i="21"/>
  <c r="N42" i="21"/>
  <c r="M42" i="21"/>
  <c r="O42" i="21" s="1"/>
  <c r="L42" i="21"/>
  <c r="N41" i="21"/>
  <c r="M41" i="21"/>
  <c r="L41" i="21"/>
  <c r="N40" i="21"/>
  <c r="M40" i="21"/>
  <c r="R40" i="21" s="1" a="1"/>
  <c r="L40" i="21"/>
  <c r="N39" i="21"/>
  <c r="M39" i="21"/>
  <c r="R39" i="21" s="1" a="1"/>
  <c r="L39" i="21"/>
  <c r="N38" i="21"/>
  <c r="M38" i="21"/>
  <c r="U38" i="21" s="1"/>
  <c r="L38" i="21"/>
  <c r="N37" i="21"/>
  <c r="M37" i="21"/>
  <c r="T37" i="21" s="1"/>
  <c r="L37" i="21"/>
  <c r="N36" i="21"/>
  <c r="M36" i="21"/>
  <c r="U36" i="21" s="1"/>
  <c r="L36" i="21"/>
  <c r="N35" i="21"/>
  <c r="M35" i="21"/>
  <c r="U35" i="21" s="1"/>
  <c r="L35" i="21"/>
  <c r="B35" i="21"/>
  <c r="N34" i="21"/>
  <c r="M34" i="21"/>
  <c r="U34" i="21" s="1"/>
  <c r="L34" i="21"/>
  <c r="N33" i="21"/>
  <c r="M33" i="21"/>
  <c r="R33" i="21" s="1" a="1"/>
  <c r="L33" i="21"/>
  <c r="N32" i="21"/>
  <c r="M32" i="21"/>
  <c r="P32" i="21" s="1" a="1"/>
  <c r="L32" i="21"/>
  <c r="N31" i="21"/>
  <c r="M31" i="21"/>
  <c r="U31" i="21" s="1"/>
  <c r="L31" i="21"/>
  <c r="N30" i="21"/>
  <c r="M30" i="21"/>
  <c r="U30" i="21" s="1"/>
  <c r="L30" i="21"/>
  <c r="N29" i="21"/>
  <c r="M29" i="21"/>
  <c r="R29" i="21" s="1" a="1"/>
  <c r="L29" i="21"/>
  <c r="N28" i="21"/>
  <c r="M28" i="21"/>
  <c r="R28" i="21" s="1" a="1"/>
  <c r="L28" i="21"/>
  <c r="D28" i="21"/>
  <c r="N27" i="21"/>
  <c r="M27" i="21"/>
  <c r="U27" i="21" s="1"/>
  <c r="L27" i="21"/>
  <c r="D27" i="21"/>
  <c r="N26" i="21"/>
  <c r="M26" i="21"/>
  <c r="L26" i="21"/>
  <c r="N25" i="21"/>
  <c r="M25" i="21"/>
  <c r="U25" i="21" s="1"/>
  <c r="L25" i="21"/>
  <c r="N24" i="21"/>
  <c r="M24" i="21"/>
  <c r="T24" i="21" s="1"/>
  <c r="L24" i="21"/>
  <c r="N23" i="21"/>
  <c r="M23" i="21"/>
  <c r="L23" i="21"/>
  <c r="N22" i="21"/>
  <c r="M22" i="21"/>
  <c r="U22" i="21" s="1"/>
  <c r="L22" i="21"/>
  <c r="N21" i="21"/>
  <c r="M21" i="21"/>
  <c r="L21" i="21"/>
  <c r="N20" i="21"/>
  <c r="M20" i="21"/>
  <c r="T20" i="21" s="1"/>
  <c r="L20" i="21"/>
  <c r="B20" i="21"/>
  <c r="P18" i="21"/>
  <c r="I14" i="21"/>
  <c r="AF892" i="20"/>
  <c r="A891" i="20"/>
  <c r="A890" i="20"/>
  <c r="A889" i="20"/>
  <c r="B887" i="20"/>
  <c r="A887" i="20"/>
  <c r="B886" i="20"/>
  <c r="A886" i="20"/>
  <c r="B876" i="20"/>
  <c r="AJ817" i="20"/>
  <c r="AJ808" i="20"/>
  <c r="AJ797" i="20"/>
  <c r="AJ781" i="20"/>
  <c r="AJ769" i="20"/>
  <c r="AJ753" i="20"/>
  <c r="AJ741" i="20"/>
  <c r="AX702" i="20"/>
  <c r="AJ700" i="20"/>
  <c r="AJ665" i="20"/>
  <c r="AJ653" i="20"/>
  <c r="AO610" i="20"/>
  <c r="AP596" i="20"/>
  <c r="AG536" i="20"/>
  <c r="AG532" i="20"/>
  <c r="AG528" i="20"/>
  <c r="AG525" i="20"/>
  <c r="AG521" i="20"/>
  <c r="AG516" i="20"/>
  <c r="AG511" i="20"/>
  <c r="AG509" i="20"/>
  <c r="AG505" i="20"/>
  <c r="AG500" i="20"/>
  <c r="AG498" i="20"/>
  <c r="AG493" i="20"/>
  <c r="U387" i="20"/>
  <c r="AP386" i="20"/>
  <c r="AP385" i="20"/>
  <c r="AP384" i="20"/>
  <c r="AP383" i="20"/>
  <c r="AP382" i="20"/>
  <c r="AP381" i="20"/>
  <c r="AP378" i="20"/>
  <c r="AP377" i="20"/>
  <c r="AP376" i="20"/>
  <c r="AP375" i="20"/>
  <c r="AP374" i="20"/>
  <c r="AP373" i="20"/>
  <c r="AP372" i="20"/>
  <c r="AP371" i="20"/>
  <c r="AP370" i="20"/>
  <c r="AP307" i="20"/>
  <c r="AP306" i="20"/>
  <c r="AK298" i="20"/>
  <c r="T886" i="20" s="1"/>
  <c r="AF886" i="20" s="1"/>
  <c r="BE78" i="3" s="1"/>
  <c r="AB244" i="20"/>
  <c r="AB246" i="20" s="1"/>
  <c r="AB232" i="20"/>
  <c r="AB231" i="20"/>
  <c r="AB230" i="20"/>
  <c r="AB229" i="20"/>
  <c r="AB228" i="20"/>
  <c r="AB227" i="20"/>
  <c r="AB226" i="20"/>
  <c r="AB225" i="20"/>
  <c r="AB224" i="20"/>
  <c r="AB223" i="20"/>
  <c r="AJ179" i="20"/>
  <c r="T882" i="20" s="1"/>
  <c r="C177" i="20"/>
  <c r="AJ165" i="20"/>
  <c r="T881" i="20" s="1"/>
  <c r="AQ135" i="20"/>
  <c r="AO135" i="20"/>
  <c r="AQ134" i="20"/>
  <c r="AO134" i="20"/>
  <c r="AQ133" i="20"/>
  <c r="AO133" i="20"/>
  <c r="AQ132" i="20"/>
  <c r="AO132" i="20"/>
  <c r="AQ131" i="20"/>
  <c r="AO131" i="20"/>
  <c r="AQ130" i="20"/>
  <c r="AO130" i="20"/>
  <c r="AQ129" i="20"/>
  <c r="AO129" i="20"/>
  <c r="AQ128" i="20"/>
  <c r="AO128" i="20"/>
  <c r="AQ127" i="20"/>
  <c r="AO127" i="20"/>
  <c r="AQ126" i="20"/>
  <c r="AO126" i="20"/>
  <c r="AQ125" i="20"/>
  <c r="AO125" i="20"/>
  <c r="AQ124" i="20"/>
  <c r="AO124" i="20"/>
  <c r="AQ123" i="20"/>
  <c r="AO123" i="20"/>
  <c r="AQ122" i="20"/>
  <c r="AO122" i="20"/>
  <c r="AQ121" i="20"/>
  <c r="AO121" i="20"/>
  <c r="AV120" i="20" a="1"/>
  <c r="AV120" i="20" s="1"/>
  <c r="AU120" i="20"/>
  <c r="AQ120" i="20"/>
  <c r="AO120" i="20"/>
  <c r="AV119" i="20" a="1"/>
  <c r="AV119" i="20" s="1"/>
  <c r="AU119" i="20"/>
  <c r="AQ119" i="20"/>
  <c r="AO119" i="20"/>
  <c r="AV118" i="20" a="1"/>
  <c r="AV118" i="20" s="1"/>
  <c r="AU118" i="20"/>
  <c r="AQ118" i="20"/>
  <c r="AO118" i="20"/>
  <c r="AV117" i="20" a="1"/>
  <c r="AV117" i="20" s="1"/>
  <c r="AU117" i="20"/>
  <c r="AQ117" i="20"/>
  <c r="AO117" i="20"/>
  <c r="AV116" i="20" a="1"/>
  <c r="AV116" i="20" s="1"/>
  <c r="AU116" i="20"/>
  <c r="AQ116" i="20"/>
  <c r="AO116" i="20"/>
  <c r="AV115" i="20" a="1"/>
  <c r="AV115" i="20" s="1"/>
  <c r="AU115" i="20"/>
  <c r="AO115" i="20"/>
  <c r="AO114" i="20"/>
  <c r="AO113" i="20"/>
  <c r="AO112" i="20"/>
  <c r="AO111" i="20"/>
  <c r="AO70" i="20"/>
  <c r="AO69" i="20"/>
  <c r="AO68" i="20"/>
  <c r="AO67" i="20"/>
  <c r="AO56" i="20"/>
  <c r="AO55" i="20"/>
  <c r="AO46" i="20"/>
  <c r="AO45" i="20"/>
  <c r="AO44" i="20"/>
  <c r="AO43" i="20"/>
  <c r="AO33" i="20"/>
  <c r="AO32" i="20"/>
  <c r="AO31" i="20"/>
  <c r="AO30" i="20"/>
  <c r="AO26" i="20"/>
  <c r="AO20" i="20"/>
  <c r="AD67" i="15"/>
  <c r="Y67" i="15"/>
  <c r="AD64" i="15"/>
  <c r="Y64" i="15"/>
  <c r="A61" i="15"/>
  <c r="T25" i="15"/>
  <c r="AI7" i="15" s="1"/>
  <c r="AI20" i="15"/>
  <c r="AI22" i="15" s="1"/>
  <c r="AD20" i="15"/>
  <c r="AD22" i="15" s="1"/>
  <c r="Y20" i="15"/>
  <c r="Y22" i="15" s="1"/>
  <c r="T20" i="15"/>
  <c r="T22" i="15" s="1"/>
  <c r="A3" i="15"/>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AN28" i="24"/>
  <c r="AH28" i="24"/>
  <c r="AB28" i="24"/>
  <c r="V28" i="24"/>
  <c r="P28" i="24"/>
  <c r="AN24" i="24" a="1"/>
  <c r="AH24" i="24" a="1"/>
  <c r="AB24" i="24" a="1"/>
  <c r="V24" i="24" a="1"/>
  <c r="P24" i="24" a="1"/>
  <c r="AN23" i="24" a="1"/>
  <c r="AH23" i="24" a="1"/>
  <c r="AB23" i="24" a="1"/>
  <c r="V23" i="24" a="1"/>
  <c r="P23" i="24" a="1"/>
  <c r="AN22" i="24" a="1"/>
  <c r="AH22" i="24" a="1"/>
  <c r="AB22" i="24" a="1"/>
  <c r="V22" i="24" a="1"/>
  <c r="P22" i="24" a="1"/>
  <c r="AN21" i="24" a="1"/>
  <c r="AH21" i="24" a="1"/>
  <c r="AB21" i="24" a="1"/>
  <c r="V21" i="24" a="1"/>
  <c r="P21" i="24" a="1"/>
  <c r="AN20" i="24" a="1"/>
  <c r="AH20" i="24" a="1"/>
  <c r="AB20" i="24" a="1"/>
  <c r="V20" i="24" a="1"/>
  <c r="P20" i="24" a="1"/>
  <c r="AN19" i="24" a="1"/>
  <c r="AH19" i="24" a="1"/>
  <c r="AB19" i="24" a="1"/>
  <c r="V19" i="24" a="1"/>
  <c r="P19" i="24" a="1"/>
  <c r="S15" i="24"/>
  <c r="AO13" i="24"/>
  <c r="N11" i="24"/>
  <c r="N10" i="24"/>
  <c r="AB8" i="24"/>
  <c r="L6" i="24"/>
  <c r="L4" i="24"/>
  <c r="H106" i="13"/>
  <c r="E106" i="13"/>
  <c r="J104" i="13"/>
  <c r="I104" i="13"/>
  <c r="G104" i="13"/>
  <c r="F104" i="13"/>
  <c r="D104" i="13"/>
  <c r="C104" i="13"/>
  <c r="H103" i="13"/>
  <c r="E103" i="13"/>
  <c r="B103" i="13"/>
  <c r="A103" i="13"/>
  <c r="H102" i="13"/>
  <c r="E102" i="13"/>
  <c r="B102" i="13"/>
  <c r="H101" i="13"/>
  <c r="E101" i="13"/>
  <c r="B101" i="13"/>
  <c r="H100" i="13"/>
  <c r="E100" i="13"/>
  <c r="B100" i="13"/>
  <c r="H99" i="13"/>
  <c r="E99" i="13"/>
  <c r="B99" i="13"/>
  <c r="J96" i="13"/>
  <c r="I96" i="13"/>
  <c r="G96" i="13"/>
  <c r="F96" i="13"/>
  <c r="D96" i="13"/>
  <c r="C96" i="13"/>
  <c r="H95" i="13"/>
  <c r="E95" i="13"/>
  <c r="B95" i="13"/>
  <c r="A95" i="13"/>
  <c r="H94" i="13"/>
  <c r="B94" i="13"/>
  <c r="A94" i="13"/>
  <c r="H93" i="13"/>
  <c r="E93" i="13"/>
  <c r="B93" i="13"/>
  <c r="A93" i="13"/>
  <c r="H92" i="13"/>
  <c r="E92" i="13"/>
  <c r="B92" i="13"/>
  <c r="H91" i="13"/>
  <c r="E91" i="13"/>
  <c r="B91" i="13"/>
  <c r="H90" i="13"/>
  <c r="E90" i="13"/>
  <c r="B90" i="13"/>
  <c r="H89" i="13"/>
  <c r="E89" i="13"/>
  <c r="B89" i="13"/>
  <c r="B88" i="13"/>
  <c r="H87" i="13"/>
  <c r="E87" i="13"/>
  <c r="B87" i="13"/>
  <c r="H86" i="13"/>
  <c r="E86" i="13"/>
  <c r="B86" i="13"/>
  <c r="H85" i="13"/>
  <c r="E85" i="13"/>
  <c r="B85" i="13"/>
  <c r="H84" i="13"/>
  <c r="E84" i="13"/>
  <c r="B84" i="13"/>
  <c r="B83" i="13"/>
  <c r="J81" i="13"/>
  <c r="I81" i="13"/>
  <c r="G81" i="13"/>
  <c r="F81" i="13"/>
  <c r="D81" i="13"/>
  <c r="C81" i="13"/>
  <c r="H80" i="13"/>
  <c r="E80" i="13"/>
  <c r="B80" i="13"/>
  <c r="H79" i="13"/>
  <c r="E79" i="13"/>
  <c r="B79" i="13"/>
  <c r="D77" i="13"/>
  <c r="C77" i="13"/>
  <c r="B76" i="13"/>
  <c r="A76" i="13"/>
  <c r="B75" i="13"/>
  <c r="B74" i="13"/>
  <c r="B73" i="13"/>
  <c r="B72" i="13"/>
  <c r="J70" i="13"/>
  <c r="I70" i="13"/>
  <c r="G70" i="13"/>
  <c r="F70" i="13"/>
  <c r="D70" i="13"/>
  <c r="C70" i="13"/>
  <c r="H69" i="13"/>
  <c r="E69" i="13"/>
  <c r="B69" i="13"/>
  <c r="A69" i="13"/>
  <c r="H68" i="13"/>
  <c r="E68" i="13"/>
  <c r="B68" i="13"/>
  <c r="H67" i="13"/>
  <c r="E67" i="13"/>
  <c r="B67" i="13"/>
  <c r="H66" i="13"/>
  <c r="E66" i="13"/>
  <c r="B66" i="13"/>
  <c r="H65" i="13"/>
  <c r="E65" i="13"/>
  <c r="B65" i="13"/>
  <c r="D62" i="13"/>
  <c r="C62" i="13"/>
  <c r="B61" i="13"/>
  <c r="A61" i="13"/>
  <c r="B60" i="13"/>
  <c r="B59" i="13"/>
  <c r="B58" i="13"/>
  <c r="B57" i="13"/>
  <c r="B56" i="13"/>
  <c r="J54" i="13"/>
  <c r="I54" i="13"/>
  <c r="G54" i="13"/>
  <c r="F54" i="13"/>
  <c r="D54" i="13"/>
  <c r="C54" i="13"/>
  <c r="H53" i="13"/>
  <c r="E53" i="13"/>
  <c r="B53" i="13"/>
  <c r="A53" i="13"/>
  <c r="H52" i="13"/>
  <c r="E52" i="13"/>
  <c r="B52" i="13"/>
  <c r="H51" i="13"/>
  <c r="E51" i="13"/>
  <c r="B51" i="13"/>
  <c r="H50" i="13"/>
  <c r="E50" i="13"/>
  <c r="B50" i="13"/>
  <c r="H49" i="13"/>
  <c r="E49" i="13"/>
  <c r="B49" i="13"/>
  <c r="H48" i="13"/>
  <c r="E48" i="13"/>
  <c r="B48" i="13"/>
  <c r="H47" i="13"/>
  <c r="E47" i="13"/>
  <c r="B47" i="13"/>
  <c r="H46" i="13"/>
  <c r="E46" i="13"/>
  <c r="B46" i="13"/>
  <c r="H45" i="13"/>
  <c r="E45" i="13"/>
  <c r="B45" i="13"/>
  <c r="H43" i="13"/>
  <c r="E43" i="13"/>
  <c r="B43" i="13"/>
  <c r="J42" i="13"/>
  <c r="I42" i="13"/>
  <c r="G42" i="13"/>
  <c r="F42" i="13"/>
  <c r="D42" i="13"/>
  <c r="C42" i="13"/>
  <c r="H41" i="13"/>
  <c r="E41" i="13"/>
  <c r="B41" i="13"/>
  <c r="H40" i="13"/>
  <c r="E40" i="13"/>
  <c r="B40" i="13"/>
  <c r="J38" i="13"/>
  <c r="I38" i="13"/>
  <c r="G38" i="13"/>
  <c r="F38" i="13"/>
  <c r="D38" i="13"/>
  <c r="C38" i="13"/>
  <c r="H37" i="13"/>
  <c r="E37" i="13"/>
  <c r="B37" i="13"/>
  <c r="A37" i="13"/>
  <c r="H36" i="13"/>
  <c r="E36" i="13"/>
  <c r="B36" i="13"/>
  <c r="H35" i="13"/>
  <c r="E35" i="13"/>
  <c r="B35" i="13"/>
  <c r="H34" i="13"/>
  <c r="E34" i="13"/>
  <c r="B34" i="13"/>
  <c r="H33" i="13"/>
  <c r="E33" i="13"/>
  <c r="B33" i="13"/>
  <c r="H32" i="13"/>
  <c r="E32" i="13"/>
  <c r="B32" i="13"/>
  <c r="H31" i="13"/>
  <c r="E31" i="13"/>
  <c r="B31" i="13"/>
  <c r="H30" i="13"/>
  <c r="E30" i="13"/>
  <c r="B30" i="13"/>
  <c r="H29" i="13"/>
  <c r="E29" i="13"/>
  <c r="B29" i="13"/>
  <c r="H27" i="13"/>
  <c r="E27" i="13"/>
  <c r="B27" i="13"/>
  <c r="J26" i="13"/>
  <c r="I26" i="13"/>
  <c r="G26" i="13"/>
  <c r="F26" i="13"/>
  <c r="D26" i="13"/>
  <c r="C26" i="13"/>
  <c r="H25" i="13"/>
  <c r="E25" i="13"/>
  <c r="B25" i="13"/>
  <c r="A25" i="13"/>
  <c r="H24" i="13"/>
  <c r="E24" i="13"/>
  <c r="B24" i="13"/>
  <c r="H23" i="13"/>
  <c r="E23" i="13"/>
  <c r="B23" i="13"/>
  <c r="H22" i="13"/>
  <c r="E22" i="13"/>
  <c r="B22" i="13"/>
  <c r="H21" i="13"/>
  <c r="E21" i="13"/>
  <c r="B21" i="13"/>
  <c r="H20" i="13"/>
  <c r="E20" i="13"/>
  <c r="B20" i="13"/>
  <c r="H19" i="13"/>
  <c r="E19" i="13"/>
  <c r="B19" i="13"/>
  <c r="H18" i="13"/>
  <c r="E18" i="13"/>
  <c r="B18" i="13"/>
  <c r="H17" i="13"/>
  <c r="E17" i="13"/>
  <c r="B17" i="13"/>
  <c r="H15" i="13"/>
  <c r="E15" i="13"/>
  <c r="B15" i="13"/>
  <c r="H14" i="13"/>
  <c r="E14" i="13"/>
  <c r="B14" i="13"/>
  <c r="H13" i="13"/>
  <c r="E13" i="13"/>
  <c r="B13" i="13"/>
  <c r="J11" i="13"/>
  <c r="I11" i="13"/>
  <c r="D11" i="13"/>
  <c r="C11" i="13"/>
  <c r="H10" i="13"/>
  <c r="E10" i="13"/>
  <c r="B10" i="13"/>
  <c r="H9" i="13"/>
  <c r="B9" i="13"/>
  <c r="D8" i="13"/>
  <c r="D12" i="13" s="1"/>
  <c r="C8" i="13"/>
  <c r="B7" i="13"/>
  <c r="B6" i="13"/>
  <c r="B5" i="13"/>
  <c r="B4" i="13"/>
  <c r="B131" i="4"/>
  <c r="Q108" i="4"/>
  <c r="P108" i="4"/>
  <c r="O108" i="4"/>
  <c r="N108" i="4"/>
  <c r="M108" i="4"/>
  <c r="L108" i="4"/>
  <c r="K108" i="4"/>
  <c r="J108" i="4"/>
  <c r="I108" i="4"/>
  <c r="H108" i="4"/>
  <c r="G108" i="4"/>
  <c r="F108" i="4"/>
  <c r="E108" i="4"/>
  <c r="T104" i="4"/>
  <c r="H104" i="13" s="1"/>
  <c r="S104" i="4"/>
  <c r="Q104" i="4"/>
  <c r="P104" i="4"/>
  <c r="O104" i="4"/>
  <c r="N104" i="4"/>
  <c r="M104" i="4"/>
  <c r="L104" i="4"/>
  <c r="K104" i="4"/>
  <c r="J104" i="4"/>
  <c r="I104" i="4"/>
  <c r="H104" i="4"/>
  <c r="G104" i="4"/>
  <c r="F104" i="4"/>
  <c r="D104" i="4"/>
  <c r="C104" i="4"/>
  <c r="B104" i="13" s="1"/>
  <c r="R103" i="4"/>
  <c r="B103" i="4"/>
  <c r="R102" i="4"/>
  <c r="B102" i="4"/>
  <c r="R101" i="4"/>
  <c r="B101" i="4"/>
  <c r="R100" i="4"/>
  <c r="B100" i="4"/>
  <c r="B99" i="4"/>
  <c r="E99" i="4" s="1"/>
  <c r="T96" i="4"/>
  <c r="H96" i="13" s="1"/>
  <c r="Q96" i="4"/>
  <c r="P96" i="4"/>
  <c r="O96" i="4"/>
  <c r="N96" i="4"/>
  <c r="M96" i="4"/>
  <c r="L96" i="4"/>
  <c r="K96" i="4"/>
  <c r="J96" i="4"/>
  <c r="I96" i="4"/>
  <c r="H96" i="4"/>
  <c r="G96" i="4"/>
  <c r="F96" i="4"/>
  <c r="D96" i="4"/>
  <c r="C96" i="4"/>
  <c r="B96" i="13" s="1"/>
  <c r="B95" i="4"/>
  <c r="E95" i="4" s="1"/>
  <c r="R95" i="4" s="1"/>
  <c r="B94" i="4"/>
  <c r="E94" i="4" s="1"/>
  <c r="R94" i="4" s="1"/>
  <c r="S94" i="4" s="1"/>
  <c r="S96" i="4" s="1"/>
  <c r="E96" i="13" s="1"/>
  <c r="B93" i="4"/>
  <c r="E93" i="4" s="1"/>
  <c r="R93" i="4" s="1"/>
  <c r="B92" i="4"/>
  <c r="E92" i="4" s="1"/>
  <c r="R92" i="4" s="1"/>
  <c r="B91" i="4"/>
  <c r="R91" i="4" s="1"/>
  <c r="B90" i="4"/>
  <c r="E90" i="4" s="1"/>
  <c r="R90" i="4" s="1"/>
  <c r="B89" i="4"/>
  <c r="E89" i="4" s="1"/>
  <c r="R89" i="4" s="1"/>
  <c r="B88" i="4"/>
  <c r="E88" i="4" s="1"/>
  <c r="R88" i="4" s="1"/>
  <c r="B87" i="4"/>
  <c r="E87" i="4" s="1"/>
  <c r="R87" i="4" s="1"/>
  <c r="B86" i="4"/>
  <c r="E86" i="4" s="1"/>
  <c r="R86" i="4" s="1"/>
  <c r="B85" i="4"/>
  <c r="B84" i="4"/>
  <c r="E84" i="4" s="1"/>
  <c r="R84" i="4" s="1"/>
  <c r="B83" i="4"/>
  <c r="E83" i="4" s="1"/>
  <c r="T81" i="4"/>
  <c r="H81" i="13" s="1"/>
  <c r="S81" i="4"/>
  <c r="E81" i="13" s="1"/>
  <c r="Q81" i="4"/>
  <c r="P81" i="4"/>
  <c r="O81" i="4"/>
  <c r="N81" i="4"/>
  <c r="M81" i="4"/>
  <c r="L81" i="4"/>
  <c r="K81" i="4"/>
  <c r="J81" i="4"/>
  <c r="I81" i="4"/>
  <c r="H81" i="4"/>
  <c r="G81" i="4"/>
  <c r="F81" i="4"/>
  <c r="D81" i="4"/>
  <c r="C81" i="4"/>
  <c r="B80" i="4"/>
  <c r="E80" i="4" s="1"/>
  <c r="R80" i="4" s="1"/>
  <c r="B79" i="4"/>
  <c r="E79" i="4" s="1"/>
  <c r="Q77" i="4"/>
  <c r="P77" i="4"/>
  <c r="O77" i="4"/>
  <c r="N77" i="4"/>
  <c r="M77" i="4"/>
  <c r="L77" i="4"/>
  <c r="K77" i="4"/>
  <c r="J77" i="4"/>
  <c r="I77" i="4"/>
  <c r="H77" i="4"/>
  <c r="G77" i="4"/>
  <c r="F77" i="4"/>
  <c r="D77" i="4"/>
  <c r="C77" i="4"/>
  <c r="B76" i="4"/>
  <c r="E76" i="4" s="1"/>
  <c r="R76" i="4" s="1"/>
  <c r="B75" i="4"/>
  <c r="E75" i="4" s="1"/>
  <c r="R74" i="4"/>
  <c r="B74" i="4"/>
  <c r="R73" i="4"/>
  <c r="B73" i="4"/>
  <c r="R72" i="4"/>
  <c r="B72" i="4"/>
  <c r="T70" i="4"/>
  <c r="H70" i="13" s="1"/>
  <c r="S70" i="4"/>
  <c r="E70" i="13" s="1"/>
  <c r="Q70" i="4"/>
  <c r="P70" i="4"/>
  <c r="O70" i="4"/>
  <c r="N70" i="4"/>
  <c r="M70" i="4"/>
  <c r="L70" i="4"/>
  <c r="K70" i="4"/>
  <c r="J70" i="4"/>
  <c r="I70" i="4"/>
  <c r="H70" i="4"/>
  <c r="G70" i="4"/>
  <c r="D70" i="4"/>
  <c r="C70" i="4"/>
  <c r="B69" i="4"/>
  <c r="B68" i="4"/>
  <c r="E68" i="4" s="1"/>
  <c r="R68" i="4" s="1"/>
  <c r="B67" i="4"/>
  <c r="E67" i="4" s="1"/>
  <c r="R67" i="4" s="1"/>
  <c r="B66" i="4"/>
  <c r="R66" i="4" s="1"/>
  <c r="B65" i="4"/>
  <c r="E65" i="4" s="1"/>
  <c r="Q62" i="4"/>
  <c r="P62" i="4"/>
  <c r="O62" i="4"/>
  <c r="N62" i="4"/>
  <c r="M62" i="4"/>
  <c r="L62" i="4"/>
  <c r="K62" i="4"/>
  <c r="J62" i="4"/>
  <c r="I62" i="4"/>
  <c r="H62" i="4"/>
  <c r="G62" i="4"/>
  <c r="F62" i="4"/>
  <c r="D62" i="4"/>
  <c r="C62" i="4"/>
  <c r="B61" i="4"/>
  <c r="E61" i="4" s="1"/>
  <c r="R61" i="4" s="1"/>
  <c r="R60" i="4"/>
  <c r="B60" i="4"/>
  <c r="R59" i="4"/>
  <c r="B59" i="4"/>
  <c r="B58" i="4"/>
  <c r="E58" i="4" s="1"/>
  <c r="R58" i="4" s="1"/>
  <c r="R57" i="4"/>
  <c r="B57" i="4"/>
  <c r="B56" i="4"/>
  <c r="E56" i="4" s="1"/>
  <c r="T54" i="4"/>
  <c r="H54" i="13" s="1"/>
  <c r="S54" i="4"/>
  <c r="E54" i="13" s="1"/>
  <c r="Q54" i="4"/>
  <c r="P54" i="4"/>
  <c r="O54" i="4"/>
  <c r="N54" i="4"/>
  <c r="M54" i="4"/>
  <c r="L54" i="4"/>
  <c r="K54" i="4"/>
  <c r="J54" i="4"/>
  <c r="I54" i="4"/>
  <c r="H54" i="4"/>
  <c r="G54" i="4"/>
  <c r="F54" i="4"/>
  <c r="D54" i="4"/>
  <c r="C54" i="4"/>
  <c r="R53" i="4"/>
  <c r="B53" i="4"/>
  <c r="B52" i="4"/>
  <c r="E52" i="4" s="1"/>
  <c r="R52" i="4" s="1"/>
  <c r="B51" i="4"/>
  <c r="E51" i="4" s="1"/>
  <c r="R51" i="4" s="1"/>
  <c r="B50" i="4"/>
  <c r="E50" i="4" s="1"/>
  <c r="R50" i="4" s="1"/>
  <c r="B49" i="4"/>
  <c r="E49" i="4" s="1"/>
  <c r="R49" i="4" s="1"/>
  <c r="R48" i="4"/>
  <c r="B48" i="4"/>
  <c r="R47" i="4"/>
  <c r="B47" i="4"/>
  <c r="B46" i="4"/>
  <c r="E46" i="4" s="1"/>
  <c r="R46" i="4" s="1"/>
  <c r="B45" i="4"/>
  <c r="E45" i="4" s="1"/>
  <c r="B43" i="4"/>
  <c r="E43" i="4" s="1"/>
  <c r="R43" i="4" s="1"/>
  <c r="T42" i="4"/>
  <c r="H42" i="13" s="1"/>
  <c r="S42" i="4"/>
  <c r="E42" i="13" s="1"/>
  <c r="Q42" i="4"/>
  <c r="P42" i="4"/>
  <c r="O42" i="4"/>
  <c r="N42" i="4"/>
  <c r="M42" i="4"/>
  <c r="L42" i="4"/>
  <c r="K42" i="4"/>
  <c r="J42" i="4"/>
  <c r="I42" i="4"/>
  <c r="H42" i="4"/>
  <c r="G42" i="4"/>
  <c r="F42" i="4"/>
  <c r="D42" i="4"/>
  <c r="C42" i="4"/>
  <c r="B41" i="4"/>
  <c r="R41" i="4" s="1"/>
  <c r="B40" i="4"/>
  <c r="E40" i="4" s="1"/>
  <c r="T38" i="4"/>
  <c r="H38" i="13" s="1"/>
  <c r="S38" i="4"/>
  <c r="E38" i="13" s="1"/>
  <c r="Q38" i="4"/>
  <c r="P38" i="4"/>
  <c r="O38" i="4"/>
  <c r="N38" i="4"/>
  <c r="M38" i="4"/>
  <c r="L38" i="4"/>
  <c r="K38" i="4"/>
  <c r="J38" i="4"/>
  <c r="I38" i="4"/>
  <c r="H38" i="4"/>
  <c r="G38" i="4"/>
  <c r="F38" i="4"/>
  <c r="D38" i="4"/>
  <c r="C38" i="4"/>
  <c r="B37" i="4"/>
  <c r="E37" i="4" s="1"/>
  <c r="R37" i="4" s="1"/>
  <c r="B36" i="4"/>
  <c r="E36" i="4" s="1"/>
  <c r="R36" i="4" s="1"/>
  <c r="B35" i="4"/>
  <c r="E35" i="4" s="1"/>
  <c r="R35" i="4" s="1"/>
  <c r="B34" i="4"/>
  <c r="E34" i="4" s="1"/>
  <c r="R34" i="4" s="1"/>
  <c r="B33" i="4"/>
  <c r="E33" i="4" s="1"/>
  <c r="R33" i="4" s="1"/>
  <c r="B32" i="4"/>
  <c r="E32" i="4" s="1"/>
  <c r="R32" i="4" s="1"/>
  <c r="B31" i="4"/>
  <c r="E31" i="4" s="1"/>
  <c r="R31" i="4" s="1"/>
  <c r="B30" i="4"/>
  <c r="E30" i="4" s="1"/>
  <c r="R30" i="4" s="1"/>
  <c r="B29" i="4"/>
  <c r="E29" i="4" s="1"/>
  <c r="B27" i="4"/>
  <c r="E27" i="4" s="1"/>
  <c r="R27" i="4" s="1"/>
  <c r="T26" i="4"/>
  <c r="H26" i="13" s="1"/>
  <c r="S26" i="4"/>
  <c r="E26" i="13" s="1"/>
  <c r="Q26" i="4"/>
  <c r="P26" i="4"/>
  <c r="O26" i="4"/>
  <c r="N26" i="4"/>
  <c r="M26" i="4"/>
  <c r="L26" i="4"/>
  <c r="K26" i="4"/>
  <c r="J26" i="4"/>
  <c r="I26" i="4"/>
  <c r="H26" i="4"/>
  <c r="G26" i="4"/>
  <c r="F26" i="4"/>
  <c r="D26" i="4"/>
  <c r="C26" i="4"/>
  <c r="B26" i="13" s="1"/>
  <c r="B25" i="4"/>
  <c r="E25" i="4" s="1"/>
  <c r="R25" i="4" s="1"/>
  <c r="B24" i="4"/>
  <c r="E24" i="4" s="1"/>
  <c r="R24" i="4" s="1"/>
  <c r="B23" i="4"/>
  <c r="E23" i="4" s="1"/>
  <c r="R23" i="4" s="1"/>
  <c r="B22" i="4"/>
  <c r="E22" i="4" s="1"/>
  <c r="R22" i="4" s="1"/>
  <c r="B21" i="4"/>
  <c r="E21" i="4" s="1"/>
  <c r="R21" i="4" s="1"/>
  <c r="B20" i="4"/>
  <c r="E20" i="4" s="1"/>
  <c r="R20" i="4" s="1"/>
  <c r="B19" i="4"/>
  <c r="E19" i="4" s="1"/>
  <c r="R19" i="4" s="1"/>
  <c r="B18" i="4"/>
  <c r="E18" i="4" s="1"/>
  <c r="R18" i="4" s="1"/>
  <c r="B17" i="4"/>
  <c r="E17" i="4" s="1"/>
  <c r="R17" i="4" s="1"/>
  <c r="B15" i="4"/>
  <c r="E15" i="4" s="1"/>
  <c r="R15" i="4" s="1"/>
  <c r="B14" i="4"/>
  <c r="E14" i="4" s="1"/>
  <c r="R14" i="4" s="1"/>
  <c r="B13" i="4"/>
  <c r="E13" i="4" s="1"/>
  <c r="R13" i="4" s="1"/>
  <c r="T11" i="4"/>
  <c r="H11" i="13" s="1"/>
  <c r="Q11" i="4"/>
  <c r="O11" i="4"/>
  <c r="N11" i="4"/>
  <c r="M11" i="4"/>
  <c r="L11" i="4"/>
  <c r="K11" i="4"/>
  <c r="J11" i="4"/>
  <c r="I11" i="4"/>
  <c r="H11" i="4"/>
  <c r="G11" i="4"/>
  <c r="F11" i="4"/>
  <c r="E11" i="4"/>
  <c r="D11" i="4"/>
  <c r="C11" i="4"/>
  <c r="B11" i="13" s="1"/>
  <c r="R10" i="4"/>
  <c r="B10" i="4"/>
  <c r="R9" i="4"/>
  <c r="B9" i="4"/>
  <c r="Q8" i="4"/>
  <c r="O8" i="4"/>
  <c r="N8" i="4"/>
  <c r="M8" i="4"/>
  <c r="L8" i="4"/>
  <c r="K8" i="4"/>
  <c r="J8" i="4"/>
  <c r="I8" i="4"/>
  <c r="H8" i="4"/>
  <c r="G8" i="4"/>
  <c r="F8" i="4"/>
  <c r="D8" i="4"/>
  <c r="C8" i="4"/>
  <c r="B7" i="4"/>
  <c r="E7" i="4" s="1"/>
  <c r="R7" i="4" s="1"/>
  <c r="B6" i="4"/>
  <c r="E6" i="4" s="1"/>
  <c r="R6" i="4" s="1"/>
  <c r="B5" i="4"/>
  <c r="E5" i="4" s="1"/>
  <c r="R5" i="4" s="1"/>
  <c r="B4" i="4"/>
  <c r="Q2" i="4"/>
  <c r="P2" i="4"/>
  <c r="O2" i="4"/>
  <c r="N2" i="4"/>
  <c r="M2" i="4"/>
  <c r="L2" i="4"/>
  <c r="K2" i="4"/>
  <c r="J2" i="4"/>
  <c r="I2" i="4"/>
  <c r="H2" i="4"/>
  <c r="G2" i="4"/>
  <c r="F2" i="4"/>
  <c r="BA1061" i="3"/>
  <c r="AZ1057" i="3"/>
  <c r="AZ1056" i="3"/>
  <c r="AZ1054" i="3"/>
  <c r="AZ1058" i="3" s="1"/>
  <c r="BA1050" i="3"/>
  <c r="AJ1050" i="3"/>
  <c r="BA1049" i="3"/>
  <c r="BA1055" i="3" s="1"/>
  <c r="BA1047" i="3"/>
  <c r="AJ1041" i="3"/>
  <c r="AY1036" i="3"/>
  <c r="AF1035" i="3"/>
  <c r="AY1032" i="3"/>
  <c r="AY1031" i="3"/>
  <c r="AY1030" i="3"/>
  <c r="AF1030" i="3"/>
  <c r="AY1029" i="3"/>
  <c r="AJ1029" i="3"/>
  <c r="AY1028" i="3"/>
  <c r="AY1027" i="3"/>
  <c r="AY1026" i="3"/>
  <c r="AY1025" i="3"/>
  <c r="AY1024" i="3"/>
  <c r="AY1023" i="3"/>
  <c r="AY1022" i="3"/>
  <c r="AJ1022" i="3"/>
  <c r="AJ1020" i="3"/>
  <c r="AW927" i="3"/>
  <c r="AG927" i="3" s="1"/>
  <c r="Z911" i="3"/>
  <c r="W888" i="3"/>
  <c r="E21" i="7" s="1"/>
  <c r="G21" i="7" s="1"/>
  <c r="I21" i="7" s="1"/>
  <c r="K21" i="7" s="1"/>
  <c r="M21" i="7" s="1"/>
  <c r="O21" i="7" s="1"/>
  <c r="Q21" i="7" s="1"/>
  <c r="S21" i="7" s="1"/>
  <c r="U21" i="7" s="1"/>
  <c r="W21" i="7" s="1"/>
  <c r="Y21" i="7" s="1"/>
  <c r="AA21" i="7" s="1"/>
  <c r="AC21" i="7" s="1"/>
  <c r="AE21" i="7" s="1"/>
  <c r="AG21" i="7" s="1"/>
  <c r="W881" i="3"/>
  <c r="E20" i="7" s="1"/>
  <c r="G20" i="7" s="1"/>
  <c r="I20" i="7" s="1"/>
  <c r="K20" i="7" s="1"/>
  <c r="M20" i="7" s="1"/>
  <c r="O20" i="7" s="1"/>
  <c r="Q20" i="7" s="1"/>
  <c r="S20" i="7" s="1"/>
  <c r="U20" i="7" s="1"/>
  <c r="W20" i="7" s="1"/>
  <c r="Y20" i="7" s="1"/>
  <c r="AA20" i="7" s="1"/>
  <c r="AC20" i="7" s="1"/>
  <c r="AE20" i="7" s="1"/>
  <c r="AG20" i="7" s="1"/>
  <c r="W870" i="3"/>
  <c r="E18" i="7" s="1"/>
  <c r="G18" i="7" s="1"/>
  <c r="I18" i="7" s="1"/>
  <c r="K18" i="7" s="1"/>
  <c r="M18" i="7" s="1"/>
  <c r="O18" i="7" s="1"/>
  <c r="Q18" i="7" s="1"/>
  <c r="S18" i="7" s="1"/>
  <c r="U18" i="7" s="1"/>
  <c r="W18" i="7" s="1"/>
  <c r="Y18" i="7" s="1"/>
  <c r="AA18" i="7" s="1"/>
  <c r="AC18" i="7" s="1"/>
  <c r="AE18" i="7" s="1"/>
  <c r="AG18" i="7" s="1"/>
  <c r="W863" i="3"/>
  <c r="E17" i="7" s="1"/>
  <c r="G17" i="7" s="1"/>
  <c r="I17" i="7" s="1"/>
  <c r="K17" i="7" s="1"/>
  <c r="M17" i="7" s="1"/>
  <c r="O17" i="7" s="1"/>
  <c r="Q17" i="7" s="1"/>
  <c r="S17" i="7" s="1"/>
  <c r="U17" i="7" s="1"/>
  <c r="W17" i="7" s="1"/>
  <c r="Y17" i="7" s="1"/>
  <c r="AA17" i="7" s="1"/>
  <c r="AC17" i="7" s="1"/>
  <c r="AE17" i="7" s="1"/>
  <c r="AG17" i="7" s="1"/>
  <c r="W855" i="3"/>
  <c r="AG840" i="3"/>
  <c r="AC840" i="3"/>
  <c r="Y840" i="3"/>
  <c r="U840" i="3"/>
  <c r="Q840" i="3"/>
  <c r="M840" i="3"/>
  <c r="Z825" i="3"/>
  <c r="E8" i="7" s="1"/>
  <c r="O805" i="3"/>
  <c r="DO804" i="3"/>
  <c r="ET804" i="3" s="1"/>
  <c r="DJ804" i="3"/>
  <c r="EO804" i="3" s="1"/>
  <c r="DE804" i="3"/>
  <c r="EJ804" i="3" s="1"/>
  <c r="CZ804" i="3"/>
  <c r="EE804" i="3" s="1"/>
  <c r="CU804" i="3"/>
  <c r="DZ804" i="3" s="1"/>
  <c r="CP804" i="3"/>
  <c r="DU804" i="3" s="1"/>
  <c r="AC804" i="3"/>
  <c r="DO803" i="3"/>
  <c r="ET803" i="3" s="1"/>
  <c r="DJ803" i="3"/>
  <c r="EO803" i="3" s="1"/>
  <c r="DE803" i="3"/>
  <c r="EJ803" i="3" s="1"/>
  <c r="CZ803" i="3"/>
  <c r="EE803" i="3" s="1"/>
  <c r="CU803" i="3"/>
  <c r="DZ803" i="3" s="1"/>
  <c r="CP803" i="3"/>
  <c r="DU803" i="3" s="1"/>
  <c r="AC803" i="3"/>
  <c r="DO802" i="3"/>
  <c r="ET802" i="3" s="1"/>
  <c r="DJ802" i="3"/>
  <c r="EO802" i="3" s="1"/>
  <c r="DE802" i="3"/>
  <c r="EJ802" i="3" s="1"/>
  <c r="CZ802" i="3"/>
  <c r="EE802" i="3" s="1"/>
  <c r="CU802" i="3"/>
  <c r="DZ802" i="3" s="1"/>
  <c r="CP802" i="3"/>
  <c r="DU802" i="3" s="1"/>
  <c r="AC802" i="3"/>
  <c r="DO801" i="3"/>
  <c r="ET801" i="3" s="1"/>
  <c r="DJ801" i="3"/>
  <c r="EO801" i="3" s="1"/>
  <c r="DE801" i="3"/>
  <c r="EJ801" i="3" s="1"/>
  <c r="CZ801" i="3"/>
  <c r="EE801" i="3" s="1"/>
  <c r="CU801" i="3"/>
  <c r="CP801" i="3"/>
  <c r="DU801" i="3" s="1"/>
  <c r="AC801" i="3"/>
  <c r="DO800" i="3"/>
  <c r="ET800" i="3" s="1"/>
  <c r="DJ800" i="3"/>
  <c r="EO800" i="3" s="1"/>
  <c r="DE800" i="3"/>
  <c r="EJ800" i="3" s="1"/>
  <c r="CZ800" i="3"/>
  <c r="EE800" i="3" s="1"/>
  <c r="CU800" i="3"/>
  <c r="DZ800" i="3" s="1"/>
  <c r="CP800" i="3"/>
  <c r="DU800" i="3" s="1"/>
  <c r="AC800" i="3"/>
  <c r="DO799" i="3"/>
  <c r="ET799" i="3" s="1"/>
  <c r="DJ799" i="3"/>
  <c r="DE799" i="3"/>
  <c r="EJ799" i="3" s="1"/>
  <c r="CZ799" i="3"/>
  <c r="EE799" i="3" s="1"/>
  <c r="CU799" i="3"/>
  <c r="DZ799" i="3" s="1"/>
  <c r="CP799" i="3"/>
  <c r="DU799" i="3" s="1"/>
  <c r="AC799" i="3"/>
  <c r="DO798" i="3"/>
  <c r="ET798" i="3" s="1"/>
  <c r="DJ798" i="3"/>
  <c r="EO798" i="3" s="1"/>
  <c r="DE798" i="3"/>
  <c r="EJ798" i="3" s="1"/>
  <c r="CZ798" i="3"/>
  <c r="EE798" i="3" s="1"/>
  <c r="CU798" i="3"/>
  <c r="DZ798" i="3" s="1"/>
  <c r="CP798" i="3"/>
  <c r="DU798" i="3" s="1"/>
  <c r="AC798" i="3"/>
  <c r="DO797" i="3"/>
  <c r="ET797" i="3" s="1"/>
  <c r="DJ797" i="3"/>
  <c r="EO797" i="3" s="1"/>
  <c r="DE797" i="3"/>
  <c r="EJ797" i="3" s="1"/>
  <c r="CZ797" i="3"/>
  <c r="EE797" i="3" s="1"/>
  <c r="CU797" i="3"/>
  <c r="DZ797" i="3" s="1"/>
  <c r="CP797" i="3"/>
  <c r="DU797" i="3" s="1"/>
  <c r="AC797" i="3"/>
  <c r="DO796" i="3"/>
  <c r="ET796" i="3" s="1"/>
  <c r="DJ796" i="3"/>
  <c r="EO796" i="3" s="1"/>
  <c r="DE796" i="3"/>
  <c r="EJ796" i="3" s="1"/>
  <c r="CZ796" i="3"/>
  <c r="EE796" i="3" s="1"/>
  <c r="CU796" i="3"/>
  <c r="DZ796" i="3" s="1"/>
  <c r="CP796" i="3"/>
  <c r="DU796" i="3" s="1"/>
  <c r="AC796" i="3"/>
  <c r="DO795" i="3"/>
  <c r="ET795" i="3" s="1"/>
  <c r="DJ795" i="3"/>
  <c r="EO795" i="3" s="1"/>
  <c r="DE795" i="3"/>
  <c r="EJ795" i="3" s="1"/>
  <c r="CZ795" i="3"/>
  <c r="EE795" i="3" s="1"/>
  <c r="CU795" i="3"/>
  <c r="DZ795" i="3" s="1"/>
  <c r="CP795" i="3"/>
  <c r="DU795" i="3" s="1"/>
  <c r="AC795" i="3"/>
  <c r="O785" i="3"/>
  <c r="DO784" i="3"/>
  <c r="DJ784" i="3"/>
  <c r="DE784" i="3"/>
  <c r="CZ784" i="3"/>
  <c r="CU784" i="3"/>
  <c r="CP784" i="3"/>
  <c r="AC784" i="3"/>
  <c r="DO783" i="3"/>
  <c r="DJ783" i="3"/>
  <c r="DE783" i="3"/>
  <c r="CZ783" i="3"/>
  <c r="CU783" i="3"/>
  <c r="CP783" i="3"/>
  <c r="AC783" i="3"/>
  <c r="DO782" i="3"/>
  <c r="DJ782" i="3"/>
  <c r="DE782" i="3"/>
  <c r="CZ782" i="3"/>
  <c r="CU782" i="3"/>
  <c r="CP782" i="3"/>
  <c r="AC782" i="3"/>
  <c r="DO781" i="3"/>
  <c r="DJ781" i="3"/>
  <c r="DE781" i="3"/>
  <c r="CZ781" i="3"/>
  <c r="CU781" i="3"/>
  <c r="CP781" i="3"/>
  <c r="AC781" i="3"/>
  <c r="G761" i="3"/>
  <c r="C765" i="3" s="1"/>
  <c r="ET760" i="3"/>
  <c r="EO760" i="3"/>
  <c r="EJ760" i="3"/>
  <c r="EE760" i="3"/>
  <c r="DZ760" i="3"/>
  <c r="DU760" i="3"/>
  <c r="DO760" i="3"/>
  <c r="FY760" i="3" s="1"/>
  <c r="DJ760" i="3"/>
  <c r="FT760" i="3" s="1"/>
  <c r="DE760" i="3"/>
  <c r="FO760" i="3" s="1"/>
  <c r="CZ760" i="3"/>
  <c r="FJ760" i="3" s="1"/>
  <c r="CU760" i="3"/>
  <c r="FE760" i="3" s="1"/>
  <c r="CP760" i="3"/>
  <c r="EZ760" i="3" s="1"/>
  <c r="CK760" i="3"/>
  <c r="CM760" i="3" s="1"/>
  <c r="CG760" i="3"/>
  <c r="CI760" i="3" s="1"/>
  <c r="BS760" i="3"/>
  <c r="BF760" i="3"/>
  <c r="AZ760" i="3"/>
  <c r="AH760" i="3"/>
  <c r="X760" i="3"/>
  <c r="ET759" i="3"/>
  <c r="EO759" i="3"/>
  <c r="EJ759" i="3"/>
  <c r="EE759" i="3"/>
  <c r="DZ759" i="3"/>
  <c r="DU759" i="3"/>
  <c r="DO759" i="3"/>
  <c r="FY759" i="3" s="1"/>
  <c r="DJ759" i="3"/>
  <c r="FT759" i="3" s="1"/>
  <c r="DE759" i="3"/>
  <c r="FO759" i="3" s="1"/>
  <c r="CZ759" i="3"/>
  <c r="FJ759" i="3" s="1"/>
  <c r="CU759" i="3"/>
  <c r="FE759" i="3" s="1"/>
  <c r="CP759" i="3"/>
  <c r="EZ759" i="3" s="1"/>
  <c r="CK759" i="3"/>
  <c r="CM759" i="3" s="1"/>
  <c r="CG759" i="3"/>
  <c r="CI759" i="3" s="1"/>
  <c r="BS759" i="3"/>
  <c r="BF759" i="3"/>
  <c r="AZ759" i="3"/>
  <c r="AH759" i="3"/>
  <c r="X759" i="3"/>
  <c r="ET758" i="3"/>
  <c r="EO758" i="3"/>
  <c r="EJ758" i="3"/>
  <c r="EE758" i="3"/>
  <c r="DZ758" i="3"/>
  <c r="DU758" i="3"/>
  <c r="DO758" i="3"/>
  <c r="FY758" i="3" s="1"/>
  <c r="DJ758" i="3"/>
  <c r="FT758" i="3" s="1"/>
  <c r="DE758" i="3"/>
  <c r="FO758" i="3" s="1"/>
  <c r="CZ758" i="3"/>
  <c r="FJ758" i="3" s="1"/>
  <c r="CU758" i="3"/>
  <c r="FE758" i="3" s="1"/>
  <c r="CP758" i="3"/>
  <c r="EZ758" i="3" s="1"/>
  <c r="CK758" i="3"/>
  <c r="CM758" i="3" s="1"/>
  <c r="CG758" i="3"/>
  <c r="CI758" i="3" s="1"/>
  <c r="BS758" i="3"/>
  <c r="BF758" i="3"/>
  <c r="AZ758" i="3"/>
  <c r="AH758" i="3"/>
  <c r="X758" i="3"/>
  <c r="ET757" i="3"/>
  <c r="EO757" i="3"/>
  <c r="EJ757" i="3"/>
  <c r="EE757" i="3"/>
  <c r="DZ757" i="3"/>
  <c r="DU757" i="3"/>
  <c r="DO757" i="3"/>
  <c r="FY757" i="3" s="1"/>
  <c r="DJ757" i="3"/>
  <c r="FT757" i="3" s="1"/>
  <c r="DE757" i="3"/>
  <c r="FO757" i="3" s="1"/>
  <c r="CZ757" i="3"/>
  <c r="FJ757" i="3" s="1"/>
  <c r="CU757" i="3"/>
  <c r="FE757" i="3" s="1"/>
  <c r="CP757" i="3"/>
  <c r="EZ757" i="3" s="1"/>
  <c r="CK757" i="3"/>
  <c r="CM757" i="3" s="1"/>
  <c r="CG757" i="3"/>
  <c r="CI757" i="3" s="1"/>
  <c r="BS757" i="3"/>
  <c r="BF757" i="3"/>
  <c r="AZ757" i="3"/>
  <c r="AH757" i="3"/>
  <c r="X757" i="3"/>
  <c r="ET756" i="3"/>
  <c r="EO756" i="3"/>
  <c r="EJ756" i="3"/>
  <c r="EE756" i="3"/>
  <c r="DZ756" i="3"/>
  <c r="DU756" i="3"/>
  <c r="DO756" i="3"/>
  <c r="FY756" i="3" s="1"/>
  <c r="DJ756" i="3"/>
  <c r="FT756" i="3" s="1"/>
  <c r="DE756" i="3"/>
  <c r="FO756" i="3" s="1"/>
  <c r="CZ756" i="3"/>
  <c r="FJ756" i="3" s="1"/>
  <c r="CU756" i="3"/>
  <c r="FE756" i="3" s="1"/>
  <c r="CP756" i="3"/>
  <c r="EZ756" i="3" s="1"/>
  <c r="CK756" i="3"/>
  <c r="CM756" i="3" s="1"/>
  <c r="CG756" i="3"/>
  <c r="CI756" i="3" s="1"/>
  <c r="BS756" i="3"/>
  <c r="BF756" i="3"/>
  <c r="AZ756" i="3"/>
  <c r="AH756" i="3"/>
  <c r="X756" i="3"/>
  <c r="ET755" i="3"/>
  <c r="EO755" i="3"/>
  <c r="EJ755" i="3"/>
  <c r="EE755" i="3"/>
  <c r="DZ755" i="3"/>
  <c r="DU755" i="3"/>
  <c r="DO755" i="3"/>
  <c r="FY755" i="3" s="1"/>
  <c r="DJ755" i="3"/>
  <c r="FT755" i="3" s="1"/>
  <c r="DE755" i="3"/>
  <c r="FO755" i="3" s="1"/>
  <c r="CZ755" i="3"/>
  <c r="FJ755" i="3" s="1"/>
  <c r="CU755" i="3"/>
  <c r="FE755" i="3" s="1"/>
  <c r="CP755" i="3"/>
  <c r="EZ755" i="3" s="1"/>
  <c r="CK755" i="3"/>
  <c r="CM755" i="3" s="1"/>
  <c r="CG755" i="3"/>
  <c r="CI755" i="3" s="1"/>
  <c r="BS755" i="3"/>
  <c r="BF755" i="3"/>
  <c r="AZ755" i="3"/>
  <c r="AH755" i="3"/>
  <c r="X755" i="3"/>
  <c r="ET754" i="3"/>
  <c r="EO754" i="3"/>
  <c r="EJ754" i="3"/>
  <c r="EE754" i="3"/>
  <c r="DZ754" i="3"/>
  <c r="DU754" i="3"/>
  <c r="DO754" i="3"/>
  <c r="FY754" i="3" s="1"/>
  <c r="DJ754" i="3"/>
  <c r="FT754" i="3" s="1"/>
  <c r="DE754" i="3"/>
  <c r="FO754" i="3" s="1"/>
  <c r="CZ754" i="3"/>
  <c r="FJ754" i="3" s="1"/>
  <c r="CU754" i="3"/>
  <c r="FE754" i="3" s="1"/>
  <c r="CP754" i="3"/>
  <c r="EZ754" i="3" s="1"/>
  <c r="CK754" i="3"/>
  <c r="CM754" i="3" s="1"/>
  <c r="CG754" i="3"/>
  <c r="CI754" i="3" s="1"/>
  <c r="BS754" i="3"/>
  <c r="BF754" i="3"/>
  <c r="AZ754" i="3"/>
  <c r="AH754" i="3"/>
  <c r="X754" i="3"/>
  <c r="ET753" i="3"/>
  <c r="EO753" i="3"/>
  <c r="EJ753" i="3"/>
  <c r="EE753" i="3"/>
  <c r="DZ753" i="3"/>
  <c r="DU753" i="3"/>
  <c r="DO753" i="3"/>
  <c r="FY753" i="3" s="1"/>
  <c r="DJ753" i="3"/>
  <c r="FT753" i="3" s="1"/>
  <c r="DE753" i="3"/>
  <c r="FO753" i="3" s="1"/>
  <c r="CZ753" i="3"/>
  <c r="FJ753" i="3" s="1"/>
  <c r="CU753" i="3"/>
  <c r="FE753" i="3" s="1"/>
  <c r="CP753" i="3"/>
  <c r="EZ753" i="3" s="1"/>
  <c r="CK753" i="3"/>
  <c r="CM753" i="3" s="1"/>
  <c r="CG753" i="3"/>
  <c r="CI753" i="3" s="1"/>
  <c r="BS753" i="3"/>
  <c r="BF753" i="3"/>
  <c r="AZ753" i="3"/>
  <c r="AH753" i="3"/>
  <c r="X753" i="3"/>
  <c r="ET752" i="3"/>
  <c r="EO752" i="3"/>
  <c r="EJ752" i="3"/>
  <c r="EE752" i="3"/>
  <c r="DZ752" i="3"/>
  <c r="DU752" i="3"/>
  <c r="DO752" i="3"/>
  <c r="FY752" i="3" s="1"/>
  <c r="DJ752" i="3"/>
  <c r="FT752" i="3" s="1"/>
  <c r="DE752" i="3"/>
  <c r="FO752" i="3" s="1"/>
  <c r="CZ752" i="3"/>
  <c r="FJ752" i="3" s="1"/>
  <c r="CU752" i="3"/>
  <c r="FE752" i="3" s="1"/>
  <c r="CP752" i="3"/>
  <c r="EZ752" i="3" s="1"/>
  <c r="CK752" i="3"/>
  <c r="CM752" i="3" s="1"/>
  <c r="CG752" i="3"/>
  <c r="CI752" i="3" s="1"/>
  <c r="BS752" i="3"/>
  <c r="BF752" i="3"/>
  <c r="AZ752" i="3"/>
  <c r="AH752" i="3"/>
  <c r="X752" i="3"/>
  <c r="ET751" i="3"/>
  <c r="EO751" i="3"/>
  <c r="EJ751" i="3"/>
  <c r="EE751" i="3"/>
  <c r="DZ751" i="3"/>
  <c r="DU751" i="3"/>
  <c r="DO751" i="3"/>
  <c r="FY751" i="3" s="1"/>
  <c r="DJ751" i="3"/>
  <c r="FT751" i="3" s="1"/>
  <c r="DE751" i="3"/>
  <c r="FO751" i="3" s="1"/>
  <c r="CZ751" i="3"/>
  <c r="FJ751" i="3" s="1"/>
  <c r="CU751" i="3"/>
  <c r="FE751" i="3" s="1"/>
  <c r="CP751" i="3"/>
  <c r="EZ751" i="3" s="1"/>
  <c r="CK751" i="3"/>
  <c r="CM751" i="3" s="1"/>
  <c r="CG751" i="3"/>
  <c r="CI751" i="3" s="1"/>
  <c r="BS751" i="3"/>
  <c r="BF751" i="3"/>
  <c r="AZ751" i="3"/>
  <c r="AH751" i="3"/>
  <c r="X751" i="3"/>
  <c r="ET750" i="3"/>
  <c r="EO750" i="3"/>
  <c r="EJ750" i="3"/>
  <c r="EE750" i="3"/>
  <c r="DZ750" i="3"/>
  <c r="DU750" i="3"/>
  <c r="DO750" i="3"/>
  <c r="FY750" i="3" s="1"/>
  <c r="DJ750" i="3"/>
  <c r="FT750" i="3" s="1"/>
  <c r="DE750" i="3"/>
  <c r="FO750" i="3" s="1"/>
  <c r="CZ750" i="3"/>
  <c r="FJ750" i="3" s="1"/>
  <c r="CU750" i="3"/>
  <c r="FE750" i="3" s="1"/>
  <c r="CP750" i="3"/>
  <c r="EZ750" i="3" s="1"/>
  <c r="CK750" i="3"/>
  <c r="CM750" i="3" s="1"/>
  <c r="CG750" i="3"/>
  <c r="CI750" i="3" s="1"/>
  <c r="BS750" i="3"/>
  <c r="BF750" i="3"/>
  <c r="AZ750" i="3"/>
  <c r="AH750" i="3"/>
  <c r="X750" i="3"/>
  <c r="ET749" i="3"/>
  <c r="EO749" i="3"/>
  <c r="EJ749" i="3"/>
  <c r="EE749" i="3"/>
  <c r="DZ749" i="3"/>
  <c r="DU749" i="3"/>
  <c r="DO749" i="3"/>
  <c r="FY749" i="3" s="1"/>
  <c r="DJ749" i="3"/>
  <c r="FT749" i="3" s="1"/>
  <c r="DE749" i="3"/>
  <c r="FO749" i="3" s="1"/>
  <c r="CZ749" i="3"/>
  <c r="FJ749" i="3" s="1"/>
  <c r="CU749" i="3"/>
  <c r="FE749" i="3" s="1"/>
  <c r="CP749" i="3"/>
  <c r="EZ749" i="3" s="1"/>
  <c r="CK749" i="3"/>
  <c r="CM749" i="3" s="1"/>
  <c r="CG749" i="3"/>
  <c r="CI749" i="3" s="1"/>
  <c r="BS749" i="3"/>
  <c r="BF749" i="3"/>
  <c r="AZ749" i="3"/>
  <c r="AH749" i="3"/>
  <c r="X749" i="3"/>
  <c r="ET748" i="3"/>
  <c r="EO748" i="3"/>
  <c r="EJ748" i="3"/>
  <c r="EE748" i="3"/>
  <c r="DZ748" i="3"/>
  <c r="DU748" i="3"/>
  <c r="DO748" i="3"/>
  <c r="FY748" i="3" s="1"/>
  <c r="DJ748" i="3"/>
  <c r="FT748" i="3" s="1"/>
  <c r="DE748" i="3"/>
  <c r="FO748" i="3" s="1"/>
  <c r="CZ748" i="3"/>
  <c r="FJ748" i="3" s="1"/>
  <c r="CU748" i="3"/>
  <c r="FE748" i="3" s="1"/>
  <c r="CP748" i="3"/>
  <c r="EZ748" i="3" s="1"/>
  <c r="CK748" i="3"/>
  <c r="CM748" i="3" s="1"/>
  <c r="CG748" i="3"/>
  <c r="CI748" i="3" s="1"/>
  <c r="BS748" i="3"/>
  <c r="BF748" i="3"/>
  <c r="AZ748" i="3"/>
  <c r="AH748" i="3"/>
  <c r="X748" i="3"/>
  <c r="ET747" i="3"/>
  <c r="EO747" i="3"/>
  <c r="EJ747" i="3"/>
  <c r="EE747" i="3"/>
  <c r="DZ747" i="3"/>
  <c r="DU747" i="3"/>
  <c r="DO747" i="3"/>
  <c r="FY747" i="3" s="1"/>
  <c r="DJ747" i="3"/>
  <c r="FT747" i="3" s="1"/>
  <c r="DE747" i="3"/>
  <c r="FO747" i="3" s="1"/>
  <c r="CZ747" i="3"/>
  <c r="FJ747" i="3" s="1"/>
  <c r="CU747" i="3"/>
  <c r="FE747" i="3" s="1"/>
  <c r="CP747" i="3"/>
  <c r="EZ747" i="3" s="1"/>
  <c r="CK747" i="3"/>
  <c r="CM747" i="3" s="1"/>
  <c r="CG747" i="3"/>
  <c r="CI747" i="3" s="1"/>
  <c r="BS747" i="3"/>
  <c r="BF747" i="3"/>
  <c r="AZ747" i="3"/>
  <c r="AH747" i="3"/>
  <c r="X747" i="3"/>
  <c r="ET746" i="3"/>
  <c r="EO746" i="3"/>
  <c r="EJ746" i="3"/>
  <c r="EE746" i="3"/>
  <c r="DZ746" i="3"/>
  <c r="DU746" i="3"/>
  <c r="DO746" i="3"/>
  <c r="FY746" i="3" s="1"/>
  <c r="DJ746" i="3"/>
  <c r="FT746" i="3" s="1"/>
  <c r="DE746" i="3"/>
  <c r="FO746" i="3" s="1"/>
  <c r="CZ746" i="3"/>
  <c r="FJ746" i="3" s="1"/>
  <c r="CU746" i="3"/>
  <c r="FE746" i="3" s="1"/>
  <c r="CP746" i="3"/>
  <c r="EZ746" i="3" s="1"/>
  <c r="CK746" i="3"/>
  <c r="CM746" i="3" s="1"/>
  <c r="CG746" i="3"/>
  <c r="CI746" i="3" s="1"/>
  <c r="BS746" i="3"/>
  <c r="BF746" i="3"/>
  <c r="AZ746" i="3"/>
  <c r="AH746" i="3"/>
  <c r="X746" i="3"/>
  <c r="ET745" i="3"/>
  <c r="EO745" i="3"/>
  <c r="EJ745" i="3"/>
  <c r="EE745" i="3"/>
  <c r="DZ745" i="3"/>
  <c r="DU745" i="3"/>
  <c r="DO745" i="3"/>
  <c r="FY745" i="3" s="1"/>
  <c r="DJ745" i="3"/>
  <c r="FT745" i="3" s="1"/>
  <c r="DE745" i="3"/>
  <c r="FO745" i="3" s="1"/>
  <c r="CZ745" i="3"/>
  <c r="FJ745" i="3" s="1"/>
  <c r="CU745" i="3"/>
  <c r="FE745" i="3" s="1"/>
  <c r="CP745" i="3"/>
  <c r="EZ745" i="3" s="1"/>
  <c r="CK745" i="3"/>
  <c r="CM745" i="3" s="1"/>
  <c r="CG745" i="3"/>
  <c r="CI745" i="3" s="1"/>
  <c r="BS745" i="3"/>
  <c r="BF745" i="3"/>
  <c r="AZ745" i="3"/>
  <c r="AH745" i="3"/>
  <c r="X745" i="3"/>
  <c r="ET744" i="3"/>
  <c r="EO744" i="3"/>
  <c r="EJ744" i="3"/>
  <c r="EE744" i="3"/>
  <c r="DZ744" i="3"/>
  <c r="DU744" i="3"/>
  <c r="DO744" i="3"/>
  <c r="FY744" i="3" s="1"/>
  <c r="DJ744" i="3"/>
  <c r="FT744" i="3" s="1"/>
  <c r="DE744" i="3"/>
  <c r="FO744" i="3" s="1"/>
  <c r="CZ744" i="3"/>
  <c r="FJ744" i="3" s="1"/>
  <c r="CU744" i="3"/>
  <c r="FE744" i="3" s="1"/>
  <c r="CP744" i="3"/>
  <c r="EZ744" i="3" s="1"/>
  <c r="CK744" i="3"/>
  <c r="CM744" i="3" s="1"/>
  <c r="CG744" i="3"/>
  <c r="CI744" i="3" s="1"/>
  <c r="BS744" i="3"/>
  <c r="BF744" i="3"/>
  <c r="AZ744" i="3"/>
  <c r="AH744" i="3"/>
  <c r="X744" i="3"/>
  <c r="ET743" i="3"/>
  <c r="EO743" i="3"/>
  <c r="EJ743" i="3"/>
  <c r="EE743" i="3"/>
  <c r="DZ743" i="3"/>
  <c r="DU743" i="3"/>
  <c r="DO743" i="3"/>
  <c r="FY743" i="3" s="1"/>
  <c r="DJ743" i="3"/>
  <c r="FT743" i="3" s="1"/>
  <c r="DE743" i="3"/>
  <c r="FO743" i="3" s="1"/>
  <c r="CZ743" i="3"/>
  <c r="FJ743" i="3" s="1"/>
  <c r="CU743" i="3"/>
  <c r="FE743" i="3" s="1"/>
  <c r="CP743" i="3"/>
  <c r="EZ743" i="3" s="1"/>
  <c r="CK743" i="3"/>
  <c r="CM743" i="3" s="1"/>
  <c r="CG743" i="3"/>
  <c r="CI743" i="3" s="1"/>
  <c r="BS743" i="3"/>
  <c r="BF743" i="3"/>
  <c r="AZ743" i="3"/>
  <c r="AH743" i="3"/>
  <c r="X743" i="3"/>
  <c r="ET742" i="3"/>
  <c r="EO742" i="3"/>
  <c r="EJ742" i="3"/>
  <c r="EE742" i="3"/>
  <c r="DZ742" i="3"/>
  <c r="DU742" i="3"/>
  <c r="DO742" i="3"/>
  <c r="FY742" i="3" s="1"/>
  <c r="DJ742" i="3"/>
  <c r="FT742" i="3" s="1"/>
  <c r="DE742" i="3"/>
  <c r="FO742" i="3" s="1"/>
  <c r="CZ742" i="3"/>
  <c r="FJ742" i="3" s="1"/>
  <c r="CU742" i="3"/>
  <c r="FE742" i="3" s="1"/>
  <c r="CP742" i="3"/>
  <c r="EZ742" i="3" s="1"/>
  <c r="CK742" i="3"/>
  <c r="CM742" i="3" s="1"/>
  <c r="CG742" i="3"/>
  <c r="CI742" i="3" s="1"/>
  <c r="BS742" i="3"/>
  <c r="BF742" i="3"/>
  <c r="AZ742" i="3"/>
  <c r="AH742" i="3"/>
  <c r="X742" i="3"/>
  <c r="ET741" i="3"/>
  <c r="EO741" i="3"/>
  <c r="EJ741" i="3"/>
  <c r="EE741" i="3"/>
  <c r="DZ741" i="3"/>
  <c r="DU741" i="3"/>
  <c r="DO741" i="3"/>
  <c r="FY741" i="3" s="1"/>
  <c r="DJ741" i="3"/>
  <c r="FT741" i="3" s="1"/>
  <c r="DE741" i="3"/>
  <c r="FO741" i="3" s="1"/>
  <c r="CZ741" i="3"/>
  <c r="FJ741" i="3" s="1"/>
  <c r="CU741" i="3"/>
  <c r="FE741" i="3" s="1"/>
  <c r="CP741" i="3"/>
  <c r="EZ741" i="3" s="1"/>
  <c r="CK741" i="3"/>
  <c r="CM741" i="3" s="1"/>
  <c r="CG741" i="3"/>
  <c r="CI741" i="3" s="1"/>
  <c r="BS741" i="3"/>
  <c r="BF741" i="3"/>
  <c r="AZ741" i="3"/>
  <c r="AH741" i="3"/>
  <c r="X741" i="3"/>
  <c r="ET740" i="3"/>
  <c r="EO740" i="3"/>
  <c r="EJ740" i="3"/>
  <c r="EE740" i="3"/>
  <c r="DZ740" i="3"/>
  <c r="DU740" i="3"/>
  <c r="DO740" i="3"/>
  <c r="FY740" i="3" s="1"/>
  <c r="DJ740" i="3"/>
  <c r="FT740" i="3" s="1"/>
  <c r="DE740" i="3"/>
  <c r="FO740" i="3" s="1"/>
  <c r="CZ740" i="3"/>
  <c r="FJ740" i="3" s="1"/>
  <c r="CU740" i="3"/>
  <c r="FE740" i="3" s="1"/>
  <c r="CP740" i="3"/>
  <c r="EZ740" i="3" s="1"/>
  <c r="CK740" i="3"/>
  <c r="CM740" i="3" s="1"/>
  <c r="CG740" i="3"/>
  <c r="CI740" i="3" s="1"/>
  <c r="BS740" i="3"/>
  <c r="BF740" i="3"/>
  <c r="AZ740" i="3"/>
  <c r="AH740" i="3"/>
  <c r="X740" i="3"/>
  <c r="ET739" i="3"/>
  <c r="EO739" i="3"/>
  <c r="EJ739" i="3"/>
  <c r="EE739" i="3"/>
  <c r="DZ739" i="3"/>
  <c r="DU739" i="3"/>
  <c r="DO739" i="3"/>
  <c r="FY739" i="3" s="1"/>
  <c r="DJ739" i="3"/>
  <c r="FT739" i="3" s="1"/>
  <c r="DE739" i="3"/>
  <c r="FO739" i="3" s="1"/>
  <c r="CZ739" i="3"/>
  <c r="FJ739" i="3" s="1"/>
  <c r="CU739" i="3"/>
  <c r="FE739" i="3" s="1"/>
  <c r="CP739" i="3"/>
  <c r="EZ739" i="3" s="1"/>
  <c r="CK739" i="3"/>
  <c r="CM739" i="3" s="1"/>
  <c r="CG739" i="3"/>
  <c r="CI739" i="3" s="1"/>
  <c r="BS739" i="3"/>
  <c r="BF739" i="3"/>
  <c r="AZ739" i="3"/>
  <c r="AH739" i="3"/>
  <c r="X739" i="3"/>
  <c r="ET738" i="3"/>
  <c r="EO738" i="3"/>
  <c r="EJ738" i="3"/>
  <c r="EE738" i="3"/>
  <c r="DZ738" i="3"/>
  <c r="DU738" i="3"/>
  <c r="DO738" i="3"/>
  <c r="FY738" i="3" s="1"/>
  <c r="DJ738" i="3"/>
  <c r="FT738" i="3" s="1"/>
  <c r="DE738" i="3"/>
  <c r="FO738" i="3" s="1"/>
  <c r="CZ738" i="3"/>
  <c r="FJ738" i="3" s="1"/>
  <c r="CU738" i="3"/>
  <c r="FE738" i="3" s="1"/>
  <c r="CP738" i="3"/>
  <c r="EZ738" i="3" s="1"/>
  <c r="CK738" i="3"/>
  <c r="CM738" i="3" s="1"/>
  <c r="CG738" i="3"/>
  <c r="CI738" i="3" s="1"/>
  <c r="BS738" i="3"/>
  <c r="BF738" i="3"/>
  <c r="AZ738" i="3"/>
  <c r="AH738" i="3"/>
  <c r="X738" i="3"/>
  <c r="ET737" i="3"/>
  <c r="EO737" i="3"/>
  <c r="EJ737" i="3"/>
  <c r="EE737" i="3"/>
  <c r="DZ737" i="3"/>
  <c r="DU737" i="3"/>
  <c r="DO737" i="3"/>
  <c r="FY737" i="3" s="1"/>
  <c r="DJ737" i="3"/>
  <c r="FT737" i="3" s="1"/>
  <c r="DE737" i="3"/>
  <c r="FO737" i="3" s="1"/>
  <c r="CZ737" i="3"/>
  <c r="FJ737" i="3" s="1"/>
  <c r="CU737" i="3"/>
  <c r="FE737" i="3" s="1"/>
  <c r="CP737" i="3"/>
  <c r="EZ737" i="3" s="1"/>
  <c r="CK737" i="3"/>
  <c r="CM737" i="3" s="1"/>
  <c r="CG737" i="3"/>
  <c r="CI737" i="3" s="1"/>
  <c r="BS737" i="3"/>
  <c r="BF737" i="3"/>
  <c r="AZ737" i="3"/>
  <c r="AH737" i="3"/>
  <c r="X737" i="3"/>
  <c r="ET736" i="3"/>
  <c r="EO736" i="3"/>
  <c r="EJ736" i="3"/>
  <c r="EE736" i="3"/>
  <c r="DZ736" i="3"/>
  <c r="DU736" i="3"/>
  <c r="DO736" i="3"/>
  <c r="FY736" i="3" s="1"/>
  <c r="DJ736" i="3"/>
  <c r="FT736" i="3" s="1"/>
  <c r="DE736" i="3"/>
  <c r="FO736" i="3" s="1"/>
  <c r="CZ736" i="3"/>
  <c r="FJ736" i="3" s="1"/>
  <c r="CU736" i="3"/>
  <c r="FE736" i="3" s="1"/>
  <c r="CP736" i="3"/>
  <c r="EZ736" i="3" s="1"/>
  <c r="CK736" i="3"/>
  <c r="CM736" i="3" s="1"/>
  <c r="CG736" i="3"/>
  <c r="CI736" i="3" s="1"/>
  <c r="BS736" i="3"/>
  <c r="BF736" i="3"/>
  <c r="AZ736" i="3"/>
  <c r="AH736" i="3"/>
  <c r="X736" i="3"/>
  <c r="ET735" i="3"/>
  <c r="EO735" i="3"/>
  <c r="EJ735" i="3"/>
  <c r="EE735" i="3"/>
  <c r="DZ735" i="3"/>
  <c r="DU735" i="3"/>
  <c r="DO735" i="3"/>
  <c r="FY735" i="3" s="1"/>
  <c r="DJ735" i="3"/>
  <c r="FT735" i="3" s="1"/>
  <c r="DE735" i="3"/>
  <c r="FO735" i="3" s="1"/>
  <c r="CZ735" i="3"/>
  <c r="FJ735" i="3" s="1"/>
  <c r="CU735" i="3"/>
  <c r="FE735" i="3" s="1"/>
  <c r="CP735" i="3"/>
  <c r="EZ735" i="3" s="1"/>
  <c r="CK735" i="3"/>
  <c r="CM735" i="3" s="1"/>
  <c r="CG735" i="3"/>
  <c r="CI735" i="3" s="1"/>
  <c r="BS735" i="3"/>
  <c r="BF735" i="3"/>
  <c r="AZ735" i="3"/>
  <c r="AH735" i="3"/>
  <c r="X735" i="3"/>
  <c r="ET734" i="3"/>
  <c r="EO734" i="3"/>
  <c r="EJ734" i="3"/>
  <c r="EE734" i="3"/>
  <c r="DZ734" i="3"/>
  <c r="DU734" i="3"/>
  <c r="DO734" i="3"/>
  <c r="FY734" i="3" s="1"/>
  <c r="DJ734" i="3"/>
  <c r="FT734" i="3" s="1"/>
  <c r="DE734" i="3"/>
  <c r="FO734" i="3" s="1"/>
  <c r="CZ734" i="3"/>
  <c r="FJ734" i="3" s="1"/>
  <c r="CU734" i="3"/>
  <c r="FE734" i="3" s="1"/>
  <c r="CP734" i="3"/>
  <c r="EZ734" i="3" s="1"/>
  <c r="CK734" i="3"/>
  <c r="CM734" i="3" s="1"/>
  <c r="CG734" i="3"/>
  <c r="CI734" i="3" s="1"/>
  <c r="BS734" i="3"/>
  <c r="BF734" i="3"/>
  <c r="AZ734" i="3"/>
  <c r="AH734" i="3"/>
  <c r="X734" i="3"/>
  <c r="ET733" i="3"/>
  <c r="EO733" i="3"/>
  <c r="EJ733" i="3"/>
  <c r="EE733" i="3"/>
  <c r="DZ733" i="3"/>
  <c r="DU733" i="3"/>
  <c r="DO733" i="3"/>
  <c r="FY733" i="3" s="1"/>
  <c r="DJ733" i="3"/>
  <c r="FT733" i="3" s="1"/>
  <c r="DE733" i="3"/>
  <c r="FO733" i="3" s="1"/>
  <c r="CZ733" i="3"/>
  <c r="FJ733" i="3" s="1"/>
  <c r="CU733" i="3"/>
  <c r="FE733" i="3" s="1"/>
  <c r="CP733" i="3"/>
  <c r="EZ733" i="3" s="1"/>
  <c r="CK733" i="3"/>
  <c r="CM733" i="3" s="1"/>
  <c r="CG733" i="3"/>
  <c r="CI733" i="3" s="1"/>
  <c r="BS733" i="3"/>
  <c r="BF733" i="3"/>
  <c r="AZ733" i="3"/>
  <c r="AH733" i="3"/>
  <c r="X733" i="3"/>
  <c r="ET732" i="3"/>
  <c r="EO732" i="3"/>
  <c r="EJ732" i="3"/>
  <c r="EE732" i="3"/>
  <c r="DZ732" i="3"/>
  <c r="DU732" i="3"/>
  <c r="DO732" i="3"/>
  <c r="FY732" i="3" s="1"/>
  <c r="DJ732" i="3"/>
  <c r="FT732" i="3" s="1"/>
  <c r="DE732" i="3"/>
  <c r="FO732" i="3" s="1"/>
  <c r="CZ732" i="3"/>
  <c r="FJ732" i="3" s="1"/>
  <c r="CU732" i="3"/>
  <c r="FE732" i="3" s="1"/>
  <c r="CP732" i="3"/>
  <c r="EZ732" i="3" s="1"/>
  <c r="CK732" i="3"/>
  <c r="CM732" i="3" s="1"/>
  <c r="CG732" i="3"/>
  <c r="CI732" i="3" s="1"/>
  <c r="BS732" i="3"/>
  <c r="BF732" i="3"/>
  <c r="AZ732" i="3"/>
  <c r="AH732" i="3"/>
  <c r="X732" i="3"/>
  <c r="ET731" i="3"/>
  <c r="EO731" i="3"/>
  <c r="EJ731" i="3"/>
  <c r="EE731" i="3"/>
  <c r="DZ731" i="3"/>
  <c r="DU731" i="3"/>
  <c r="DO731" i="3"/>
  <c r="FY731" i="3" s="1"/>
  <c r="DJ731" i="3"/>
  <c r="FT731" i="3" s="1"/>
  <c r="DE731" i="3"/>
  <c r="FO731" i="3" s="1"/>
  <c r="CZ731" i="3"/>
  <c r="FJ731" i="3" s="1"/>
  <c r="CU731" i="3"/>
  <c r="FE731" i="3" s="1"/>
  <c r="CP731" i="3"/>
  <c r="EZ731" i="3" s="1"/>
  <c r="CK731" i="3"/>
  <c r="CM731" i="3" s="1"/>
  <c r="CG731" i="3"/>
  <c r="CI731" i="3" s="1"/>
  <c r="BS731" i="3"/>
  <c r="BF731" i="3"/>
  <c r="AZ731" i="3"/>
  <c r="AH731" i="3"/>
  <c r="X731" i="3"/>
  <c r="ET730" i="3"/>
  <c r="EO730" i="3"/>
  <c r="EJ730" i="3"/>
  <c r="EE730" i="3"/>
  <c r="DZ730" i="3"/>
  <c r="DU730" i="3"/>
  <c r="DO730" i="3"/>
  <c r="FY730" i="3" s="1"/>
  <c r="DJ730" i="3"/>
  <c r="FT730" i="3" s="1"/>
  <c r="DE730" i="3"/>
  <c r="CZ730" i="3"/>
  <c r="FJ730" i="3" s="1"/>
  <c r="CU730" i="3"/>
  <c r="FE730" i="3" s="1"/>
  <c r="CP730" i="3"/>
  <c r="EZ730" i="3" s="1"/>
  <c r="CK730" i="3"/>
  <c r="CM730" i="3" s="1"/>
  <c r="CG730" i="3"/>
  <c r="CI730" i="3" s="1"/>
  <c r="BS730" i="3"/>
  <c r="BF730" i="3"/>
  <c r="AZ730" i="3"/>
  <c r="O730" i="3"/>
  <c r="ET729" i="3"/>
  <c r="EO729" i="3"/>
  <c r="EJ729" i="3"/>
  <c r="EE729" i="3"/>
  <c r="DZ729" i="3"/>
  <c r="DU729" i="3"/>
  <c r="DO729" i="3"/>
  <c r="FY729" i="3" s="1"/>
  <c r="DJ729" i="3"/>
  <c r="FT729" i="3" s="1"/>
  <c r="DE729" i="3"/>
  <c r="FO729" i="3" s="1"/>
  <c r="CZ729" i="3"/>
  <c r="CU729" i="3"/>
  <c r="FE729" i="3" s="1"/>
  <c r="CP729" i="3"/>
  <c r="EZ729" i="3" s="1"/>
  <c r="CK729" i="3"/>
  <c r="CM729" i="3" s="1"/>
  <c r="CG729" i="3"/>
  <c r="CI729" i="3" s="1"/>
  <c r="BS729" i="3"/>
  <c r="BF729" i="3"/>
  <c r="AZ729" i="3"/>
  <c r="O729" i="3"/>
  <c r="X729" i="3" s="1"/>
  <c r="ET728" i="3"/>
  <c r="EO728" i="3"/>
  <c r="EJ728" i="3"/>
  <c r="EE728" i="3"/>
  <c r="DZ728" i="3"/>
  <c r="DU728" i="3"/>
  <c r="DO728" i="3"/>
  <c r="FY728" i="3" s="1"/>
  <c r="DJ728" i="3"/>
  <c r="FT728" i="3" s="1"/>
  <c r="DE728" i="3"/>
  <c r="FO728" i="3" s="1"/>
  <c r="CZ728" i="3"/>
  <c r="CU728" i="3"/>
  <c r="FE728" i="3" s="1"/>
  <c r="CP728" i="3"/>
  <c r="EZ728" i="3" s="1"/>
  <c r="CK728" i="3"/>
  <c r="CM728" i="3" s="1"/>
  <c r="CG728" i="3"/>
  <c r="CI728" i="3" s="1"/>
  <c r="BS728" i="3"/>
  <c r="BF728" i="3"/>
  <c r="AZ728" i="3"/>
  <c r="O728" i="3"/>
  <c r="D6" i="8" s="1"/>
  <c r="ET727" i="3"/>
  <c r="EO727" i="3"/>
  <c r="EJ727" i="3"/>
  <c r="EE727" i="3"/>
  <c r="DZ727" i="3"/>
  <c r="DU727" i="3"/>
  <c r="DO727" i="3"/>
  <c r="FY727" i="3" s="1"/>
  <c r="DJ727" i="3"/>
  <c r="FT727" i="3" s="1"/>
  <c r="DE727" i="3"/>
  <c r="FO727" i="3" s="1"/>
  <c r="CZ727" i="3"/>
  <c r="FJ727" i="3" s="1"/>
  <c r="CU727" i="3"/>
  <c r="CP727" i="3"/>
  <c r="EZ727" i="3" s="1"/>
  <c r="CK727" i="3"/>
  <c r="CM727" i="3" s="1"/>
  <c r="CG727" i="3"/>
  <c r="CI727" i="3" s="1"/>
  <c r="BS727" i="3"/>
  <c r="BF727" i="3"/>
  <c r="AZ727" i="3"/>
  <c r="O727" i="3"/>
  <c r="AQ112" i="20" s="1"/>
  <c r="ET726" i="3"/>
  <c r="EO726" i="3"/>
  <c r="EJ726" i="3"/>
  <c r="EE726" i="3"/>
  <c r="DZ726" i="3"/>
  <c r="DU726" i="3"/>
  <c r="DO726" i="3"/>
  <c r="DJ726" i="3"/>
  <c r="DE726" i="3"/>
  <c r="CZ726" i="3"/>
  <c r="CU726" i="3"/>
  <c r="FE726" i="3" s="1"/>
  <c r="CP726" i="3"/>
  <c r="CK726" i="3"/>
  <c r="CM726" i="3" s="1"/>
  <c r="CG726" i="3"/>
  <c r="CI726" i="3" s="1"/>
  <c r="BS726" i="3"/>
  <c r="BF726" i="3"/>
  <c r="AZ726" i="3"/>
  <c r="O726" i="3"/>
  <c r="W708" i="3"/>
  <c r="BE69" i="3" s="1"/>
  <c r="Z691" i="3"/>
  <c r="G691" i="3"/>
  <c r="Z683" i="3"/>
  <c r="G683" i="3"/>
  <c r="Z675" i="3"/>
  <c r="G675" i="3"/>
  <c r="Z667" i="3"/>
  <c r="G667" i="3"/>
  <c r="Z659" i="3"/>
  <c r="G659" i="3"/>
  <c r="Z651" i="3"/>
  <c r="G651" i="3"/>
  <c r="AO647" i="3"/>
  <c r="AB48" i="15" s="1"/>
  <c r="AT646" i="3"/>
  <c r="AT645" i="3"/>
  <c r="AT644" i="3"/>
  <c r="AT643" i="3"/>
  <c r="AT642" i="3"/>
  <c r="AT641" i="3"/>
  <c r="AT640" i="3"/>
  <c r="AT639" i="3"/>
  <c r="AT638" i="3"/>
  <c r="AT637" i="3"/>
  <c r="AT636" i="3"/>
  <c r="Z617" i="3"/>
  <c r="G617" i="3"/>
  <c r="Z609" i="3"/>
  <c r="G609" i="3"/>
  <c r="Z601" i="3"/>
  <c r="G601" i="3"/>
  <c r="Z593" i="3"/>
  <c r="G593" i="3"/>
  <c r="Z585" i="3"/>
  <c r="G585" i="3"/>
  <c r="Z576" i="3"/>
  <c r="G576" i="3"/>
  <c r="BI575" i="3"/>
  <c r="BI574" i="3"/>
  <c r="AM574" i="3"/>
  <c r="AT573" i="3"/>
  <c r="AT572" i="3"/>
  <c r="AT571" i="3"/>
  <c r="AT570" i="3"/>
  <c r="AT569" i="3"/>
  <c r="AT568" i="3"/>
  <c r="BI567" i="3"/>
  <c r="AT567" i="3"/>
  <c r="BI566" i="3"/>
  <c r="AT566" i="3"/>
  <c r="AT565" i="3"/>
  <c r="Q565" i="3"/>
  <c r="AT564" i="3"/>
  <c r="Q564" i="3"/>
  <c r="AT563" i="3"/>
  <c r="BI559" i="3"/>
  <c r="BI558" i="3"/>
  <c r="BI551" i="3"/>
  <c r="BI550" i="3"/>
  <c r="BA487" i="3"/>
  <c r="BA486" i="3"/>
  <c r="BA478" i="3"/>
  <c r="BA477" i="3"/>
  <c r="BA470" i="3"/>
  <c r="BA469" i="3"/>
  <c r="BA463" i="3"/>
  <c r="BA462" i="3"/>
  <c r="AG459" i="3"/>
  <c r="BE24" i="3" s="1"/>
  <c r="AG453" i="3"/>
  <c r="AG450" i="3"/>
  <c r="P427" i="3"/>
  <c r="W427" i="3" s="1"/>
  <c r="BH256" i="3"/>
  <c r="BG250" i="3"/>
  <c r="BG249" i="3"/>
  <c r="BG248" i="3"/>
  <c r="BG247" i="3"/>
  <c r="BG246" i="3"/>
  <c r="BG245" i="3"/>
  <c r="BG243" i="3"/>
  <c r="BG242" i="3"/>
  <c r="BG241" i="3"/>
  <c r="M241" i="3"/>
  <c r="BG239" i="3"/>
  <c r="BG238" i="3"/>
  <c r="BG237" i="3"/>
  <c r="BG236" i="3"/>
  <c r="BG235" i="3"/>
  <c r="Y229" i="3"/>
  <c r="Z229" i="3" s="1"/>
  <c r="Y228" i="3"/>
  <c r="Z228" i="3" s="1"/>
  <c r="Y227" i="3"/>
  <c r="Z227" i="3" s="1"/>
  <c r="Y226" i="3"/>
  <c r="Z226" i="3" s="1"/>
  <c r="Y225" i="3"/>
  <c r="Z225" i="3" s="1"/>
  <c r="T212" i="3"/>
  <c r="I184" i="3"/>
  <c r="BN150" i="3"/>
  <c r="DG122" i="3"/>
  <c r="R995" i="3" s="1"/>
  <c r="BE110" i="3"/>
  <c r="BE109" i="3"/>
  <c r="BE108" i="3"/>
  <c r="BE107" i="3"/>
  <c r="BE106" i="3"/>
  <c r="BE105" i="3"/>
  <c r="BE104" i="3"/>
  <c r="BE103" i="3"/>
  <c r="BE102" i="3"/>
  <c r="BE100" i="3"/>
  <c r="BE99" i="3"/>
  <c r="BE98" i="3"/>
  <c r="BE97" i="3"/>
  <c r="BE96" i="3"/>
  <c r="BE95" i="3"/>
  <c r="BE94" i="3"/>
  <c r="BE93" i="3"/>
  <c r="BE92" i="3"/>
  <c r="BE91" i="3"/>
  <c r="BE90" i="3"/>
  <c r="BE89" i="3"/>
  <c r="BE88" i="3"/>
  <c r="BE87" i="3"/>
  <c r="BE86" i="3"/>
  <c r="BE85" i="3"/>
  <c r="BE84" i="3"/>
  <c r="BE77" i="3"/>
  <c r="BE67" i="3"/>
  <c r="BE66" i="3"/>
  <c r="BE65" i="3"/>
  <c r="BE64" i="3"/>
  <c r="BE63"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8" i="3"/>
  <c r="BE17" i="3"/>
  <c r="BE16" i="3"/>
  <c r="BE5" i="3"/>
  <c r="BE3" i="3"/>
  <c r="B42" i="4" l="1"/>
  <c r="R30" i="21" a="1"/>
  <c r="D57" i="11"/>
  <c r="E94" i="13"/>
  <c r="P35" i="21" a="1"/>
  <c r="O30" i="21"/>
  <c r="P30" i="21" a="1"/>
  <c r="G77" i="21"/>
  <c r="G79" i="21" s="1"/>
  <c r="D66" i="11"/>
  <c r="I63" i="13"/>
  <c r="I97" i="13" s="1"/>
  <c r="I105" i="13" s="1"/>
  <c r="I107" i="13" s="1"/>
  <c r="B38" i="4"/>
  <c r="D12" i="4"/>
  <c r="Y7" i="15"/>
  <c r="AD209" i="20"/>
  <c r="B12" i="11"/>
  <c r="B43" i="11"/>
  <c r="CZ785" i="3"/>
  <c r="DD786" i="3" s="1"/>
  <c r="C12" i="11"/>
  <c r="T7" i="15"/>
  <c r="B54" i="4"/>
  <c r="AP308" i="20"/>
  <c r="AK351" i="20" s="1"/>
  <c r="T888" i="20" s="1"/>
  <c r="AP388" i="20"/>
  <c r="AQ388" i="20" s="1"/>
  <c r="U43" i="7"/>
  <c r="B8" i="4"/>
  <c r="N184" i="24" s="1"/>
  <c r="F70" i="4"/>
  <c r="T30" i="21"/>
  <c r="Q12" i="4"/>
  <c r="R11" i="4"/>
  <c r="B26" i="4"/>
  <c r="T40" i="21"/>
  <c r="O43" i="21"/>
  <c r="BA1067" i="3"/>
  <c r="E104" i="13"/>
  <c r="B81" i="13"/>
  <c r="B81" i="4"/>
  <c r="D104" i="11"/>
  <c r="D103" i="11"/>
  <c r="D102" i="11"/>
  <c r="D96" i="11"/>
  <c r="D94" i="11"/>
  <c r="D92" i="11"/>
  <c r="D90" i="11"/>
  <c r="D89" i="11"/>
  <c r="C82" i="11"/>
  <c r="D73" i="11"/>
  <c r="D61" i="11"/>
  <c r="D60" i="11"/>
  <c r="D58" i="11"/>
  <c r="D54" i="11"/>
  <c r="D51" i="11"/>
  <c r="D28" i="11"/>
  <c r="D26" i="11"/>
  <c r="D22" i="11"/>
  <c r="D19" i="11"/>
  <c r="D16" i="11"/>
  <c r="D6" i="11"/>
  <c r="D5" i="11"/>
  <c r="C63" i="13"/>
  <c r="C97" i="13" s="1"/>
  <c r="C105" i="13" s="1"/>
  <c r="D63" i="4"/>
  <c r="D97" i="4" s="1"/>
  <c r="D105" i="4" s="1"/>
  <c r="BE68" i="3" s="1"/>
  <c r="O63" i="4"/>
  <c r="O97" i="4" s="1"/>
  <c r="O105" i="4" s="1"/>
  <c r="H63" i="4"/>
  <c r="H97" i="4" s="1"/>
  <c r="H105" i="4" s="1"/>
  <c r="C43" i="11"/>
  <c r="D41" i="11"/>
  <c r="AA28" i="7"/>
  <c r="I28" i="7"/>
  <c r="T53" i="21"/>
  <c r="U53" i="21"/>
  <c r="T52" i="21"/>
  <c r="R52" i="21" a="1"/>
  <c r="U50" i="21"/>
  <c r="T50" i="21"/>
  <c r="T48" i="21"/>
  <c r="P48" i="21" a="1"/>
  <c r="U41" i="21"/>
  <c r="O41" i="21"/>
  <c r="T21" i="21"/>
  <c r="U21" i="21"/>
  <c r="R99" i="4"/>
  <c r="R104" i="4" s="1"/>
  <c r="E104" i="4"/>
  <c r="AJ1034" i="3"/>
  <c r="E85" i="4"/>
  <c r="R83" i="4"/>
  <c r="E81" i="4"/>
  <c r="R79" i="4"/>
  <c r="R81" i="4" s="1"/>
  <c r="B77" i="13"/>
  <c r="B77" i="4"/>
  <c r="R75" i="4"/>
  <c r="R77" i="4" s="1"/>
  <c r="E77" i="4"/>
  <c r="R65" i="4"/>
  <c r="E70" i="4"/>
  <c r="R56" i="4"/>
  <c r="R62" i="4" s="1"/>
  <c r="E62" i="4"/>
  <c r="R45" i="4"/>
  <c r="R54" i="4" s="1"/>
  <c r="E54" i="4"/>
  <c r="R40" i="4"/>
  <c r="R42" i="4" s="1"/>
  <c r="E42" i="4"/>
  <c r="R29" i="4"/>
  <c r="E38" i="4"/>
  <c r="BE23" i="3"/>
  <c r="E4" i="4"/>
  <c r="FO730" i="3"/>
  <c r="X730" i="3"/>
  <c r="AH730" i="3" s="1"/>
  <c r="D101" i="11"/>
  <c r="B105" i="11"/>
  <c r="D46" i="11"/>
  <c r="O32" i="21"/>
  <c r="DJ785" i="3"/>
  <c r="DN786" i="3" s="1"/>
  <c r="T35" i="21"/>
  <c r="O29" i="21"/>
  <c r="S49" i="21"/>
  <c r="D10" i="11"/>
  <c r="D34" i="11"/>
  <c r="D47" i="11"/>
  <c r="G113" i="21"/>
  <c r="U52" i="21"/>
  <c r="B97" i="11"/>
  <c r="R38" i="4"/>
  <c r="P29" i="21" a="1"/>
  <c r="O36" i="21"/>
  <c r="T49" i="21"/>
  <c r="P53" i="21" a="1"/>
  <c r="D23" i="11"/>
  <c r="D95" i="11"/>
  <c r="W28" i="7"/>
  <c r="D93" i="11"/>
  <c r="FJ728" i="3"/>
  <c r="AG454" i="3"/>
  <c r="O25" i="21"/>
  <c r="S29" i="21"/>
  <c r="O33" i="21"/>
  <c r="P36" i="21" a="1"/>
  <c r="S40" i="21"/>
  <c r="P45" i="21" a="1"/>
  <c r="U49" i="21"/>
  <c r="R53" i="21" a="1"/>
  <c r="D11" i="11"/>
  <c r="D48" i="11"/>
  <c r="D59" i="11"/>
  <c r="AG28" i="7"/>
  <c r="B54" i="13"/>
  <c r="R36" i="21" a="1"/>
  <c r="U29" i="21"/>
  <c r="P33" i="21" a="1"/>
  <c r="S36" i="21"/>
  <c r="U40" i="21"/>
  <c r="D14" i="11"/>
  <c r="D36" i="11"/>
  <c r="D49" i="11"/>
  <c r="R27" i="21" a="1"/>
  <c r="S35" i="21"/>
  <c r="D44" i="11"/>
  <c r="D33" i="11"/>
  <c r="FE727" i="3"/>
  <c r="FE761" i="3" s="1"/>
  <c r="AC785" i="3"/>
  <c r="P63" i="4"/>
  <c r="P97" i="4" s="1"/>
  <c r="P105" i="4" s="1"/>
  <c r="B38" i="13"/>
  <c r="S33" i="21"/>
  <c r="T36" i="21"/>
  <c r="D25" i="11"/>
  <c r="B39" i="11"/>
  <c r="D88" i="11"/>
  <c r="O761" i="3"/>
  <c r="D40" i="8" s="1"/>
  <c r="S52" i="21"/>
  <c r="B96" i="4"/>
  <c r="D8" i="11"/>
  <c r="O39" i="21"/>
  <c r="E43" i="7"/>
  <c r="T29" i="21"/>
  <c r="F63" i="4"/>
  <c r="T33" i="21"/>
  <c r="P50" i="21" a="1"/>
  <c r="C105" i="11"/>
  <c r="U33" i="21"/>
  <c r="R50" i="21" a="1"/>
  <c r="D75" i="11"/>
  <c r="B9" i="11"/>
  <c r="P47" i="21" a="1"/>
  <c r="J12" i="4"/>
  <c r="L12" i="4"/>
  <c r="P27" i="21" a="1"/>
  <c r="P37" i="21" a="1"/>
  <c r="AH729" i="3"/>
  <c r="AO71" i="20"/>
  <c r="U37" i="21"/>
  <c r="S47" i="21"/>
  <c r="D91" i="11"/>
  <c r="D53" i="11"/>
  <c r="BS761" i="3"/>
  <c r="BT754" i="3" s="1"/>
  <c r="BU754" i="3" s="1"/>
  <c r="N12" i="4"/>
  <c r="G28" i="7"/>
  <c r="D7" i="11"/>
  <c r="D42" i="11"/>
  <c r="P28" i="21" a="1"/>
  <c r="S30" i="21"/>
  <c r="S39" i="21"/>
  <c r="T45" i="21"/>
  <c r="U48" i="21"/>
  <c r="K40" i="7"/>
  <c r="K43" i="7" s="1"/>
  <c r="D38" i="11"/>
  <c r="D85" i="11"/>
  <c r="CZ805" i="3"/>
  <c r="DD806" i="3" s="1"/>
  <c r="J28" i="24"/>
  <c r="E104" i="20"/>
  <c r="S28" i="21"/>
  <c r="T39" i="21"/>
  <c r="P42" i="21" a="1"/>
  <c r="U45" i="21"/>
  <c r="O51" i="21"/>
  <c r="O54" i="21"/>
  <c r="Q40" i="7"/>
  <c r="Q43" i="7" s="1"/>
  <c r="D50" i="11"/>
  <c r="D70" i="11"/>
  <c r="F12" i="4"/>
  <c r="T28" i="21"/>
  <c r="U39" i="21"/>
  <c r="R42" i="21" a="1"/>
  <c r="P51" i="21" a="1"/>
  <c r="W40" i="7"/>
  <c r="W43" i="7" s="1"/>
  <c r="D86" i="11"/>
  <c r="AZ1061" i="3"/>
  <c r="H12" i="4"/>
  <c r="N183" i="24"/>
  <c r="U28" i="21"/>
  <c r="O34" i="21"/>
  <c r="O37" i="21"/>
  <c r="S42" i="21"/>
  <c r="R51" i="21" a="1"/>
  <c r="P54" i="21" a="1"/>
  <c r="Y40" i="7"/>
  <c r="Y43" i="7" s="1"/>
  <c r="D20" i="11"/>
  <c r="DO761" i="3"/>
  <c r="EW661" i="3" s="1"/>
  <c r="B11" i="4"/>
  <c r="T63" i="4"/>
  <c r="H63" i="13" s="1"/>
  <c r="T880" i="20"/>
  <c r="AF880" i="20" s="1"/>
  <c r="BE75" i="3" s="1"/>
  <c r="T42" i="21"/>
  <c r="S51" i="21"/>
  <c r="R54" i="21" a="1"/>
  <c r="AC28" i="7"/>
  <c r="AA40" i="7"/>
  <c r="AA43" i="7" s="1"/>
  <c r="C9" i="11"/>
  <c r="D31" i="11"/>
  <c r="D87" i="11"/>
  <c r="FJ729" i="3"/>
  <c r="U42" i="21"/>
  <c r="O49" i="21"/>
  <c r="U51" i="21"/>
  <c r="S54" i="21"/>
  <c r="AE28" i="7"/>
  <c r="AC40" i="7"/>
  <c r="AC43" i="7" s="1"/>
  <c r="D21" i="11"/>
  <c r="D74" i="11"/>
  <c r="C63" i="4"/>
  <c r="B63" i="13" s="1"/>
  <c r="B104" i="4"/>
  <c r="AQ113" i="20"/>
  <c r="O27" i="21"/>
  <c r="P31" i="21" a="1"/>
  <c r="R37" i="21" a="1"/>
  <c r="O40" i="21"/>
  <c r="O46" i="21"/>
  <c r="P49" i="21" a="1"/>
  <c r="T54" i="21"/>
  <c r="AE40" i="7"/>
  <c r="AE43" i="7" s="1"/>
  <c r="D32" i="11"/>
  <c r="D52" i="11"/>
  <c r="B78" i="11"/>
  <c r="DU761" i="3"/>
  <c r="S37" i="21"/>
  <c r="AG40" i="7"/>
  <c r="AG43" i="7" s="1"/>
  <c r="CU785" i="3"/>
  <c r="CY786" i="3" s="1"/>
  <c r="P40" i="21" a="1"/>
  <c r="D62" i="11"/>
  <c r="D76" i="11"/>
  <c r="B55" i="11"/>
  <c r="BG252" i="3"/>
  <c r="BO254" i="3" s="1"/>
  <c r="T276" i="3" s="1"/>
  <c r="S27" i="21"/>
  <c r="C71" i="11"/>
  <c r="D77" i="11"/>
  <c r="X728" i="3"/>
  <c r="AH728" i="3" s="1"/>
  <c r="AD7" i="15"/>
  <c r="T27" i="21"/>
  <c r="T47" i="21"/>
  <c r="D35" i="11"/>
  <c r="DE785" i="3"/>
  <c r="DI786" i="3" s="1"/>
  <c r="AO47" i="20"/>
  <c r="R21" i="21" a="1"/>
  <c r="P38" i="21" a="1"/>
  <c r="D80" i="11"/>
  <c r="B82" i="11"/>
  <c r="AF427" i="3"/>
  <c r="AP595" i="20" s="1"/>
  <c r="AO649" i="3"/>
  <c r="D15" i="11"/>
  <c r="D81" i="11"/>
  <c r="I430" i="3"/>
  <c r="S63" i="4"/>
  <c r="J63" i="13"/>
  <c r="J97" i="13" s="1"/>
  <c r="J105" i="13" s="1"/>
  <c r="J107" i="13" s="1"/>
  <c r="O45" i="21"/>
  <c r="O48" i="21"/>
  <c r="R20" i="21" a="1"/>
  <c r="R25" i="21" a="1"/>
  <c r="O28" i="21"/>
  <c r="P39" i="21" a="1"/>
  <c r="R45" i="21" a="1"/>
  <c r="R48" i="21" a="1"/>
  <c r="B63" i="11"/>
  <c r="S48" i="21"/>
  <c r="C27" i="11"/>
  <c r="C63" i="11"/>
  <c r="CZ761" i="3"/>
  <c r="EH667" i="3" s="1"/>
  <c r="FJ726" i="3"/>
  <c r="EO799" i="3"/>
  <c r="EO805" i="3" s="1"/>
  <c r="DJ805" i="3"/>
  <c r="DN806" i="3" s="1"/>
  <c r="EJ805" i="3"/>
  <c r="DZ761" i="3"/>
  <c r="EE761" i="3"/>
  <c r="DZ801" i="3"/>
  <c r="DZ805" i="3" s="1"/>
  <c r="CU805" i="3"/>
  <c r="CY806" i="3" s="1"/>
  <c r="J63" i="4"/>
  <c r="J97" i="4" s="1"/>
  <c r="J105" i="4" s="1"/>
  <c r="DE761" i="3"/>
  <c r="EM644" i="3" s="1"/>
  <c r="FO726" i="3"/>
  <c r="DJ761" i="3"/>
  <c r="ER651" i="3" s="1"/>
  <c r="FT726" i="3"/>
  <c r="CP805" i="3"/>
  <c r="AY1012" i="3"/>
  <c r="AC893" i="3"/>
  <c r="C806" i="3"/>
  <c r="ET805" i="3"/>
  <c r="BF761" i="3"/>
  <c r="D30" i="11"/>
  <c r="C39" i="11"/>
  <c r="F63" i="13"/>
  <c r="F97" i="13" s="1"/>
  <c r="F105" i="13" s="1"/>
  <c r="F107" i="13" s="1"/>
  <c r="AF1023" i="3"/>
  <c r="BA1051" i="3"/>
  <c r="BD1060" i="3" s="1" a="1"/>
  <c r="Y68" i="15"/>
  <c r="R26" i="4"/>
  <c r="CP761" i="3"/>
  <c r="DX676" i="3" s="1"/>
  <c r="C12" i="4"/>
  <c r="B12" i="13" s="1"/>
  <c r="E15" i="7"/>
  <c r="AC892" i="3"/>
  <c r="AY1033" i="3"/>
  <c r="AF1026" i="3" s="1"/>
  <c r="AQ111" i="20"/>
  <c r="X726" i="3"/>
  <c r="AH726" i="3" s="1"/>
  <c r="D4" i="8"/>
  <c r="I4" i="8" s="1"/>
  <c r="J4" i="8" s="1"/>
  <c r="G63" i="4"/>
  <c r="G97" i="4" s="1"/>
  <c r="G105" i="4" s="1"/>
  <c r="G12" i="4"/>
  <c r="DU805" i="3"/>
  <c r="G51" i="21"/>
  <c r="AJ1045" i="3"/>
  <c r="I15" i="21" s="1"/>
  <c r="ET761" i="3"/>
  <c r="DO805" i="3"/>
  <c r="C55" i="11"/>
  <c r="EZ726" i="3"/>
  <c r="AQ114" i="20"/>
  <c r="D7" i="8"/>
  <c r="B42" i="13"/>
  <c r="D24" i="11"/>
  <c r="AD68" i="15"/>
  <c r="G58" i="7"/>
  <c r="EJ761" i="3"/>
  <c r="L63" i="4"/>
  <c r="L97" i="4" s="1"/>
  <c r="L105" i="4" s="1"/>
  <c r="M63" i="4"/>
  <c r="M97" i="4" s="1"/>
  <c r="M105" i="4" s="1"/>
  <c r="M12" i="4"/>
  <c r="FY726" i="3"/>
  <c r="O12" i="4"/>
  <c r="E26" i="4"/>
  <c r="AV121" i="20"/>
  <c r="AW116" i="20" s="1"/>
  <c r="U24" i="21"/>
  <c r="R24" i="21" a="1"/>
  <c r="M18" i="21"/>
  <c r="R997" i="3"/>
  <c r="R996" i="3"/>
  <c r="R999" i="3"/>
  <c r="N63" i="4"/>
  <c r="N97" i="4" s="1"/>
  <c r="N105" i="4" s="1"/>
  <c r="BE6" i="3"/>
  <c r="BE7" i="3" s="1"/>
  <c r="CI761" i="3"/>
  <c r="D5" i="8"/>
  <c r="I5" i="8" s="1"/>
  <c r="J5" i="8" s="1"/>
  <c r="X727" i="3"/>
  <c r="AH727" i="3" s="1"/>
  <c r="EO761" i="3"/>
  <c r="D8" i="8"/>
  <c r="AQ115" i="20"/>
  <c r="EE805" i="3"/>
  <c r="R998" i="3"/>
  <c r="B8" i="13"/>
  <c r="K63" i="4"/>
  <c r="K97" i="4" s="1"/>
  <c r="K105" i="4" s="1"/>
  <c r="K12" i="4"/>
  <c r="AC805" i="3"/>
  <c r="CM761" i="3"/>
  <c r="X1061" i="3" s="1"/>
  <c r="CP785" i="3"/>
  <c r="DE805" i="3"/>
  <c r="DI806" i="3" s="1"/>
  <c r="B70" i="13"/>
  <c r="B70" i="4"/>
  <c r="AO34" i="20"/>
  <c r="E25" i="21"/>
  <c r="F25" i="21" s="1"/>
  <c r="G25" i="21" s="1"/>
  <c r="B62" i="4"/>
  <c r="B62" i="13"/>
  <c r="I12" i="4"/>
  <c r="I63" i="4"/>
  <c r="I97" i="4" s="1"/>
  <c r="I105" i="4" s="1"/>
  <c r="C12" i="13"/>
  <c r="AO57" i="20"/>
  <c r="R44" i="21" a="1"/>
  <c r="P44" i="21" a="1"/>
  <c r="O44" i="21"/>
  <c r="U44" i="21"/>
  <c r="T44" i="21"/>
  <c r="S44" i="21"/>
  <c r="CU761" i="3"/>
  <c r="D63" i="13"/>
  <c r="D97" i="13" s="1"/>
  <c r="D105" i="13" s="1"/>
  <c r="B71" i="11"/>
  <c r="O26" i="21"/>
  <c r="U26" i="21"/>
  <c r="T26" i="21"/>
  <c r="S26" i="21"/>
  <c r="R26" i="21" a="1"/>
  <c r="P26" i="21" a="1"/>
  <c r="Q29" i="7"/>
  <c r="O29" i="7"/>
  <c r="M29" i="7"/>
  <c r="I29" i="7"/>
  <c r="G29" i="7"/>
  <c r="AG29" i="7"/>
  <c r="AE29" i="7"/>
  <c r="AC29" i="7"/>
  <c r="AA29" i="7"/>
  <c r="Y29" i="7"/>
  <c r="W29" i="7"/>
  <c r="U29" i="7"/>
  <c r="S29" i="7"/>
  <c r="Q63" i="4"/>
  <c r="Q97" i="4" s="1"/>
  <c r="Q105" i="4" s="1"/>
  <c r="AK182" i="20"/>
  <c r="AP379" i="20"/>
  <c r="AQ379" i="20" s="1"/>
  <c r="K29" i="7"/>
  <c r="G8" i="7"/>
  <c r="E9" i="7"/>
  <c r="D84" i="11"/>
  <c r="DO785" i="3"/>
  <c r="DS786" i="3" s="1"/>
  <c r="AB233" i="20"/>
  <c r="AB249" i="20" s="1"/>
  <c r="AB251" i="20" s="1"/>
  <c r="AB253" i="20" s="1"/>
  <c r="AB259" i="20" s="1"/>
  <c r="AD208" i="20" s="1"/>
  <c r="AK548" i="20"/>
  <c r="T885" i="20" s="1"/>
  <c r="B27" i="11"/>
  <c r="AX703" i="20"/>
  <c r="E103" i="20"/>
  <c r="G63" i="13"/>
  <c r="G97" i="13" s="1"/>
  <c r="G105" i="13" s="1"/>
  <c r="G107" i="13" s="1"/>
  <c r="R23" i="21" a="1"/>
  <c r="R32" i="21" a="1"/>
  <c r="O53" i="21"/>
  <c r="I53" i="7"/>
  <c r="D18" i="11"/>
  <c r="D100" i="11"/>
  <c r="S32" i="21"/>
  <c r="P34" i="21" a="1"/>
  <c r="P41" i="21" a="1"/>
  <c r="P46" i="21" a="1"/>
  <c r="K28" i="7"/>
  <c r="T23" i="21"/>
  <c r="E28" i="21"/>
  <c r="T32" i="21"/>
  <c r="G5" i="8"/>
  <c r="M28" i="7"/>
  <c r="G40" i="7"/>
  <c r="G43" i="7" s="1"/>
  <c r="C78" i="11"/>
  <c r="U23" i="21"/>
  <c r="U32" i="21"/>
  <c r="R34" i="21" a="1"/>
  <c r="R41" i="21" a="1"/>
  <c r="R46" i="21" a="1"/>
  <c r="O28" i="7"/>
  <c r="I40" i="7"/>
  <c r="I43" i="7" s="1"/>
  <c r="E24" i="21"/>
  <c r="S34" i="21"/>
  <c r="S41" i="21"/>
  <c r="S46" i="21"/>
  <c r="Q28" i="7"/>
  <c r="O31" i="21"/>
  <c r="T34" i="21"/>
  <c r="O38" i="21"/>
  <c r="T41" i="21"/>
  <c r="T46" i="21"/>
  <c r="O50" i="21"/>
  <c r="S53" i="21"/>
  <c r="S28" i="7"/>
  <c r="M40" i="7"/>
  <c r="M43" i="7" s="1"/>
  <c r="P25" i="21" a="1"/>
  <c r="P43" i="21" a="1"/>
  <c r="U28" i="7"/>
  <c r="O40" i="7"/>
  <c r="O43" i="7" s="1"/>
  <c r="E27" i="21"/>
  <c r="R43" i="21" a="1"/>
  <c r="Y28" i="7"/>
  <c r="S40" i="7"/>
  <c r="S43" i="7" s="1"/>
  <c r="R22" i="21" a="1"/>
  <c r="S25" i="21"/>
  <c r="R31" i="21" a="1"/>
  <c r="R38" i="21" a="1"/>
  <c r="S43" i="21"/>
  <c r="O52" i="21"/>
  <c r="U20" i="21"/>
  <c r="T25" i="21"/>
  <c r="S31" i="21"/>
  <c r="S38" i="21"/>
  <c r="T43" i="21"/>
  <c r="S50" i="21"/>
  <c r="T22" i="21"/>
  <c r="T31" i="21"/>
  <c r="O35" i="21"/>
  <c r="T38" i="21"/>
  <c r="O47" i="21"/>
  <c r="P52" i="21" a="1"/>
  <c r="E26" i="21"/>
  <c r="C97" i="11"/>
  <c r="R35" i="21" a="1"/>
  <c r="R47" i="21" a="1"/>
  <c r="G4" i="8"/>
  <c r="C13" i="11" l="1"/>
  <c r="D82" i="11"/>
  <c r="D12" i="11"/>
  <c r="EW651" i="3"/>
  <c r="BT744" i="3"/>
  <c r="BU744" i="3" s="1"/>
  <c r="BT759" i="3"/>
  <c r="BU759" i="3" s="1"/>
  <c r="B13" i="11"/>
  <c r="D13" i="11" s="1"/>
  <c r="EW649" i="3"/>
  <c r="EW650" i="3"/>
  <c r="EW672" i="3"/>
  <c r="DS763" i="3"/>
  <c r="EW668" i="3"/>
  <c r="EW665" i="3"/>
  <c r="EW646" i="3"/>
  <c r="EW667" i="3"/>
  <c r="EW670" i="3"/>
  <c r="B12" i="4"/>
  <c r="EW669" i="3"/>
  <c r="EW652" i="3"/>
  <c r="DX664" i="3"/>
  <c r="AD210" i="20"/>
  <c r="EW655" i="3"/>
  <c r="EW663" i="3"/>
  <c r="T887" i="20"/>
  <c r="AF887" i="20" s="1"/>
  <c r="BE79" i="3" s="1"/>
  <c r="EW666" i="3"/>
  <c r="Y809" i="3"/>
  <c r="E4" i="7" s="1"/>
  <c r="E5" i="7" s="1"/>
  <c r="EW675" i="3"/>
  <c r="EW662" i="3"/>
  <c r="EW656" i="3"/>
  <c r="EW671" i="3"/>
  <c r="EW644" i="3"/>
  <c r="F97" i="4"/>
  <c r="F105" i="4" s="1"/>
  <c r="EW645" i="3"/>
  <c r="EH669" i="3"/>
  <c r="EH645" i="3"/>
  <c r="D43" i="11"/>
  <c r="ER657" i="3"/>
  <c r="Y808" i="3"/>
  <c r="EH654" i="3"/>
  <c r="EH670" i="3"/>
  <c r="EH647" i="3"/>
  <c r="EH648" i="3"/>
  <c r="EH653" i="3"/>
  <c r="EH644" i="3"/>
  <c r="T97" i="4"/>
  <c r="H97" i="13" s="1"/>
  <c r="R69" i="4"/>
  <c r="R70" i="4" s="1"/>
  <c r="N190" i="24"/>
  <c r="D97" i="11"/>
  <c r="R85" i="4"/>
  <c r="R96" i="4" s="1"/>
  <c r="E96" i="4"/>
  <c r="E63" i="13"/>
  <c r="S97" i="4"/>
  <c r="D55" i="11"/>
  <c r="R4" i="4"/>
  <c r="R8" i="4" s="1"/>
  <c r="E8" i="4"/>
  <c r="D63" i="11"/>
  <c r="T27" i="15"/>
  <c r="AI27" i="15"/>
  <c r="Y27" i="15"/>
  <c r="AD27" i="15"/>
  <c r="BT738" i="3"/>
  <c r="BU738" i="3" s="1"/>
  <c r="BT740" i="3"/>
  <c r="BU740" i="3" s="1"/>
  <c r="BT743" i="3"/>
  <c r="BU743" i="3" s="1"/>
  <c r="BT756" i="3"/>
  <c r="BU756" i="3" s="1"/>
  <c r="BT726" i="3"/>
  <c r="BT750" i="3"/>
  <c r="BU750" i="3" s="1"/>
  <c r="BT735" i="3"/>
  <c r="BU735" i="3" s="1"/>
  <c r="BT753" i="3"/>
  <c r="BU753" i="3" s="1"/>
  <c r="BT746" i="3"/>
  <c r="BU746" i="3" s="1"/>
  <c r="BT731" i="3"/>
  <c r="BU731" i="3" s="1"/>
  <c r="BT745" i="3"/>
  <c r="BU745" i="3" s="1"/>
  <c r="BT727" i="3"/>
  <c r="BU727" i="3" s="1"/>
  <c r="BT747" i="3"/>
  <c r="BU747" i="3" s="1"/>
  <c r="BT741" i="3"/>
  <c r="BU741" i="3" s="1"/>
  <c r="BT734" i="3"/>
  <c r="BU734" i="3" s="1"/>
  <c r="BT751" i="3"/>
  <c r="BU751" i="3" s="1"/>
  <c r="Y620" i="20"/>
  <c r="AP600" i="20"/>
  <c r="EH677" i="3"/>
  <c r="EH671" i="3"/>
  <c r="EH657" i="3"/>
  <c r="EH649" i="3"/>
  <c r="EH665" i="3"/>
  <c r="EH650" i="3"/>
  <c r="EH675" i="3"/>
  <c r="ER667" i="3"/>
  <c r="ER677" i="3"/>
  <c r="ER666" i="3"/>
  <c r="ER659" i="3"/>
  <c r="ER662" i="3"/>
  <c r="ER656" i="3"/>
  <c r="D105" i="11"/>
  <c r="DX669" i="3"/>
  <c r="BT749" i="3"/>
  <c r="BU749" i="3" s="1"/>
  <c r="BT752" i="3"/>
  <c r="BU752" i="3" s="1"/>
  <c r="B63" i="4"/>
  <c r="BT737" i="3"/>
  <c r="BU737" i="3" s="1"/>
  <c r="BT739" i="3"/>
  <c r="BU739" i="3" s="1"/>
  <c r="C97" i="4"/>
  <c r="EW657" i="3"/>
  <c r="BT742" i="3"/>
  <c r="BU742" i="3" s="1"/>
  <c r="BT760" i="3"/>
  <c r="BU760" i="3" s="1"/>
  <c r="AX706" i="20"/>
  <c r="D9" i="11"/>
  <c r="G40" i="8"/>
  <c r="J40" i="8"/>
  <c r="EW653" i="3"/>
  <c r="BT732" i="3"/>
  <c r="BU732" i="3" s="1"/>
  <c r="BT733" i="3"/>
  <c r="BU733" i="3" s="1"/>
  <c r="EW676" i="3"/>
  <c r="BT730" i="3"/>
  <c r="BU730" i="3" s="1"/>
  <c r="BT736" i="3"/>
  <c r="BU736" i="3" s="1"/>
  <c r="EW659" i="3"/>
  <c r="EW673" i="3"/>
  <c r="EW677" i="3"/>
  <c r="B64" i="11"/>
  <c r="B98" i="11" s="1"/>
  <c r="B106" i="11" s="1"/>
  <c r="BT748" i="3"/>
  <c r="BU748" i="3" s="1"/>
  <c r="BT757" i="3"/>
  <c r="BU757" i="3" s="1"/>
  <c r="EW647" i="3"/>
  <c r="BT755" i="3"/>
  <c r="BU755" i="3" s="1"/>
  <c r="D71" i="11"/>
  <c r="EW654" i="3"/>
  <c r="EW658" i="3"/>
  <c r="DX658" i="3"/>
  <c r="EW660" i="3"/>
  <c r="BT758" i="3"/>
  <c r="BU758" i="3" s="1"/>
  <c r="BT729" i="3"/>
  <c r="BU729" i="3" s="1"/>
  <c r="EW674" i="3"/>
  <c r="D39" i="11"/>
  <c r="D78" i="11"/>
  <c r="EW648" i="3"/>
  <c r="BT728" i="3"/>
  <c r="BU728" i="3" s="1"/>
  <c r="EW664" i="3"/>
  <c r="EH666" i="3"/>
  <c r="ER672" i="3"/>
  <c r="ER645" i="3"/>
  <c r="ER660" i="3"/>
  <c r="Y69" i="15"/>
  <c r="ER648" i="3"/>
  <c r="DX674" i="3"/>
  <c r="ER670" i="3"/>
  <c r="DX657" i="3"/>
  <c r="ER675" i="3"/>
  <c r="EH660" i="3"/>
  <c r="ER671" i="3"/>
  <c r="ER668" i="3"/>
  <c r="ER664" i="3"/>
  <c r="ER676" i="3"/>
  <c r="DX672" i="3"/>
  <c r="AW120" i="20"/>
  <c r="EH651" i="3"/>
  <c r="AW119" i="20"/>
  <c r="ER647" i="3"/>
  <c r="D27" i="11"/>
  <c r="AW115" i="20"/>
  <c r="AW117" i="20"/>
  <c r="AW118" i="20"/>
  <c r="CU810" i="3"/>
  <c r="AB996" i="3" s="1"/>
  <c r="AJ996" i="3" s="1"/>
  <c r="CY763" i="3"/>
  <c r="EC662" i="3"/>
  <c r="EC676" i="3"/>
  <c r="EC671" i="3"/>
  <c r="EC675" i="3"/>
  <c r="EC656" i="3"/>
  <c r="EC670" i="3"/>
  <c r="EC654" i="3"/>
  <c r="EC646" i="3"/>
  <c r="EC659" i="3"/>
  <c r="EC655" i="3"/>
  <c r="AX704" i="20"/>
  <c r="EM676" i="3"/>
  <c r="DE810" i="3"/>
  <c r="AB998" i="3" s="1"/>
  <c r="AJ998" i="3" s="1"/>
  <c r="EM677" i="3"/>
  <c r="DI763" i="3"/>
  <c r="EM661" i="3"/>
  <c r="EM646" i="3"/>
  <c r="EM660" i="3"/>
  <c r="EM649" i="3"/>
  <c r="EM673" i="3"/>
  <c r="EM650" i="3"/>
  <c r="EM663" i="3"/>
  <c r="EM674" i="3"/>
  <c r="EM656" i="3"/>
  <c r="EC645" i="3"/>
  <c r="DX662" i="3"/>
  <c r="EM648" i="3"/>
  <c r="EM643" i="3"/>
  <c r="FO761" i="3"/>
  <c r="EW643" i="3"/>
  <c r="FY761" i="3"/>
  <c r="CT786" i="3"/>
  <c r="DU786" i="3" s="1"/>
  <c r="DU785" i="3"/>
  <c r="EM664" i="3"/>
  <c r="EM672" i="3"/>
  <c r="EM667" i="3"/>
  <c r="EC661" i="3"/>
  <c r="DX652" i="3"/>
  <c r="EC657" i="3"/>
  <c r="BG760" i="3"/>
  <c r="BH760" i="3" s="1"/>
  <c r="BG747" i="3"/>
  <c r="BH747" i="3" s="1"/>
  <c r="BG748" i="3"/>
  <c r="BH748" i="3" s="1"/>
  <c r="BG731" i="3"/>
  <c r="BH731" i="3" s="1"/>
  <c r="BG746" i="3"/>
  <c r="BH746" i="3" s="1"/>
  <c r="BG744" i="3"/>
  <c r="BH744" i="3" s="1"/>
  <c r="BG758" i="3"/>
  <c r="BH758" i="3" s="1"/>
  <c r="BG742" i="3"/>
  <c r="BH742" i="3" s="1"/>
  <c r="BG740" i="3"/>
  <c r="BH740" i="3" s="1"/>
  <c r="BG738" i="3"/>
  <c r="BH738" i="3" s="1"/>
  <c r="BG729" i="3"/>
  <c r="BH729" i="3" s="1"/>
  <c r="BG755" i="3"/>
  <c r="BH755" i="3" s="1"/>
  <c r="BG749" i="3"/>
  <c r="BH749" i="3" s="1"/>
  <c r="BG732" i="3"/>
  <c r="BH732" i="3" s="1"/>
  <c r="BG745" i="3"/>
  <c r="BH745" i="3" s="1"/>
  <c r="BG743" i="3"/>
  <c r="BH743" i="3" s="1"/>
  <c r="BG730" i="3"/>
  <c r="BH730" i="3" s="1"/>
  <c r="BG741" i="3"/>
  <c r="BH741" i="3" s="1"/>
  <c r="BG756" i="3"/>
  <c r="BH756" i="3" s="1"/>
  <c r="BG751" i="3"/>
  <c r="BH751" i="3" s="1"/>
  <c r="BG757" i="3"/>
  <c r="BH757" i="3" s="1"/>
  <c r="BG754" i="3"/>
  <c r="BH754" i="3" s="1"/>
  <c r="BG734" i="3"/>
  <c r="BH734" i="3" s="1"/>
  <c r="BG737" i="3"/>
  <c r="BH737" i="3" s="1"/>
  <c r="BG726" i="3"/>
  <c r="BG736" i="3"/>
  <c r="BH736" i="3" s="1"/>
  <c r="BG753" i="3"/>
  <c r="BH753" i="3" s="1"/>
  <c r="BG759" i="3"/>
  <c r="BH759" i="3" s="1"/>
  <c r="BG739" i="3"/>
  <c r="BH739" i="3" s="1"/>
  <c r="BG728" i="3"/>
  <c r="BH728" i="3" s="1"/>
  <c r="BG733" i="3"/>
  <c r="BH733" i="3" s="1"/>
  <c r="BG752" i="3"/>
  <c r="BH752" i="3" s="1"/>
  <c r="BG727" i="3"/>
  <c r="BH727" i="3" s="1"/>
  <c r="BG750" i="3"/>
  <c r="BH750" i="3" s="1"/>
  <c r="BG735" i="3"/>
  <c r="BH735" i="3" s="1"/>
  <c r="DX656" i="3"/>
  <c r="EM658" i="3"/>
  <c r="EC660" i="3"/>
  <c r="EM671" i="3"/>
  <c r="AG1058" i="3"/>
  <c r="DX673" i="3"/>
  <c r="EM665" i="3"/>
  <c r="EC652" i="3"/>
  <c r="AS373" i="20"/>
  <c r="AS375" i="20"/>
  <c r="AS371" i="20" s="1"/>
  <c r="AK482" i="20" s="1"/>
  <c r="T889" i="20" s="1"/>
  <c r="AF889" i="20" s="1"/>
  <c r="BE80" i="3" s="1"/>
  <c r="EM675" i="3"/>
  <c r="C64" i="11"/>
  <c r="DX675" i="3"/>
  <c r="EC672" i="3"/>
  <c r="I1061" i="3"/>
  <c r="AY1015" i="3" s="1"/>
  <c r="I1057" i="3"/>
  <c r="DU807" i="3"/>
  <c r="CT806" i="3"/>
  <c r="EH643" i="3"/>
  <c r="FJ761" i="3"/>
  <c r="EC668" i="3"/>
  <c r="EC667" i="3"/>
  <c r="EM652" i="3"/>
  <c r="EM647" i="3"/>
  <c r="DX677" i="3"/>
  <c r="DD763" i="3"/>
  <c r="CZ810" i="3"/>
  <c r="AB997" i="3" s="1"/>
  <c r="AJ997" i="3" s="1"/>
  <c r="EH676" i="3"/>
  <c r="EH655" i="3"/>
  <c r="EH662" i="3"/>
  <c r="EH661" i="3"/>
  <c r="EH656" i="3"/>
  <c r="EH646" i="3"/>
  <c r="EH659" i="3"/>
  <c r="EH663" i="3"/>
  <c r="EH674" i="3"/>
  <c r="EH673" i="3"/>
  <c r="G153" i="21"/>
  <c r="G155" i="21" s="1"/>
  <c r="I16" i="21" s="1"/>
  <c r="T18" i="21"/>
  <c r="G60" i="21" s="1"/>
  <c r="EC658" i="3"/>
  <c r="EM662" i="3"/>
  <c r="G42" i="21" a="1"/>
  <c r="ER643" i="3"/>
  <c r="FT761" i="3"/>
  <c r="F24" i="21"/>
  <c r="E29" i="21"/>
  <c r="EC674" i="3"/>
  <c r="EC650" i="3"/>
  <c r="EC669" i="3"/>
  <c r="DX644" i="3"/>
  <c r="ET807" i="3"/>
  <c r="EC643" i="3"/>
  <c r="EC651" i="3"/>
  <c r="DX666" i="3"/>
  <c r="BA1048" i="3"/>
  <c r="BA1057" i="3" s="1" a="1"/>
  <c r="X1057" i="3"/>
  <c r="E22" i="7"/>
  <c r="E35" i="7" s="1"/>
  <c r="G15" i="7"/>
  <c r="EC644" i="3"/>
  <c r="DX667" i="3"/>
  <c r="DN763" i="3"/>
  <c r="AX705" i="20"/>
  <c r="ER669" i="3"/>
  <c r="DJ810" i="3"/>
  <c r="ER650" i="3"/>
  <c r="ER652" i="3"/>
  <c r="ER661" i="3"/>
  <c r="ER665" i="3"/>
  <c r="ER646" i="3"/>
  <c r="ER674" i="3"/>
  <c r="ER649" i="3"/>
  <c r="EM668" i="3"/>
  <c r="EC648" i="3"/>
  <c r="EC647" i="3"/>
  <c r="EC665" i="3"/>
  <c r="DO810" i="3"/>
  <c r="DS806" i="3"/>
  <c r="EM666" i="3"/>
  <c r="DO762" i="3"/>
  <c r="CP810" i="3"/>
  <c r="AB995" i="3" s="1"/>
  <c r="DX648" i="3"/>
  <c r="CT763" i="3"/>
  <c r="DX649" i="3"/>
  <c r="DX671" i="3"/>
  <c r="DX670" i="3"/>
  <c r="DX660" i="3"/>
  <c r="DX645" i="3"/>
  <c r="DX655" i="3"/>
  <c r="DX650" i="3"/>
  <c r="DX659" i="3"/>
  <c r="DX654" i="3"/>
  <c r="EM645" i="3"/>
  <c r="DX663" i="3"/>
  <c r="DX651" i="3"/>
  <c r="I58" i="7"/>
  <c r="K53" i="7"/>
  <c r="EM651" i="3"/>
  <c r="DX661" i="3"/>
  <c r="EM655" i="3"/>
  <c r="EM670" i="3"/>
  <c r="EC664" i="3"/>
  <c r="EH672" i="3"/>
  <c r="EM669" i="3"/>
  <c r="EC673" i="3"/>
  <c r="ER673" i="3"/>
  <c r="EH658" i="3"/>
  <c r="EH668" i="3"/>
  <c r="EC653" i="3"/>
  <c r="EM653" i="3"/>
  <c r="I8" i="7"/>
  <c r="G9" i="7"/>
  <c r="AC894" i="3"/>
  <c r="AO60" i="20"/>
  <c r="AK61" i="20" s="1"/>
  <c r="EM657" i="3"/>
  <c r="ER658" i="3"/>
  <c r="ER644" i="3"/>
  <c r="ER655" i="3"/>
  <c r="ER663" i="3"/>
  <c r="EZ761" i="3"/>
  <c r="DX643" i="3"/>
  <c r="EM654" i="3"/>
  <c r="EC649" i="3"/>
  <c r="EC666" i="3"/>
  <c r="EC663" i="3"/>
  <c r="EC677" i="3"/>
  <c r="DX668" i="3"/>
  <c r="EM659" i="3"/>
  <c r="BE8" i="3"/>
  <c r="BE9" i="3" s="1"/>
  <c r="EH664" i="3"/>
  <c r="DX647" i="3"/>
  <c r="ER654" i="3"/>
  <c r="DX653" i="3"/>
  <c r="DX665" i="3"/>
  <c r="ER653" i="3"/>
  <c r="EH652" i="3"/>
  <c r="DX646" i="3"/>
  <c r="G4" i="7" l="1"/>
  <c r="Z817" i="3"/>
  <c r="M969" i="3"/>
  <c r="M970" i="3" s="1"/>
  <c r="T105" i="4"/>
  <c r="R12" i="4"/>
  <c r="R63" i="4"/>
  <c r="R97" i="4" s="1"/>
  <c r="R105" i="4" s="1"/>
  <c r="AZ1055" i="3"/>
  <c r="E97" i="13"/>
  <c r="S105" i="4"/>
  <c r="I9" i="21" s="1"/>
  <c r="E63" i="4"/>
  <c r="E97" i="4" s="1"/>
  <c r="E105" i="4" s="1"/>
  <c r="E12" i="4"/>
  <c r="BU726" i="3"/>
  <c r="BU761" i="3" s="1"/>
  <c r="AH761" i="3" s="1"/>
  <c r="BE43" i="3" s="1"/>
  <c r="BT761" i="3"/>
  <c r="G108" i="21"/>
  <c r="AJ634" i="20"/>
  <c r="B97" i="13"/>
  <c r="B97" i="4"/>
  <c r="C105" i="4"/>
  <c r="EW678" i="3"/>
  <c r="AD129" i="20" s="1"/>
  <c r="AD132" i="20" s="1"/>
  <c r="AD135" i="20" s="1"/>
  <c r="AW121" i="20"/>
  <c r="AB999" i="3"/>
  <c r="ER678" i="3"/>
  <c r="Y129" i="20" s="1"/>
  <c r="Y132" i="20" s="1"/>
  <c r="Y135" i="20" s="1"/>
  <c r="DU763" i="3"/>
  <c r="H105" i="13"/>
  <c r="T107" i="4"/>
  <c r="H107" i="13" s="1"/>
  <c r="AX707" i="20"/>
  <c r="AJ995" i="3"/>
  <c r="DX678" i="3"/>
  <c r="E129" i="20" s="1"/>
  <c r="E132" i="20" s="1"/>
  <c r="E135" i="20" s="1"/>
  <c r="G22" i="7"/>
  <c r="G35" i="7" s="1"/>
  <c r="I15" i="7"/>
  <c r="EC678" i="3"/>
  <c r="J129" i="20" s="1"/>
  <c r="J132" i="20" s="1"/>
  <c r="J135" i="20" s="1"/>
  <c r="EH678" i="3"/>
  <c r="O129" i="20" s="1"/>
  <c r="O132" i="20" s="1"/>
  <c r="O135" i="20" s="1"/>
  <c r="BG761" i="3"/>
  <c r="BH726" i="3"/>
  <c r="BH761" i="3" s="1"/>
  <c r="AC761" i="3" s="1"/>
  <c r="K8" i="7"/>
  <c r="I9" i="7"/>
  <c r="DU808" i="3"/>
  <c r="AY1014" i="3"/>
  <c r="AG1054" i="3"/>
  <c r="BE10" i="3"/>
  <c r="BE11" i="3" s="1"/>
  <c r="T876" i="20"/>
  <c r="AF876" i="20" s="1"/>
  <c r="AK83" i="20"/>
  <c r="G37" i="21"/>
  <c r="EM678" i="3"/>
  <c r="T129" i="20" s="1"/>
  <c r="T132" i="20" s="1"/>
  <c r="T135" i="20" s="1"/>
  <c r="K58" i="7"/>
  <c r="M53" i="7"/>
  <c r="G52" i="21"/>
  <c r="G54" i="21" s="1"/>
  <c r="G56" i="21" s="1"/>
  <c r="E12" i="21" s="1"/>
  <c r="G61" i="21"/>
  <c r="G63" i="21" s="1"/>
  <c r="G65" i="21" s="1"/>
  <c r="E13" i="21" s="1"/>
  <c r="F28" i="21"/>
  <c r="G28" i="21" s="1"/>
  <c r="F27" i="21"/>
  <c r="G24" i="21"/>
  <c r="C98" i="11"/>
  <c r="D64" i="11"/>
  <c r="I4" i="7" l="1"/>
  <c r="G5" i="7"/>
  <c r="Z826" i="3"/>
  <c r="E6" i="7"/>
  <c r="E7" i="7" s="1"/>
  <c r="E11" i="7" s="1"/>
  <c r="E37" i="7" s="1"/>
  <c r="E11" i="21"/>
  <c r="G6" i="7"/>
  <c r="BA1065" i="3"/>
  <c r="E105" i="13"/>
  <c r="S107" i="4"/>
  <c r="BE101" i="3"/>
  <c r="AC464" i="3"/>
  <c r="B105" i="13"/>
  <c r="B105" i="4"/>
  <c r="AG268" i="20"/>
  <c r="AJ999" i="3"/>
  <c r="AJ1001" i="3" s="1"/>
  <c r="AJ1003" i="3" s="1"/>
  <c r="AB1000" i="3"/>
  <c r="BE12" i="3"/>
  <c r="E137" i="20"/>
  <c r="E138" i="20" s="1"/>
  <c r="AK142" i="20" s="1"/>
  <c r="T879" i="20" s="1"/>
  <c r="AF879" i="20" s="1"/>
  <c r="BE74" i="3" s="1"/>
  <c r="E45" i="7"/>
  <c r="E49" i="7"/>
  <c r="AY708" i="20"/>
  <c r="AX708" i="20"/>
  <c r="AO708" i="20" s="1"/>
  <c r="K4" i="7"/>
  <c r="I5" i="7"/>
  <c r="AD11" i="15"/>
  <c r="AD23" i="15" s="1"/>
  <c r="AD26" i="15" s="1"/>
  <c r="AD28" i="15" s="1"/>
  <c r="AI11" i="15"/>
  <c r="AI23" i="15" s="1"/>
  <c r="AI26" i="15" s="1"/>
  <c r="AI28" i="15" s="1"/>
  <c r="O53" i="7"/>
  <c r="M58" i="7"/>
  <c r="K15" i="7"/>
  <c r="I22" i="7"/>
  <c r="I35" i="7" s="1"/>
  <c r="M8" i="7"/>
  <c r="K9" i="7"/>
  <c r="E92" i="20"/>
  <c r="E93" i="20" s="1"/>
  <c r="E94" i="20" s="1"/>
  <c r="AP94" i="20" s="1"/>
  <c r="E102" i="20"/>
  <c r="E105" i="20" s="1"/>
  <c r="AP105" i="20" s="1"/>
  <c r="BE42" i="3"/>
  <c r="G159" i="21"/>
  <c r="I17" i="21" s="1"/>
  <c r="C39" i="21"/>
  <c r="C106" i="11"/>
  <c r="D106" i="11" s="1"/>
  <c r="D98" i="11"/>
  <c r="AK190" i="20"/>
  <c r="T883" i="20" s="1"/>
  <c r="AF883" i="20" s="1"/>
  <c r="BE76" i="3" s="1"/>
  <c r="T877" i="20"/>
  <c r="AF877" i="20" s="1"/>
  <c r="BE72" i="3" s="1"/>
  <c r="BE71" i="3"/>
  <c r="O764" i="3"/>
  <c r="DU810" i="3"/>
  <c r="U386" i="20" s="1"/>
  <c r="P430" i="3"/>
  <c r="I6" i="7"/>
  <c r="G7" i="7"/>
  <c r="G11" i="7" s="1"/>
  <c r="G37" i="7" s="1"/>
  <c r="G166" i="21"/>
  <c r="G165" i="21"/>
  <c r="G27" i="21"/>
  <c r="F26" i="21"/>
  <c r="AJ1025" i="3" l="1"/>
  <c r="AJ1010" i="3"/>
  <c r="AJ1038" i="3"/>
  <c r="AP563" i="20"/>
  <c r="AC465" i="3"/>
  <c r="AA1065" i="3"/>
  <c r="AF564" i="20"/>
  <c r="E107" i="13"/>
  <c r="AB265" i="20"/>
  <c r="AG267" i="20" s="1"/>
  <c r="AG269" i="20" s="1"/>
  <c r="AK272" i="20" s="1"/>
  <c r="T884" i="20" s="1"/>
  <c r="AB47" i="15"/>
  <c r="AB49" i="15" s="1"/>
  <c r="AC463" i="3"/>
  <c r="BE44" i="3" s="1"/>
  <c r="BE22" i="3"/>
  <c r="N180" i="24"/>
  <c r="AJ1054" i="3"/>
  <c r="AP565" i="20" s="1"/>
  <c r="AJ1016" i="3"/>
  <c r="AJ1058" i="3"/>
  <c r="AP566" i="20" s="1"/>
  <c r="BE13" i="3"/>
  <c r="BE14" i="3" s="1"/>
  <c r="BE15" i="3" s="1"/>
  <c r="AK108" i="20"/>
  <c r="T878" i="20" s="1"/>
  <c r="AF878" i="20" s="1"/>
  <c r="O58" i="7"/>
  <c r="Q53" i="7"/>
  <c r="M9" i="7"/>
  <c r="O8" i="7"/>
  <c r="M15" i="7"/>
  <c r="K22" i="7"/>
  <c r="K35" i="7" s="1"/>
  <c r="I7" i="7"/>
  <c r="I11" i="7" s="1"/>
  <c r="I37" i="7" s="1"/>
  <c r="K6" i="7"/>
  <c r="E47" i="7"/>
  <c r="E48" i="7"/>
  <c r="E60" i="7"/>
  <c r="G49" i="7"/>
  <c r="G45" i="7"/>
  <c r="M4" i="7"/>
  <c r="K5" i="7"/>
  <c r="AP719" i="20"/>
  <c r="AJ727" i="20" s="1"/>
  <c r="AK819" i="20" s="1"/>
  <c r="T891" i="20" s="1"/>
  <c r="AF891" i="20" s="1"/>
  <c r="BE82" i="3" s="1"/>
  <c r="AP718" i="20"/>
  <c r="G26" i="21"/>
  <c r="G29" i="21"/>
  <c r="F29" i="21"/>
  <c r="AP567" i="20" l="1"/>
  <c r="AJ1062" i="3"/>
  <c r="AP570" i="20" s="1"/>
  <c r="AP569" i="20" s="1"/>
  <c r="AP572" i="20" s="1"/>
  <c r="AF565" i="20" s="1"/>
  <c r="AF566" i="20" s="1"/>
  <c r="AK572" i="20" s="1"/>
  <c r="T890" i="20" s="1"/>
  <c r="AF890" i="20" s="1"/>
  <c r="T11" i="15"/>
  <c r="T23" i="15" s="1"/>
  <c r="T26" i="15" s="1"/>
  <c r="T28" i="15" s="1"/>
  <c r="Y11" i="15"/>
  <c r="Y23" i="15" s="1"/>
  <c r="Y26" i="15" s="1"/>
  <c r="Y28" i="15" s="1"/>
  <c r="I49" i="7"/>
  <c r="I45" i="7"/>
  <c r="E62" i="7"/>
  <c r="E66" i="7"/>
  <c r="E67" i="7"/>
  <c r="BE73" i="3"/>
  <c r="G110" i="21"/>
  <c r="G102" i="21"/>
  <c r="G104" i="21" s="1"/>
  <c r="E16" i="21" s="1"/>
  <c r="G93" i="21"/>
  <c r="G94" i="21" s="1"/>
  <c r="E15" i="21" s="1"/>
  <c r="G31" i="21"/>
  <c r="G33" i="21" s="1"/>
  <c r="E9" i="21" s="1"/>
  <c r="G125" i="21"/>
  <c r="M6" i="7"/>
  <c r="K7" i="7"/>
  <c r="K11" i="7" s="1"/>
  <c r="K37" i="7" s="1"/>
  <c r="O15" i="7"/>
  <c r="M22" i="7"/>
  <c r="M35" i="7" s="1"/>
  <c r="Q8" i="7"/>
  <c r="O9" i="7"/>
  <c r="Q58" i="7"/>
  <c r="S53" i="7"/>
  <c r="O4" i="7"/>
  <c r="M5" i="7"/>
  <c r="G47" i="7"/>
  <c r="G48" i="7"/>
  <c r="G60" i="7"/>
  <c r="T24" i="15" l="1"/>
  <c r="Y38" i="15" s="1"/>
  <c r="Y40" i="15" s="1"/>
  <c r="T29" i="15"/>
  <c r="BE81" i="3"/>
  <c r="AF893" i="20"/>
  <c r="BE70" i="3" s="1"/>
  <c r="K49" i="7"/>
  <c r="K45" i="7"/>
  <c r="O22" i="7"/>
  <c r="O35" i="7" s="1"/>
  <c r="Q15" i="7"/>
  <c r="S8" i="7"/>
  <c r="Q9" i="7"/>
  <c r="M7" i="7"/>
  <c r="M11" i="7" s="1"/>
  <c r="M37" i="7" s="1"/>
  <c r="O6" i="7"/>
  <c r="G115" i="21"/>
  <c r="G127" i="21"/>
  <c r="G111" i="21"/>
  <c r="G66" i="7"/>
  <c r="G67" i="7"/>
  <c r="G62" i="7"/>
  <c r="I48" i="7"/>
  <c r="I60" i="7"/>
  <c r="I47" i="7"/>
  <c r="E70" i="7"/>
  <c r="E72" i="7" s="1"/>
  <c r="Q4" i="7"/>
  <c r="O5" i="7"/>
  <c r="U53" i="7"/>
  <c r="S58" i="7"/>
  <c r="AD38" i="15" l="1"/>
  <c r="AD40" i="15" s="1"/>
  <c r="Y41" i="15" s="1"/>
  <c r="G129" i="21"/>
  <c r="E17" i="21" s="1"/>
  <c r="E14" i="21" s="1"/>
  <c r="O7" i="7"/>
  <c r="O11" i="7" s="1"/>
  <c r="O37" i="7" s="1"/>
  <c r="Q6" i="7"/>
  <c r="S9" i="7"/>
  <c r="U8" i="7"/>
  <c r="M49" i="7"/>
  <c r="M45" i="7"/>
  <c r="U58" i="7"/>
  <c r="W53" i="7"/>
  <c r="Q22" i="7"/>
  <c r="Q35" i="7" s="1"/>
  <c r="S15" i="7"/>
  <c r="G70" i="7"/>
  <c r="G72" i="7" s="1"/>
  <c r="Q5" i="7"/>
  <c r="S4" i="7"/>
  <c r="K47" i="7"/>
  <c r="K48" i="7"/>
  <c r="K60" i="7"/>
  <c r="I67" i="7"/>
  <c r="I62" i="7"/>
  <c r="I66" i="7"/>
  <c r="I70" i="7" l="1"/>
  <c r="I72" i="7" s="1"/>
  <c r="S22" i="7"/>
  <c r="S35" i="7" s="1"/>
  <c r="U15" i="7"/>
  <c r="W8" i="7"/>
  <c r="U9" i="7"/>
  <c r="K66" i="7"/>
  <c r="K67" i="7"/>
  <c r="K62" i="7"/>
  <c r="W58" i="7"/>
  <c r="Y53" i="7"/>
  <c r="M47" i="7"/>
  <c r="M60" i="7"/>
  <c r="M48" i="7"/>
  <c r="O49" i="7"/>
  <c r="O45" i="7"/>
  <c r="Q7" i="7"/>
  <c r="Q11" i="7" s="1"/>
  <c r="Q37" i="7" s="1"/>
  <c r="S6" i="7"/>
  <c r="U4" i="7"/>
  <c r="S5" i="7"/>
  <c r="Y58" i="7" l="1"/>
  <c r="AA53" i="7"/>
  <c r="U6" i="7"/>
  <c r="S7" i="7"/>
  <c r="S11" i="7" s="1"/>
  <c r="S37" i="7" s="1"/>
  <c r="Q49" i="7"/>
  <c r="Q45" i="7"/>
  <c r="O47" i="7"/>
  <c r="O48" i="7"/>
  <c r="O60" i="7"/>
  <c r="M66" i="7"/>
  <c r="M62" i="7"/>
  <c r="M67" i="7"/>
  <c r="K70" i="7"/>
  <c r="K72" i="7" s="1"/>
  <c r="Y8" i="7"/>
  <c r="W9" i="7"/>
  <c r="U22" i="7"/>
  <c r="U35" i="7" s="1"/>
  <c r="W15" i="7"/>
  <c r="W4" i="7"/>
  <c r="U5" i="7"/>
  <c r="AA8" i="7" l="1"/>
  <c r="Y9" i="7"/>
  <c r="S49" i="7"/>
  <c r="S45" i="7"/>
  <c r="Q48" i="7"/>
  <c r="Q60" i="7"/>
  <c r="Q47" i="7"/>
  <c r="M70" i="7"/>
  <c r="M72" i="7" s="1"/>
  <c r="O66" i="7"/>
  <c r="O67" i="7"/>
  <c r="O62" i="7"/>
  <c r="W5" i="7"/>
  <c r="Y4" i="7"/>
  <c r="W6" i="7"/>
  <c r="U7" i="7"/>
  <c r="U11" i="7" s="1"/>
  <c r="U37" i="7" s="1"/>
  <c r="AC53" i="7"/>
  <c r="AA58" i="7"/>
  <c r="W22" i="7"/>
  <c r="W35" i="7" s="1"/>
  <c r="Y15" i="7"/>
  <c r="Y6" i="7" l="1"/>
  <c r="W7" i="7"/>
  <c r="W11" i="7" s="1"/>
  <c r="W37" i="7" s="1"/>
  <c r="U49" i="7"/>
  <c r="U45" i="7"/>
  <c r="O70" i="7"/>
  <c r="O72" i="7" s="1"/>
  <c r="AA9" i="7"/>
  <c r="AC8" i="7"/>
  <c r="AE53" i="7"/>
  <c r="AC58" i="7"/>
  <c r="AA4" i="7"/>
  <c r="Y5" i="7"/>
  <c r="Q67" i="7"/>
  <c r="Q62" i="7"/>
  <c r="Q66" i="7"/>
  <c r="S60" i="7"/>
  <c r="S47" i="7"/>
  <c r="S48" i="7"/>
  <c r="Y22" i="7"/>
  <c r="Y35" i="7" s="1"/>
  <c r="AA15" i="7"/>
  <c r="Q70" i="7" l="1"/>
  <c r="Q72" i="7" s="1"/>
  <c r="U48" i="7"/>
  <c r="U60" i="7"/>
  <c r="U47" i="7"/>
  <c r="AA22" i="7"/>
  <c r="AA35" i="7" s="1"/>
  <c r="AC15" i="7"/>
  <c r="AA6" i="7"/>
  <c r="Y7" i="7"/>
  <c r="Y11" i="7" s="1"/>
  <c r="Y37" i="7" s="1"/>
  <c r="S62" i="7"/>
  <c r="S66" i="7"/>
  <c r="S67" i="7"/>
  <c r="AC4" i="7"/>
  <c r="AA5" i="7"/>
  <c r="AG53" i="7"/>
  <c r="AG58" i="7" s="1"/>
  <c r="AE58" i="7"/>
  <c r="AE8" i="7"/>
  <c r="AC9" i="7"/>
  <c r="W45" i="7"/>
  <c r="W49" i="7"/>
  <c r="S70" i="7" l="1"/>
  <c r="S72" i="7" s="1"/>
  <c r="W48" i="7"/>
  <c r="W47" i="7"/>
  <c r="W60" i="7"/>
  <c r="AE4" i="7"/>
  <c r="AC5" i="7"/>
  <c r="Y49" i="7"/>
  <c r="Y45" i="7"/>
  <c r="AC22" i="7"/>
  <c r="AC35" i="7" s="1"/>
  <c r="AE15" i="7"/>
  <c r="U67" i="7"/>
  <c r="U62" i="7"/>
  <c r="U66" i="7"/>
  <c r="U70" i="7" s="1"/>
  <c r="U72" i="7" s="1"/>
  <c r="AE9" i="7"/>
  <c r="AG8" i="7"/>
  <c r="AG9" i="7" s="1"/>
  <c r="AC6" i="7"/>
  <c r="AA7" i="7"/>
  <c r="AA11" i="7" s="1"/>
  <c r="AA37" i="7" s="1"/>
  <c r="AA49" i="7" l="1"/>
  <c r="AA45" i="7"/>
  <c r="AE6" i="7"/>
  <c r="AC7" i="7"/>
  <c r="AC11" i="7" s="1"/>
  <c r="AC37" i="7" s="1"/>
  <c r="AE22" i="7"/>
  <c r="AE35" i="7" s="1"/>
  <c r="AG15" i="7"/>
  <c r="AG22" i="7" s="1"/>
  <c r="AG35" i="7" s="1"/>
  <c r="Y48" i="7"/>
  <c r="Y60" i="7"/>
  <c r="Y47" i="7"/>
  <c r="AE5" i="7"/>
  <c r="AG4" i="7"/>
  <c r="W67" i="7"/>
  <c r="W62" i="7"/>
  <c r="W66" i="7"/>
  <c r="W70" i="7" l="1"/>
  <c r="W72" i="7" s="1"/>
  <c r="AC45" i="7"/>
  <c r="AC49" i="7"/>
  <c r="AG5" i="7"/>
  <c r="Y67" i="7"/>
  <c r="Y62" i="7"/>
  <c r="Y66" i="7"/>
  <c r="AG6" i="7"/>
  <c r="AG7" i="7" s="1"/>
  <c r="AE7" i="7"/>
  <c r="AE11" i="7" s="1"/>
  <c r="AE37" i="7" s="1"/>
  <c r="AA60" i="7"/>
  <c r="AA47" i="7"/>
  <c r="AA48" i="7"/>
  <c r="Y70" i="7" l="1"/>
  <c r="Y72" i="7" s="1"/>
  <c r="AA62" i="7"/>
  <c r="AA66" i="7"/>
  <c r="AA67" i="7"/>
  <c r="AE49" i="7"/>
  <c r="AE45" i="7"/>
  <c r="AG11" i="7"/>
  <c r="AG37" i="7" s="1"/>
  <c r="AC47" i="7"/>
  <c r="AC48" i="7"/>
  <c r="AC60" i="7"/>
  <c r="AG49" i="7" l="1"/>
  <c r="AG45" i="7"/>
  <c r="AC62" i="7"/>
  <c r="AC66" i="7"/>
  <c r="AC67" i="7"/>
  <c r="AE60" i="7"/>
  <c r="AE47" i="7"/>
  <c r="AE48" i="7"/>
  <c r="AA70" i="7"/>
  <c r="AA72" i="7" s="1"/>
  <c r="AE62" i="7" l="1"/>
  <c r="AE66" i="7"/>
  <c r="AE67" i="7"/>
  <c r="AC70" i="7"/>
  <c r="AC72" i="7" s="1"/>
  <c r="AG60" i="7"/>
  <c r="AG47" i="7"/>
  <c r="AG48" i="7"/>
  <c r="AG66" i="7" l="1"/>
  <c r="AG67" i="7"/>
  <c r="AG62" i="7"/>
  <c r="AE70" i="7"/>
  <c r="AE72" i="7" s="1"/>
  <c r="AG70" i="7" l="1"/>
  <c r="AG72" i="7" s="1"/>
  <c r="BE62" i="3" l="1"/>
  <c r="AB54" i="15"/>
  <c r="AB55" i="15" s="1"/>
  <c r="AB56" i="15" s="1"/>
  <c r="AB57" i="15" l="1"/>
  <c r="AB59" i="15" s="1"/>
  <c r="AB77" i="15" s="1"/>
  <c r="AB78" i="15" s="1"/>
  <c r="M26" i="3"/>
  <c r="BE19" i="3" s="1"/>
  <c r="P204" i="3" l="1"/>
  <c r="I10" i="21"/>
  <c r="I11" i="21" s="1"/>
  <c r="I18" i="21" s="1"/>
  <c r="H4" i="21" s="1"/>
  <c r="M27" i="3"/>
  <c r="AB79" i="15"/>
  <c r="AB81" i="15" s="1"/>
  <c r="J82" i="15" s="1"/>
  <c r="BE20" i="3" l="1"/>
  <c r="P205" i="3"/>
  <c r="G43" i="21" s="1"/>
  <c r="J24" i="24" s="1"/>
  <c r="J20" i="24" l="1"/>
  <c r="J22" i="24"/>
  <c r="AZ1060" i="3"/>
  <c r="BA1064" i="3" s="1"/>
  <c r="BA1068" i="3" s="1"/>
  <c r="AA1066" i="3" s="1"/>
  <c r="G1067" i="3" s="1"/>
  <c r="O23" i="21"/>
  <c r="P23" i="21" s="1" a="1"/>
  <c r="O22" i="21"/>
  <c r="P22" i="21" s="1" a="1"/>
  <c r="O20" i="21"/>
  <c r="P20" i="21" s="1" a="1"/>
  <c r="O21" i="21"/>
  <c r="P21" i="21" s="1" a="1"/>
  <c r="O24" i="21"/>
  <c r="P24" i="21" s="1" a="1"/>
  <c r="J19" i="24"/>
  <c r="P29" i="24"/>
  <c r="J21" i="24"/>
  <c r="J23" i="24"/>
  <c r="V29" i="24"/>
  <c r="AN29" i="24"/>
  <c r="AB29" i="24"/>
  <c r="AH29" i="24"/>
  <c r="S21" i="21" l="1"/>
  <c r="S24" i="21"/>
  <c r="BB5" i="24" a="1"/>
  <c r="BB5" i="24" s="1"/>
  <c r="J29" i="24"/>
  <c r="AT19" i="24" s="1"/>
  <c r="S20" i="21" s="1"/>
  <c r="S22" i="21" s="1"/>
  <c r="S23" i="21" s="1"/>
  <c r="BB4" i="24" a="1"/>
  <c r="BB4" i="24" s="1"/>
  <c r="G45" i="21" l="1"/>
  <c r="G47" i="21" s="1"/>
  <c r="E10" i="21" s="1"/>
  <c r="E18" i="21" s="1"/>
  <c r="H3" i="21" s="1"/>
  <c r="H5" i="21" s="1"/>
  <c r="BE83" i="3" s="1"/>
  <c r="BB6" i="24" a="1"/>
  <c r="BB6" i="24" s="1"/>
  <c r="AY42" i="24"/>
  <c r="N181" i="24"/>
  <c r="AY37" i="24"/>
  <c r="AY45" i="24"/>
  <c r="AY40" i="24"/>
  <c r="AY47" i="24"/>
  <c r="AY39" i="24"/>
  <c r="AY38" i="24"/>
  <c r="AT26" i="24"/>
  <c r="AY46" i="24"/>
  <c r="AT27" i="24"/>
  <c r="AT29" i="24"/>
  <c r="AT28" i="24"/>
  <c r="AY44" i="24"/>
  <c r="AY43" i="24"/>
  <c r="AY36" i="24"/>
  <c r="AY41" i="24"/>
  <c r="AT25" i="24"/>
  <c r="N191" i="24"/>
  <c r="AT22" i="24"/>
  <c r="AT20" i="24"/>
  <c r="AT24" i="24"/>
  <c r="AT23" i="24"/>
  <c r="AT21" i="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rgb="FF000000"/>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rgb="FF000000"/>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rgb="FF000000"/>
            <rFont val="Tahoma"/>
            <family val="2"/>
          </rPr>
          <t xml:space="preserve">3-bedroom units beyond 30% of the total units shall be counted as 2-bedroom units.
</t>
        </r>
        <r>
          <rPr>
            <sz val="9"/>
            <color rgb="FF000000"/>
            <rFont val="Tahoma"/>
            <family val="2"/>
          </rPr>
          <t xml:space="preserve">
</t>
        </r>
        <r>
          <rPr>
            <sz val="9"/>
            <color rgb="FF000000"/>
            <rFont val="Tahoma"/>
            <family val="2"/>
          </rPr>
          <t>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rgb="FF000000"/>
            <rFont val="Tahoma"/>
            <family val="2"/>
          </rPr>
          <t>INSERT PERCENTAGE SHARE OF RESIDUAL RECEIPTS CASH FLOW</t>
        </r>
      </text>
    </comment>
    <comment ref="C65" authorId="0" shapeId="0" xr:uid="{00000000-0006-0000-0C00-000002000000}">
      <text>
        <r>
          <rPr>
            <sz val="9"/>
            <color rgb="FF000000"/>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<sst xmlns="http://schemas.openxmlformats.org/spreadsheetml/2006/main" count="5332" uniqueCount="2851">
  <si>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</si>
  <si>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</si>
  <si>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</si>
  <si>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</si>
  <si>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</si>
  <si>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</si>
  <si>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</si>
  <si>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</si>
  <si>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</si>
  <si>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</si>
  <si>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</si>
  <si>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</si>
  <si>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</si>
  <si>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</si>
  <si>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</si>
  <si>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</si>
  <si>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</si>
  <si>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</si>
  <si>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</si>
  <si>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</si>
  <si>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</si>
  <si>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</si>
  <si>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</si>
  <si>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</si>
  <si>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</si>
  <si>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</si>
  <si>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</si>
  <si>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</si>
  <si>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</si>
  <si>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</si>
  <si>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</si>
  <si>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</si>
  <si>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</si>
  <si>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</si>
  <si>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</si>
  <si>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</si>
  <si>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</si>
  <si>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</si>
  <si>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</si>
  <si>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</si>
  <si>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</si>
  <si>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</si>
  <si>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</si>
  <si>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</si>
  <si>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</si>
  <si>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</si>
  <si>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</si>
  <si>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</si>
  <si>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</si>
  <si>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</si>
  <si>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</si>
  <si>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</si>
  <si>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</si>
  <si>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</si>
  <si>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</si>
  <si>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</si>
  <si>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</si>
  <si>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</si>
  <si>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</si>
  <si>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</si>
  <si>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</si>
  <si>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</si>
  <si>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</si>
  <si>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</si>
  <si>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</si>
  <si>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</si>
  <si>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</si>
  <si>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</si>
  <si>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</si>
  <si>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</si>
  <si>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</si>
  <si>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</si>
  <si>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</si>
  <si>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</si>
  <si>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</si>
  <si>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</si>
  <si>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</si>
  <si>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</si>
  <si>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</si>
  <si>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</si>
  <si>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</si>
  <si>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</si>
  <si>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</si>
  <si>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</si>
  <si>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</si>
  <si>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</si>
  <si>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</si>
  <si>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</si>
  <si>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</si>
  <si>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</si>
  <si>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</si>
  <si>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</si>
  <si>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</si>
  <si>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</si>
  <si>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</si>
  <si>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</si>
  <si>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</si>
  <si>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</si>
  <si>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</si>
  <si>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</si>
  <si>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</si>
  <si>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</si>
  <si>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</si>
  <si>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</si>
  <si>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</si>
  <si>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</si>
  <si>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</si>
  <si>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</si>
  <si>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</si>
  <si>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</si>
  <si>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</si>
  <si>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</si>
  <si>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</si>
  <si>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</si>
  <si>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</si>
  <si>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</si>
  <si>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</si>
  <si>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</si>
  <si>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</si>
  <si>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</si>
  <si>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</si>
  <si>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</si>
  <si>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</si>
  <si>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</si>
  <si>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</si>
  <si>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</si>
  <si>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</si>
  <si>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</si>
  <si>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</si>
  <si>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</si>
  <si>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</si>
  <si>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</si>
  <si>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</si>
  <si>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</si>
  <si>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</si>
  <si>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</si>
  <si>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</si>
  <si>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</si>
  <si>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</si>
  <si>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</si>
  <si>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</si>
  <si>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</si>
  <si>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</si>
  <si>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</si>
  <si>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</si>
  <si>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</si>
  <si>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</si>
  <si>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</si>
  <si>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</si>
  <si>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</si>
  <si>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</si>
  <si>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</si>
  <si>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</si>
  <si>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</si>
  <si>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</si>
  <si>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</si>
  <si>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</si>
  <si>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</si>
  <si>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</si>
  <si>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</si>
  <si>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</si>
  <si>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</si>
  <si>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</si>
  <si>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</si>
  <si>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</si>
  <si>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</si>
  <si>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</si>
  <si>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</si>
  <si>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</si>
  <si>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</si>
  <si>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</si>
  <si>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</si>
  <si>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</si>
  <si>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</si>
  <si>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</si>
  <si>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</si>
  <si>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</si>
  <si>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</si>
  <si>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</si>
  <si>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</si>
  <si>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</si>
  <si>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</si>
  <si>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</si>
  <si>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</si>
  <si>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</si>
  <si>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</si>
  <si>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</si>
  <si>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</si>
  <si>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</si>
  <si>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</si>
  <si>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</si>
  <si>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</si>
  <si>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</si>
  <si>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</si>
  <si>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</si>
  <si>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</si>
  <si>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</si>
  <si>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</si>
  <si>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</si>
  <si>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</si>
  <si>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</si>
  <si>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</si>
  <si>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</si>
  <si>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</si>
  <si>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</si>
  <si>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</si>
  <si>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</si>
  <si>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</si>
  <si>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</si>
  <si>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</si>
  <si>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</si>
  <si>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</si>
  <si>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</si>
  <si>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</si>
  <si>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</si>
  <si>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</si>
  <si>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</si>
  <si>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</si>
  <si>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</si>
  <si>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</si>
  <si>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</si>
  <si>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</si>
  <si>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</si>
  <si>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</si>
  <si>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</si>
  <si>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</si>
  <si>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</si>
  <si>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</si>
  <si>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</si>
  <si>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</si>
  <si>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</si>
  <si>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</si>
  <si>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</si>
  <si>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</si>
  <si>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</si>
  <si>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</si>
  <si>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</si>
  <si>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</si>
  <si>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</si>
  <si>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</si>
  <si>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</si>
  <si>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</si>
  <si>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</si>
  <si>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</si>
  <si>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</si>
  <si>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</si>
  <si>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</si>
  <si>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</si>
  <si>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</si>
  <si>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</si>
  <si>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</si>
  <si>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</si>
  <si>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</si>
  <si>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</si>
  <si>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</si>
  <si>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</si>
  <si>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</si>
  <si>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</si>
  <si>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</si>
  <si>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</si>
  <si>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</si>
  <si>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</si>
  <si>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</si>
  <si>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</si>
  <si>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</si>
  <si>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</si>
  <si>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</si>
  <si>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</si>
  <si>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</si>
  <si>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</si>
  <si>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</si>
  <si>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</si>
  <si>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</si>
  <si>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</si>
  <si>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</si>
  <si>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</si>
  <si>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</si>
  <si>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</si>
  <si>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</si>
  <si>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</si>
  <si>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</si>
  <si>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</si>
  <si>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</si>
  <si>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</si>
  <si>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</si>
  <si>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</si>
  <si>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</si>
  <si>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</si>
  <si>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</si>
  <si>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</si>
  <si>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</si>
  <si>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</si>
  <si>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</si>
  <si>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</si>
  <si>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</si>
  <si>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</si>
  <si>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</si>
  <si>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</si>
  <si>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</si>
  <si>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</si>
  <si>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</si>
  <si>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</si>
  <si>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</si>
  <si>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</si>
  <si>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</si>
  <si>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</si>
  <si>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</si>
  <si>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</si>
  <si>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</si>
  <si>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</si>
  <si>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</si>
  <si>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</si>
  <si>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</si>
  <si>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</si>
  <si>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</si>
  <si>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</si>
  <si>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</si>
  <si>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</si>
  <si>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</si>
  <si>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</si>
  <si>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</si>
  <si>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</si>
  <si>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</si>
  <si>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</si>
  <si>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</si>
  <si>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</si>
  <si>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</si>
  <si>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</si>
  <si>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</si>
  <si>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</si>
  <si>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</si>
  <si>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</si>
  <si>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</si>
  <si>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</si>
  <si>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</si>
  <si>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</si>
  <si>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</si>
  <si>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</si>
  <si>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</si>
  <si>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</si>
  <si>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</si>
  <si>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</si>
  <si>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</si>
  <si>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</si>
  <si>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</si>
  <si>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</si>
  <si>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</si>
  <si>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</si>
  <si>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</si>
  <si>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</si>
  <si>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</si>
  <si>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</si>
  <si>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</si>
  <si>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</si>
  <si>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</si>
  <si>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</si>
  <si>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</si>
  <si>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</si>
  <si>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</si>
  <si>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</si>
  <si>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</si>
  <si>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</si>
  <si>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</si>
  <si>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</si>
  <si>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</si>
  <si>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</si>
  <si>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</si>
  <si>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</si>
  <si>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</si>
  <si>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</si>
  <si>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</si>
  <si>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</si>
  <si>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</si>
  <si>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</si>
  <si>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</si>
  <si>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</si>
  <si>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</si>
  <si>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</si>
  <si>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</si>
  <si>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</si>
  <si>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</si>
  <si>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</si>
  <si>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</si>
  <si>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</si>
  <si>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</si>
  <si>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</si>
  <si>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</si>
  <si>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</si>
  <si>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</si>
  <si>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</si>
  <si>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</si>
  <si>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</si>
  <si>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</si>
  <si>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</si>
  <si>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</si>
  <si>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</si>
  <si>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</si>
  <si>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</si>
  <si>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</si>
  <si>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</si>
  <si>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</si>
  <si>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</si>
  <si>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</si>
  <si>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</si>
  <si>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</si>
  <si>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</si>
  <si>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</si>
  <si>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</si>
  <si>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</si>
  <si>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</si>
  <si>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</si>
  <si>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</si>
  <si>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</si>
  <si>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</si>
  <si>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</si>
  <si>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</si>
  <si>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</si>
  <si>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</si>
  <si>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</si>
  <si>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</si>
  <si>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</si>
  <si>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</si>
  <si>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</si>
  <si>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</si>
  <si>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</si>
  <si>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</si>
  <si>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</si>
  <si>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</si>
  <si>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</si>
  <si>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</si>
  <si>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</si>
  <si>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</si>
  <si>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</si>
  <si>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</si>
  <si>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</si>
  <si>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</si>
  <si>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</si>
  <si>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</si>
  <si>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</si>
  <si>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</si>
  <si>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</si>
  <si>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</si>
  <si>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</si>
  <si>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</si>
  <si>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</si>
  <si>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</si>
  <si>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</si>
  <si>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</si>
  <si>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</si>
  <si>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</si>
  <si>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</si>
  <si>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</si>
  <si>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</si>
  <si>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</si>
  <si>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</si>
  <si>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</si>
  <si>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</si>
  <si>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</si>
  <si>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</si>
  <si>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</si>
  <si>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</si>
  <si>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</si>
  <si>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</si>
  <si>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</si>
  <si>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</si>
  <si>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</si>
  <si>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</si>
  <si>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</si>
  <si>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</si>
  <si>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</si>
  <si>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</si>
  <si>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</si>
  <si>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</si>
  <si>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</si>
  <si>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</si>
  <si>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</si>
  <si>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</si>
  <si>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</si>
  <si>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</si>
  <si>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</si>
  <si>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</si>
  <si>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</si>
  <si>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</si>
  <si>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</si>
  <si>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</si>
  <si>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</si>
  <si>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</si>
  <si>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</si>
  <si>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</si>
  <si>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</si>
  <si>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</si>
  <si>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</si>
  <si>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</si>
  <si>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</si>
  <si>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</si>
  <si>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</si>
  <si>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</si>
  <si>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</si>
  <si>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</si>
  <si>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</si>
  <si>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</si>
  <si>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</si>
  <si>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</si>
  <si>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</si>
  <si>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</si>
  <si>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</si>
  <si>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</si>
  <si>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</si>
  <si>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</si>
  <si>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</si>
  <si>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</si>
  <si>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</si>
  <si>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</si>
  <si>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</si>
  <si>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</si>
  <si>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</si>
  <si>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</si>
  <si>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</si>
  <si>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</si>
  <si>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</si>
  <si>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</si>
  <si>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</si>
  <si>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</si>
  <si>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</si>
  <si>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</si>
  <si>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</si>
  <si>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</si>
  <si>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</si>
  <si>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</si>
  <si>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</si>
  <si>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</si>
  <si>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</si>
  <si>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</si>
  <si>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</si>
  <si>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</si>
  <si>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</si>
  <si>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</si>
  <si>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</si>
  <si>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</si>
  <si>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</si>
  <si>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</si>
  <si>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</si>
  <si>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</si>
  <si>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</si>
  <si>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</si>
  <si>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</si>
  <si>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</si>
  <si>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</si>
  <si>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</si>
  <si>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</si>
  <si>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</si>
  <si>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</si>
  <si>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</si>
  <si>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</si>
  <si>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</si>
  <si>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</si>
  <si>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</si>
  <si>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</si>
  <si>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</si>
  <si>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</si>
  <si>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</si>
  <si>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</si>
  <si>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</si>
  <si>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</si>
  <si>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</si>
  <si>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</si>
  <si>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</si>
  <si>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</si>
  <si>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</si>
  <si>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</si>
  <si>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</si>
  <si>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</si>
  <si>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</si>
  <si>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</si>
  <si>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</si>
  <si>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</si>
  <si>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</si>
  <si>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</si>
  <si>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</si>
  <si>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</si>
  <si>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</si>
  <si>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</si>
  <si>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</si>
  <si>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</si>
  <si>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</si>
  <si>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</si>
  <si>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</si>
  <si>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</si>
  <si>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</si>
  <si>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</si>
  <si>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</si>
  <si>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</si>
  <si>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</si>
  <si>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</si>
  <si>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</si>
  <si>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</si>
  <si>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</si>
  <si>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</si>
  <si>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</si>
  <si>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</si>
  <si>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</si>
  <si>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</si>
  <si>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</si>
  <si>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</si>
  <si>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</si>
  <si>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</si>
  <si>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</si>
  <si>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</si>
  <si>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</si>
  <si>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</si>
  <si>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</si>
  <si>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</si>
  <si>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</si>
  <si>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</si>
  <si>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</si>
  <si>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</si>
  <si>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</si>
  <si>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</si>
  <si>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</si>
  <si>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</si>
  <si>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</si>
  <si>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</si>
  <si>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</si>
  <si>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</si>
  <si>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</si>
  <si>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</si>
  <si>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</si>
  <si>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</si>
  <si>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</si>
  <si>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</si>
  <si>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</si>
  <si>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</si>
  <si>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</si>
  <si>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</si>
  <si>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</si>
  <si>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</si>
  <si>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</si>
  <si>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</si>
  <si>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</si>
  <si>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</si>
  <si>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</si>
  <si>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</si>
  <si>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</si>
  <si>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</si>
  <si>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</si>
  <si>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</si>
  <si>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</si>
  <si>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</si>
  <si>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</si>
  <si>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</si>
  <si>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</si>
  <si>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</si>
  <si>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</si>
  <si>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</si>
  <si>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</si>
  <si>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</si>
  <si>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</si>
  <si>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</si>
  <si>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</si>
  <si>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</si>
  <si>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</si>
  <si>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</si>
  <si>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</si>
  <si>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</si>
  <si>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</si>
  <si>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</si>
  <si>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</si>
  <si>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</si>
  <si>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</si>
  <si>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</si>
  <si>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</si>
  <si>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</si>
  <si>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</si>
  <si>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</si>
  <si>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</si>
  <si>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</si>
  <si>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</si>
  <si>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</si>
  <si>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</si>
  <si>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</si>
  <si>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</si>
  <si>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</si>
  <si>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</si>
  <si>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</si>
  <si>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</si>
  <si>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</si>
  <si>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</si>
  <si>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</si>
  <si>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</si>
  <si>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</si>
  <si>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</si>
  <si>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</si>
  <si>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</si>
  <si>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</si>
  <si>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</si>
  <si>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</si>
  <si>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</si>
  <si>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</si>
  <si>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</si>
  <si>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</si>
  <si>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</si>
  <si>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</si>
  <si>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</si>
  <si>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</si>
  <si>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</si>
  <si>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</si>
  <si>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</si>
  <si>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</si>
  <si>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</si>
  <si>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</si>
  <si>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</si>
  <si>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</si>
  <si>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</si>
  <si>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</si>
  <si>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</si>
  <si>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</si>
  <si>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</si>
  <si>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</si>
  <si>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</si>
  <si>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</si>
  <si>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</si>
  <si>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</si>
  <si>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</si>
  <si>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</si>
  <si>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</si>
  <si>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</si>
  <si>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</si>
  <si>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</si>
  <si>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</si>
  <si>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</si>
  <si>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</si>
  <si>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</si>
  <si>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</si>
  <si>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</si>
  <si>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</si>
  <si>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</si>
  <si>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</si>
  <si>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</si>
  <si>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</si>
  <si>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</si>
  <si>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</si>
  <si>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</si>
  <si>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</si>
  <si>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</si>
  <si>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</si>
  <si>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</si>
  <si>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</si>
  <si>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</si>
  <si>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</si>
  <si>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</si>
  <si>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</si>
  <si>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</si>
  <si>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</si>
  <si>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</si>
  <si>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</si>
  <si>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</si>
  <si>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</si>
  <si>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</si>
  <si>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</si>
  <si>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</si>
  <si>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</si>
  <si>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</si>
  <si>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</si>
  <si>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</si>
  <si>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</si>
  <si>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</si>
  <si>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</si>
  <si>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</si>
  <si>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</si>
  <si>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</si>
  <si>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</si>
  <si>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</si>
  <si>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</si>
  <si>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</si>
  <si>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</si>
  <si>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</si>
  <si>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</si>
  <si>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</si>
  <si>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</si>
  <si>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</si>
  <si>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</si>
  <si>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</si>
  <si>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</si>
  <si>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</si>
  <si>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</si>
  <si>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</si>
  <si>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</si>
  <si>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</si>
  <si>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</si>
  <si>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</si>
  <si>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</si>
  <si>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</si>
  <si>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</si>
  <si>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</si>
  <si>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</si>
  <si>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</si>
  <si>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</si>
  <si>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</si>
  <si>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</si>
  <si>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</si>
  <si>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</si>
  <si>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</si>
  <si>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</si>
  <si>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</si>
  <si>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</si>
  <si>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</si>
  <si>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</si>
  <si>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</si>
  <si>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</si>
  <si>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</si>
  <si>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</si>
  <si>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</si>
  <si>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</si>
  <si>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</si>
  <si>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</si>
  <si>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</si>
  <si>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</si>
  <si>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</si>
  <si>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</si>
  <si>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</si>
  <si>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</si>
  <si>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</si>
  <si>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</si>
  <si>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</si>
  <si>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</si>
  <si>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</si>
  <si>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</si>
  <si>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</si>
  <si>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</si>
  <si>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</si>
  <si>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</si>
  <si>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</si>
  <si>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</si>
  <si>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</si>
  <si>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</si>
  <si>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</si>
  <si>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</si>
  <si>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</si>
  <si>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</si>
  <si>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</si>
  <si>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</si>
  <si>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</si>
  <si>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</si>
  <si>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</si>
  <si>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</si>
  <si>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</si>
  <si>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</si>
  <si>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</si>
  <si>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</si>
  <si>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</si>
  <si>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</si>
  <si>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</si>
  <si>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</si>
  <si>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</si>
  <si>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</si>
  <si>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</si>
  <si>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</si>
  <si>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</si>
  <si>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</si>
  <si>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</si>
  <si>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</si>
  <si>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</si>
  <si>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</si>
  <si>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</si>
  <si>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</si>
  <si>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</si>
  <si>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</si>
  <si>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</si>
  <si>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</si>
  <si>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</si>
  <si>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</si>
  <si>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</si>
  <si>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</si>
  <si>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</si>
  <si>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</si>
  <si>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</si>
  <si>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</si>
  <si>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</si>
  <si>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</si>
  <si>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</si>
  <si>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</si>
  <si>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</si>
  <si>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</si>
  <si>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</si>
  <si>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</si>
  <si>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</si>
  <si>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</si>
  <si>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</si>
  <si>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</si>
  <si>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</si>
  <si>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</si>
  <si>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</si>
  <si>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</si>
  <si>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</si>
  <si>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</si>
  <si>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</si>
  <si>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</si>
  <si>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</si>
  <si>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</si>
  <si>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</si>
  <si>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</si>
  <si>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</si>
  <si>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</si>
  <si>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</si>
  <si>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</si>
  <si>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</si>
  <si>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</si>
  <si>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</si>
  <si>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</si>
  <si>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</si>
  <si>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</si>
  <si>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</si>
  <si>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</si>
  <si>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</si>
  <si>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</si>
  <si>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</si>
  <si>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</si>
  <si>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</si>
  <si>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</si>
  <si>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</si>
  <si>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</si>
  <si>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</si>
  <si>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</si>
  <si>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</si>
  <si>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</si>
  <si>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</si>
  <si>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</si>
  <si>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</si>
  <si>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</si>
  <si>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</si>
  <si>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</si>
  <si>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</si>
  <si>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</si>
  <si>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</si>
  <si>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</si>
  <si>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</si>
  <si>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</si>
  <si>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</si>
  <si>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</si>
  <si>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</si>
  <si>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</si>
  <si>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</si>
  <si>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</si>
  <si>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</si>
  <si>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</si>
  <si>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</si>
  <si>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</si>
  <si>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</si>
  <si>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</si>
  <si>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</si>
  <si>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</si>
  <si>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</si>
  <si>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</si>
  <si>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</si>
  <si>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</si>
  <si>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</si>
  <si>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</si>
  <si>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</si>
  <si>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</si>
  <si>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</si>
  <si>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</si>
  <si>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</si>
  <si>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</si>
  <si>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</si>
  <si>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</si>
  <si>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</si>
  <si>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</si>
  <si>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</si>
  <si>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</si>
  <si>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</si>
  <si>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</si>
  <si>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</si>
  <si>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</si>
  <si>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</si>
  <si>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</si>
  <si>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</si>
  <si>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</si>
  <si>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</si>
  <si>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</si>
  <si>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</si>
  <si>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</si>
  <si>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</si>
  <si>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</si>
  <si>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</si>
  <si>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</si>
  <si>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</si>
  <si>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</si>
  <si>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</si>
  <si>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</si>
  <si>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</si>
  <si>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</si>
  <si>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</si>
  <si>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</si>
  <si>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</si>
  <si>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</si>
  <si>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</si>
  <si>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</si>
  <si>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</si>
  <si>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</si>
  <si>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</si>
  <si>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</si>
  <si>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</si>
  <si>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</si>
  <si>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</si>
  <si>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</si>
  <si>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</si>
  <si>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</si>
  <si>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</si>
  <si>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</si>
  <si>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</si>
  <si>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</si>
  <si>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</si>
  <si>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</si>
  <si>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</si>
  <si>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</si>
  <si>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</si>
  <si>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</si>
  <si>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</si>
  <si>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</si>
  <si>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</si>
  <si>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</si>
  <si>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</si>
  <si>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</si>
  <si>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</si>
  <si>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</si>
  <si>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</si>
  <si>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</si>
  <si>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</si>
  <si>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</si>
  <si>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</si>
  <si>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</si>
  <si>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</si>
  <si>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</si>
  <si>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</si>
  <si>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</si>
  <si>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</si>
  <si>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</si>
  <si>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</si>
  <si>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</si>
  <si>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</si>
  <si>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</si>
  <si>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</si>
  <si>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</si>
  <si>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</si>
  <si>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</si>
  <si>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</si>
  <si>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</si>
  <si>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</si>
  <si>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</si>
  <si>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</si>
  <si>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</si>
  <si>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</si>
  <si>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</si>
  <si>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</si>
  <si>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</si>
  <si>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</si>
  <si>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</si>
  <si>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</si>
  <si>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</si>
  <si>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</si>
  <si>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</si>
  <si>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</si>
  <si>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</si>
  <si>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</si>
  <si>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</si>
  <si>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</si>
  <si>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</si>
  <si>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</si>
  <si>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</si>
  <si>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</si>
  <si>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</si>
  <si>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</si>
  <si>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</si>
  <si>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</si>
  <si>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</si>
  <si>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</si>
  <si>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</si>
  <si>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</si>
  <si>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</si>
  <si>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</si>
  <si>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</si>
  <si>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</si>
  <si>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</si>
  <si>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</si>
  <si>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</si>
  <si>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</si>
  <si>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</si>
  <si>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</si>
  <si>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</si>
  <si>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</si>
  <si>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</si>
  <si>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</si>
  <si>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</si>
  <si>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</si>
  <si>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</si>
  <si>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</si>
  <si>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</si>
  <si>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</si>
  <si>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</si>
  <si>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</si>
  <si>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</si>
  <si>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</si>
  <si>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</si>
  <si>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</si>
  <si>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</si>
  <si>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</si>
  <si>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</si>
  <si>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</si>
  <si>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</si>
  <si>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</si>
  <si>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</si>
  <si>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</si>
  <si>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</si>
  <si>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</si>
  <si>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</si>
  <si>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</si>
  <si>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</si>
  <si>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</si>
  <si>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</si>
  <si>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</si>
  <si>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</si>
  <si>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</si>
  <si>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</si>
  <si>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</si>
  <si>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</si>
  <si>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</si>
  <si>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</si>
  <si>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</si>
  <si>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</si>
  <si>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</si>
  <si>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</si>
  <si>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</si>
  <si>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</si>
  <si>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</si>
  <si>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</si>
  <si>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</si>
  <si>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</si>
  <si>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</si>
  <si>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</si>
  <si>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</si>
  <si>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</si>
  <si>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</si>
  <si>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</si>
  <si>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</si>
  <si>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</si>
  <si>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</si>
  <si>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</si>
  <si>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</si>
  <si>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</si>
  <si>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</si>
  <si>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</si>
  <si>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</si>
  <si>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</si>
  <si>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</si>
  <si>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</si>
  <si>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</si>
  <si>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</si>
  <si>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</si>
  <si>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</si>
  <si>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</si>
  <si>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</si>
  <si>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</si>
  <si>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</si>
  <si>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</si>
  <si>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</si>
  <si>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</si>
  <si>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</si>
  <si>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</si>
  <si>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</si>
  <si>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</si>
  <si>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</si>
  <si>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</si>
  <si>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</si>
  <si>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</si>
  <si>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</si>
  <si>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</si>
  <si>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</si>
  <si>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</si>
  <si>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</si>
  <si>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</si>
  <si>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</si>
  <si>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</si>
  <si>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</si>
  <si>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</si>
  <si>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</si>
  <si>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</si>
  <si>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</si>
  <si>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</si>
  <si>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</si>
  <si>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</si>
  <si>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</si>
  <si>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</si>
  <si>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</si>
  <si>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</si>
  <si>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</si>
  <si>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</si>
  <si>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</si>
  <si>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</si>
  <si>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</si>
  <si>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</si>
  <si>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</si>
  <si>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</si>
  <si>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</si>
  <si>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</si>
  <si>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</si>
  <si>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</si>
  <si>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</si>
  <si>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</si>
  <si>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</si>
  <si>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</si>
  <si>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</si>
  <si>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</si>
  <si>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</si>
  <si>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</si>
  <si>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</si>
  <si>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</si>
  <si>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</si>
  <si>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</si>
  <si>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</si>
  <si>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</si>
  <si>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</si>
  <si>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</si>
  <si>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</si>
  <si>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</si>
  <si>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</si>
  <si>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</si>
  <si>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</si>
  <si>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</si>
  <si>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</si>
  <si>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</si>
  <si>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</si>
  <si>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</si>
  <si>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</si>
  <si>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</si>
  <si>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</si>
  <si>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</si>
  <si>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</si>
  <si>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</si>
  <si>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</si>
  <si>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</si>
  <si>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</si>
  <si>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</si>
  <si>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</si>
  <si>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</si>
  <si>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</si>
  <si>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</si>
  <si>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</si>
  <si>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</si>
  <si>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</si>
  <si>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</si>
  <si>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</si>
  <si>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</si>
  <si>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</si>
  <si>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</si>
  <si>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</si>
  <si>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</si>
  <si>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</si>
  <si>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</si>
  <si>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</si>
  <si>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</si>
  <si>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</si>
  <si>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</si>
  <si>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</si>
  <si>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</si>
  <si>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</si>
  <si>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</si>
  <si>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</si>
  <si>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</si>
  <si>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</si>
  <si>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</si>
  <si>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</si>
  <si>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</si>
  <si>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</si>
  <si>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</si>
  <si>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</si>
  <si>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</si>
  <si>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</si>
  <si>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</si>
  <si>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</si>
  <si>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</si>
  <si>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</si>
  <si>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</si>
  <si>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</si>
  <si>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</si>
  <si>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</si>
  <si>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</si>
  <si>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</si>
  <si>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</si>
  <si>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</si>
  <si>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</si>
  <si>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</si>
  <si>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</si>
  <si>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</si>
  <si>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</si>
  <si>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</si>
  <si>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</si>
  <si>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</si>
  <si>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</si>
  <si>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</si>
  <si>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</si>
  <si>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</si>
  <si>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</si>
  <si>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</si>
  <si>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</si>
  <si>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</si>
  <si>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</si>
  <si>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</si>
  <si>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</si>
  <si>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</si>
  <si>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</si>
  <si>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</si>
  <si>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</si>
  <si>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</si>
  <si>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</si>
  <si>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</si>
  <si>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</si>
  <si>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</si>
  <si>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</si>
  <si>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</si>
  <si>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</si>
  <si>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</si>
  <si>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</si>
  <si>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</si>
  <si>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</si>
  <si>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</si>
  <si>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</si>
  <si>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</si>
  <si>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</si>
  <si>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</si>
  <si>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</si>
  <si>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</si>
  <si>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</si>
  <si>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</si>
  <si>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</si>
  <si>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</si>
  <si>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</si>
  <si>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</si>
  <si>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</si>
  <si>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</si>
  <si>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</si>
  <si>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</si>
  <si>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</si>
  <si>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</si>
  <si>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</si>
  <si>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</si>
  <si>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</si>
  <si>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</si>
  <si>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</si>
  <si>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</si>
  <si>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</si>
  <si>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</si>
  <si>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</si>
  <si>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</si>
  <si>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</si>
  <si>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</si>
  <si>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</si>
  <si>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</si>
  <si>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</si>
  <si>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</si>
  <si>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</si>
  <si>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</si>
  <si>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</si>
  <si>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</si>
  <si>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</si>
  <si>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</si>
  <si>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</si>
  <si>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</si>
  <si>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</si>
  <si>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</si>
  <si>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</si>
  <si>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</si>
  <si>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</si>
  <si>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</si>
  <si>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</si>
  <si>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</si>
  <si>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</si>
  <si>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</si>
  <si>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</si>
  <si>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</si>
  <si>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</si>
  <si>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</si>
  <si>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</si>
  <si>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</si>
  <si>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</si>
  <si>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</si>
  <si>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</si>
  <si>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</si>
  <si>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</si>
  <si>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</si>
  <si>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</si>
  <si>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</si>
  <si>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</si>
  <si>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</si>
  <si>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</si>
  <si>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</si>
  <si>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</si>
  <si>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</si>
  <si>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</si>
  <si>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</si>
  <si>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</si>
  <si>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</si>
  <si>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</si>
  <si>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</si>
  <si>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</si>
  <si>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</si>
  <si>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</si>
  <si>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</si>
  <si>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</si>
  <si>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</si>
  <si>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</si>
  <si>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</si>
  <si>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</si>
  <si>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</si>
  <si>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</si>
  <si>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</si>
  <si>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</si>
  <si>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</si>
  <si>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</si>
  <si>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</si>
  <si>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</si>
  <si>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</si>
  <si>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</si>
  <si>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</si>
  <si>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</si>
  <si>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</si>
  <si>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</si>
  <si>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</si>
  <si>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</si>
  <si>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</si>
  <si>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</si>
  <si>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</si>
  <si>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</si>
  <si>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</si>
  <si>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</si>
  <si>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</si>
  <si>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</si>
  <si>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</si>
  <si>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</si>
  <si>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</si>
  <si>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</si>
  <si>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</si>
  <si>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</si>
  <si>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</si>
  <si>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</si>
  <si>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</si>
  <si>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</si>
  <si>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</si>
  <si>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</si>
  <si>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</si>
  <si>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</si>
  <si>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</si>
  <si>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</si>
  <si>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</si>
  <si>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</si>
  <si>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</si>
  <si>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</si>
  <si>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</si>
  <si>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</si>
  <si>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</si>
  <si>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</si>
  <si>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</si>
  <si>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</si>
  <si>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</si>
  <si>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</si>
  <si>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</si>
  <si>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</si>
  <si>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</si>
  <si>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</si>
  <si>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</si>
  <si>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</si>
  <si>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</si>
  <si>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</si>
  <si>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</si>
  <si>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</si>
  <si>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</si>
  <si>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</si>
  <si>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</si>
  <si>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</si>
  <si>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</si>
  <si>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</si>
  <si>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</si>
  <si>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</si>
  <si>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</si>
  <si>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</si>
  <si>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</si>
  <si>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</si>
  <si>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</si>
  <si>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</si>
  <si>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</si>
  <si>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</si>
  <si>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</si>
  <si>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</si>
  <si>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</si>
  <si>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</si>
  <si>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</si>
  <si>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</si>
  <si>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</si>
  <si>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</si>
  <si>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</si>
  <si>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</si>
  <si>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</si>
  <si>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</si>
  <si>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</si>
  <si>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</si>
  <si>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</si>
  <si>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</si>
  <si>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</si>
  <si>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</si>
  <si>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</si>
  <si>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</si>
  <si>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</si>
  <si>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</si>
  <si>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</si>
  <si>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</si>
  <si>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</si>
  <si>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</si>
  <si>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</si>
  <si>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</si>
  <si>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</si>
  <si>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</si>
  <si>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</si>
  <si>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</si>
  <si>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</si>
  <si>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</si>
  <si>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</si>
  <si>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</si>
  <si>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</si>
  <si>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</si>
  <si>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</si>
  <si>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</si>
  <si>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</si>
  <si>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</si>
  <si>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</si>
  <si>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</si>
  <si>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</si>
  <si>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</si>
  <si>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</si>
  <si>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</si>
  <si>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</si>
  <si>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</si>
  <si>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</si>
  <si>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</si>
  <si>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</si>
  <si>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</si>
  <si>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</si>
  <si>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</si>
  <si>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</si>
  <si>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</si>
  <si>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</si>
  <si>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</si>
  <si>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</si>
  <si>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</si>
  <si>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</si>
  <si>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</si>
  <si>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</si>
  <si>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</si>
  <si>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</si>
  <si>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</si>
  <si>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</si>
  <si>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</si>
  <si>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</si>
  <si>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</si>
  <si>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</si>
  <si>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</si>
  <si>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</si>
  <si>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</si>
  <si>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</si>
  <si>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</si>
  <si>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</si>
  <si>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</si>
  <si>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</si>
  <si>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</si>
  <si>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</si>
  <si>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</si>
  <si>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</si>
  <si>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</si>
  <si>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</si>
  <si>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</si>
  <si>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</si>
  <si>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</si>
  <si>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</si>
  <si>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</si>
  <si>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</si>
  <si>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</si>
  <si>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</si>
  <si>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</si>
  <si>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</si>
  <si>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</si>
  <si>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</si>
  <si>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</si>
  <si>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</si>
  <si>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</si>
  <si>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</si>
  <si>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</si>
  <si>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</si>
  <si>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</si>
  <si>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</si>
  <si>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</si>
  <si>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</si>
  <si>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</si>
  <si>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</si>
  <si>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</si>
  <si>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</si>
  <si>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</si>
  <si>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</si>
  <si>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</si>
  <si>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</si>
  <si>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</si>
  <si>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</si>
  <si>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</si>
  <si>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</si>
  <si>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</si>
  <si>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</si>
  <si>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</si>
  <si>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</si>
  <si>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</si>
  <si>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</si>
  <si>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</si>
  <si>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</si>
  <si>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</si>
  <si>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</si>
  <si>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</si>
  <si>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</si>
  <si>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</si>
  <si>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</si>
  <si>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</si>
  <si>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</si>
  <si>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</si>
  <si>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</si>
  <si>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</si>
  <si>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</si>
  <si>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</si>
  <si>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</si>
  <si>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</si>
  <si>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</si>
  <si>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</si>
  <si>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</si>
  <si>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</si>
  <si>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</si>
  <si>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</si>
  <si>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</si>
  <si>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</si>
  <si>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</si>
  <si>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</si>
  <si>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</si>
  <si>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</si>
  <si>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</si>
  <si>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</si>
  <si>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</si>
  <si>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</si>
  <si>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</si>
  <si>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</si>
  <si>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</si>
  <si>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</si>
  <si>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</si>
  <si>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</si>
  <si>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</si>
  <si>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</si>
  <si>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</si>
  <si>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</si>
  <si>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</si>
  <si>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</si>
  <si>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</si>
  <si>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</si>
  <si>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</si>
  <si>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</si>
  <si>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</si>
  <si>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</si>
  <si>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</si>
  <si>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</si>
  <si>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</si>
  <si>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</si>
  <si>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</si>
  <si>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</si>
  <si>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</si>
  <si>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</si>
  <si>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</si>
  <si>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</si>
  <si>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</si>
  <si>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</si>
  <si>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</si>
  <si>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</si>
  <si>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</si>
  <si>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</si>
  <si>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</si>
  <si>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</si>
  <si>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</si>
  <si>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</si>
  <si>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</si>
  <si>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</si>
  <si>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</si>
  <si>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</si>
  <si>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</si>
  <si>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</si>
  <si>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</si>
  <si>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</si>
  <si>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</si>
  <si>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</si>
  <si>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</si>
  <si>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</si>
  <si>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</si>
  <si>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</si>
  <si>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</si>
  <si>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</si>
  <si>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</si>
  <si>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</si>
  <si>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</si>
  <si>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</si>
  <si>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</si>
  <si>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</si>
  <si>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</si>
  <si>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</si>
  <si>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</si>
  <si>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</si>
  <si>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</si>
  <si>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</si>
  <si>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</si>
  <si>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</si>
  <si>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</si>
  <si>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</si>
  <si>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</si>
  <si>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</si>
  <si>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</si>
  <si>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</si>
  <si>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</si>
  <si>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</si>
  <si>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</si>
  <si>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</si>
  <si>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</si>
  <si>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</si>
  <si>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</si>
  <si>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</si>
  <si>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</si>
  <si>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</si>
  <si>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</si>
  <si>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</si>
  <si>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</si>
  <si>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</si>
  <si>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</si>
  <si>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</si>
  <si>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</si>
  <si>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</si>
  <si>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</si>
  <si>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</si>
  <si>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</si>
  <si>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</si>
  <si>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</si>
  <si>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</si>
  <si>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</si>
  <si>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</si>
  <si>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</si>
  <si>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</si>
  <si>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</si>
  <si>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</si>
  <si>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</si>
  <si>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</si>
  <si>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</si>
  <si>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</si>
  <si>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</si>
  <si>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</si>
  <si>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</si>
  <si>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</si>
  <si>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</si>
  <si>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</si>
  <si>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</si>
  <si>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</si>
  <si>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</si>
  <si>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</si>
  <si>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</si>
  <si>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</si>
  <si>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</si>
  <si>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</si>
  <si>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</si>
  <si>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</si>
  <si>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</si>
  <si>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</si>
  <si>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</si>
  <si>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</si>
  <si>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</si>
  <si>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</si>
  <si>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</si>
  <si>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</si>
  <si>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</si>
  <si>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</si>
  <si>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</si>
  <si>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</si>
  <si>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</si>
  <si>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</si>
  <si>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</si>
  <si>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</si>
  <si>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</si>
  <si>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</si>
  <si>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</si>
  <si>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</si>
  <si>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</si>
  <si>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</si>
  <si>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</si>
  <si>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</si>
  <si>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</si>
  <si>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</si>
  <si>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</si>
  <si>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</si>
  <si>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</si>
  <si>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</si>
  <si>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</si>
  <si>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</si>
  <si>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</si>
  <si>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</si>
  <si>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</si>
  <si>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</si>
  <si>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</si>
  <si>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</si>
  <si>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</si>
  <si>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</si>
  <si>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</si>
  <si>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</si>
  <si>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</si>
  <si>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</si>
  <si>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</si>
  <si>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</si>
  <si>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</si>
  <si>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</si>
  <si>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</si>
  <si>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</si>
  <si>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</si>
  <si>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</si>
  <si>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</si>
  <si>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</si>
  <si>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</si>
  <si>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</si>
  <si>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</si>
  <si>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</si>
  <si>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</si>
  <si>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</si>
  <si>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</si>
  <si>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</si>
  <si>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</si>
  <si>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</si>
  <si>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</si>
  <si>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</si>
  <si>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</si>
  <si>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</si>
  <si>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</si>
  <si>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</si>
  <si>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</si>
  <si>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</si>
  <si>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</si>
  <si>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</si>
  <si>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</si>
  <si>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</si>
  <si>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</si>
  <si>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</si>
  <si>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</si>
  <si>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</si>
  <si>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</si>
  <si>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</si>
  <si>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</si>
  <si>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</si>
  <si>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</si>
  <si>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</si>
  <si>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</si>
  <si>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</si>
  <si>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</si>
  <si>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</si>
  <si>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</si>
  <si>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</si>
  <si>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</si>
  <si>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</si>
  <si>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</si>
  <si>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</si>
  <si>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</si>
  <si>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</si>
  <si>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</si>
  <si>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</si>
  <si>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</si>
  <si>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</si>
  <si>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</si>
  <si>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</si>
  <si>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</si>
  <si>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</si>
  <si>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</si>
  <si>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</si>
  <si>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</si>
  <si>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</si>
  <si>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</si>
  <si>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</si>
  <si>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</si>
  <si>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</si>
  <si>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</si>
  <si>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</si>
  <si>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</si>
  <si>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</si>
  <si>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</si>
  <si>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</si>
  <si>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</si>
  <si>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</si>
  <si>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</si>
  <si>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</si>
  <si>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</si>
  <si>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</si>
  <si>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</si>
  <si>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</si>
  <si>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</si>
  <si>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</si>
  <si>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</si>
  <si>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</si>
  <si>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</si>
  <si>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</si>
  <si>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</si>
  <si>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</si>
  <si>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</si>
  <si>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</si>
  <si>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</si>
  <si>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</si>
  <si>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</si>
  <si>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</si>
  <si>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</si>
  <si>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</si>
  <si>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</si>
  <si>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</si>
  <si>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</si>
  <si>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</si>
  <si>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</si>
  <si>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</si>
  <si>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</si>
  <si>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</si>
  <si>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</si>
  <si>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</si>
  <si>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</si>
  <si>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</si>
  <si>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</si>
  <si>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</si>
  <si>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</si>
  <si>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</si>
  <si>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</si>
  <si>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</si>
  <si>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</si>
  <si>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</si>
  <si>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</si>
  <si>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</si>
  <si>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</si>
  <si>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</si>
  <si>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</si>
  <si>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</si>
  <si>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</si>
  <si>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</si>
  <si>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</si>
  <si>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</si>
  <si>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</si>
  <si>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</si>
  <si>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</si>
  <si>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</si>
  <si>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</si>
  <si>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</si>
  <si>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</si>
  <si>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</si>
  <si>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</si>
  <si>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</si>
  <si>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</si>
  <si>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</si>
  <si>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</si>
  <si>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</si>
  <si>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</si>
  <si>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</si>
  <si>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</si>
  <si>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</si>
  <si>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</si>
  <si>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</si>
  <si>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</si>
  <si>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</si>
  <si>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</si>
  <si>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</si>
  <si>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</si>
  <si>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</si>
  <si>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</si>
  <si>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</si>
  <si>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</si>
  <si>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</si>
  <si>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</si>
  <si>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</si>
  <si>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</si>
  <si>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</si>
  <si>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</si>
  <si>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</si>
  <si>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</si>
  <si>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</si>
  <si>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</si>
  <si>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</si>
  <si>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</si>
  <si>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</si>
  <si>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</si>
  <si>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</si>
  <si>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</si>
  <si>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</si>
  <si>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</si>
  <si>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</si>
  <si>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</si>
  <si>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</si>
  <si>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</si>
  <si>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</si>
  <si>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</si>
  <si>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</si>
  <si>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</si>
  <si>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</si>
  <si>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</si>
  <si>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</si>
  <si>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</si>
  <si>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</si>
  <si>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</si>
  <si>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</si>
  <si>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</si>
  <si>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</si>
  <si>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</si>
  <si>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</si>
  <si>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</si>
  <si>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</si>
  <si>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</si>
  <si>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</si>
  <si>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</si>
  <si>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</si>
  <si>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</si>
  <si>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</si>
  <si>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</si>
  <si>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</si>
  <si>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</si>
  <si>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</si>
  <si>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</si>
  <si>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</si>
  <si>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</si>
  <si>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</si>
  <si>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</si>
  <si>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</si>
  <si>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</si>
  <si>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</si>
  <si>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</si>
  <si>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</si>
  <si>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</si>
  <si>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</si>
  <si>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</si>
  <si>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</si>
  <si>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</si>
  <si>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</si>
  <si>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</si>
  <si>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</si>
  <si>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</si>
  <si>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</si>
  <si>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</si>
  <si>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</si>
  <si>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</si>
  <si>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</si>
  <si>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</si>
  <si>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</si>
  <si>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</si>
  <si>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</si>
  <si>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</si>
  <si>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</si>
  <si>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</si>
  <si>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</si>
  <si>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</si>
  <si>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</si>
  <si>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</si>
  <si>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</si>
  <si>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</si>
  <si>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</si>
  <si>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</si>
  <si>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</si>
  <si>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</si>
  <si>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</si>
  <si>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</si>
  <si>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</si>
  <si>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</si>
  <si>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</si>
  <si>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</si>
  <si>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</si>
  <si>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</si>
  <si>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</si>
  <si>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</si>
  <si>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</si>
  <si>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</si>
  <si>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</si>
  <si>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</si>
  <si>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</si>
  <si>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</si>
  <si>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</si>
  <si>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</si>
  <si>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</si>
  <si>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</si>
  <si>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</si>
  <si>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</si>
  <si>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</si>
  <si>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</si>
  <si>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</si>
  <si>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</si>
  <si>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</si>
  <si>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</si>
  <si>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</si>
  <si>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</si>
  <si>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</si>
  <si>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</si>
  <si>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</si>
  <si>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</si>
  <si>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</si>
  <si>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</si>
  <si>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</si>
  <si>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</si>
  <si>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</si>
  <si>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</si>
  <si>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</si>
  <si>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</si>
  <si>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</si>
  <si>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</si>
  <si>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</si>
  <si>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</si>
  <si>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</si>
  <si>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</si>
  <si>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</si>
  <si>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</si>
  <si>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</si>
  <si>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</si>
  <si>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</si>
  <si>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</si>
  <si>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</si>
  <si>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</si>
  <si>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</si>
  <si>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</si>
  <si>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</si>
  <si>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</si>
  <si>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</si>
  <si>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</si>
  <si>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</si>
  <si>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</si>
  <si>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</si>
  <si>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</si>
  <si>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</si>
  <si>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</si>
  <si>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</si>
  <si>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</si>
  <si>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</si>
  <si>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</si>
  <si>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</si>
  <si>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</si>
  <si>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</si>
  <si>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</si>
  <si>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</si>
  <si>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</si>
  <si>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</si>
  <si>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</si>
  <si>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</si>
  <si>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</si>
  <si>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</si>
  <si>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</si>
  <si>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</si>
  <si>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</si>
  <si>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</si>
  <si>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</si>
  <si>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</si>
  <si>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</si>
  <si>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</si>
  <si>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</si>
  <si>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</si>
  <si>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</si>
  <si>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</si>
  <si>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</si>
  <si>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</si>
  <si>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</si>
  <si>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</si>
  <si>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</si>
  <si>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</si>
  <si>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</si>
  <si>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</si>
  <si>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</si>
  <si>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</si>
  <si>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</si>
  <si>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</si>
  <si>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</si>
  <si>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</si>
  <si>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</si>
  <si>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</si>
  <si>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</si>
  <si>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</si>
  <si>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</si>
  <si>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</si>
  <si>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</si>
  <si>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</si>
  <si>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</si>
  <si>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</si>
  <si>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</si>
  <si>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</si>
  <si>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</si>
  <si>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</si>
  <si>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</si>
  <si>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</si>
  <si>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</si>
  <si>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</si>
  <si>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</si>
  <si>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</si>
  <si>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</si>
  <si>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</si>
  <si>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</si>
  <si>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</si>
  <si>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</si>
  <si>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</si>
  <si>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</si>
  <si>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</si>
  <si>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</si>
  <si>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</si>
  <si>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</si>
  <si>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</si>
  <si>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</si>
  <si>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</si>
  <si>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</si>
  <si>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</si>
  <si>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</si>
  <si>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</si>
  <si>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</si>
  <si>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</si>
  <si>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</si>
  <si>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</si>
  <si>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</si>
  <si>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</si>
  <si>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</si>
  <si>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</si>
  <si>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</si>
  <si>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</si>
  <si>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</si>
  <si>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</si>
  <si>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</si>
  <si>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</si>
  <si>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</si>
  <si>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</si>
  <si>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</si>
  <si>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</si>
  <si>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</si>
  <si>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</si>
  <si>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</si>
  <si>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</si>
  <si>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</si>
  <si>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</si>
  <si>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</si>
  <si>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</si>
  <si>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</si>
  <si>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</si>
  <si>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</si>
  <si>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</si>
  <si>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</si>
  <si>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</si>
  <si>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</si>
  <si>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</si>
  <si>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</si>
  <si>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</si>
  <si>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</si>
  <si>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</si>
  <si>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</si>
  <si>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</si>
  <si>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</si>
  <si>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</si>
  <si>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</si>
  <si>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</si>
  <si>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</si>
  <si>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</si>
  <si>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</si>
  <si>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</si>
  <si>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</si>
  <si>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</si>
  <si>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</si>
  <si>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</si>
  <si>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</si>
  <si>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</si>
  <si>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</si>
  <si>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</si>
  <si>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</si>
  <si>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</si>
  <si>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</si>
  <si>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</si>
  <si>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</si>
  <si>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</si>
  <si>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</si>
  <si>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</si>
  <si>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</si>
  <si>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</si>
  <si>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</si>
  <si>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</si>
  <si>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</si>
  <si>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</si>
  <si>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</si>
  <si>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</si>
  <si>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</si>
  <si>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</si>
  <si>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</si>
  <si>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</si>
  <si>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</si>
  <si>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</si>
  <si>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</si>
  <si>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</si>
  <si>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</si>
  <si>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</si>
  <si>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</si>
  <si>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</si>
  <si>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</si>
  <si>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</si>
  <si>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</si>
  <si>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</si>
  <si>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</si>
  <si>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</si>
  <si>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</si>
  <si>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</si>
  <si>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</si>
  <si>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</si>
  <si>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</si>
  <si>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</si>
  <si>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</si>
  <si>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</si>
  <si>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</si>
  <si>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</si>
  <si>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</si>
  <si>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</si>
  <si>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</si>
  <si>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</si>
  <si>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</si>
  <si>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</si>
  <si>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</si>
  <si>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</si>
  <si>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</si>
  <si>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</si>
  <si>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</si>
  <si>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</si>
  <si>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</si>
  <si>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</si>
  <si>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</si>
  <si>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</si>
  <si>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</si>
  <si>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</si>
  <si>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</si>
  <si>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</si>
  <si>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</si>
  <si>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</si>
  <si>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</si>
  <si>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</si>
  <si>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</si>
  <si>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</si>
  <si>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</si>
  <si>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</si>
  <si>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</si>
  <si>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</si>
  <si>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</si>
  <si>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</si>
  <si>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</si>
  <si>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</si>
  <si>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</si>
  <si>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</si>
  <si>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</si>
  <si>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</si>
  <si>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</si>
  <si>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</si>
  <si>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</si>
  <si>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</si>
  <si>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</si>
  <si>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</si>
  <si>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</si>
  <si>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</si>
  <si>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</si>
  <si>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</si>
  <si>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</si>
  <si>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</si>
  <si>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</si>
  <si>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</si>
  <si>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</si>
  <si>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</si>
  <si>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</si>
  <si>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</si>
  <si>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</si>
  <si>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</si>
  <si>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</si>
  <si>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</si>
  <si>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</si>
  <si>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</si>
  <si>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</si>
  <si>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</si>
  <si>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</si>
  <si>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</si>
  <si>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</si>
  <si>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</si>
  <si>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</si>
  <si>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</si>
  <si>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</si>
  <si>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</si>
  <si>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</si>
  <si>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</si>
  <si>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</si>
  <si>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</si>
  <si>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</si>
  <si>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</si>
  <si>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</si>
  <si>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</si>
  <si>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</si>
  <si>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</si>
  <si>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</si>
  <si>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</si>
  <si>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</si>
  <si>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</si>
  <si>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</si>
  <si>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</si>
  <si>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</si>
  <si>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</si>
  <si>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</si>
  <si>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</si>
  <si>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</si>
  <si>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</si>
  <si>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</si>
  <si>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</si>
  <si>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</si>
  <si>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</si>
  <si>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</si>
  <si>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</si>
  <si>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</si>
  <si>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</si>
  <si>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</si>
  <si>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</si>
  <si>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</si>
  <si>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</si>
  <si>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</si>
  <si>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</si>
  <si>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</si>
  <si>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</si>
  <si>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</si>
  <si>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</si>
  <si>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</si>
  <si>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</si>
  <si>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</si>
  <si>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</si>
  <si>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</si>
  <si>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</si>
  <si>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</si>
  <si>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</si>
  <si>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</si>
  <si>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</si>
  <si>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</si>
  <si>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</si>
  <si>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</si>
  <si>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</si>
  <si>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</si>
  <si>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</si>
  <si>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</si>
  <si>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</si>
  <si>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</si>
  <si>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</si>
  <si>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</si>
  <si>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</si>
  <si>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</si>
  <si>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</si>
  <si>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</si>
  <si>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</si>
  <si>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</si>
  <si>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</si>
  <si>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</si>
  <si>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</si>
  <si>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</si>
  <si>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</si>
  <si>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</si>
  <si>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</si>
  <si>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</si>
  <si>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</si>
  <si>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</si>
  <si>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</si>
  <si>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</si>
  <si>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</si>
  <si>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</si>
  <si>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</si>
  <si>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</si>
  <si>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</si>
  <si>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</si>
  <si>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</si>
  <si>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</si>
  <si>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</si>
  <si>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</si>
  <si>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</si>
  <si>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</si>
  <si>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</si>
  <si>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</si>
  <si>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</si>
  <si>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</si>
  <si>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</si>
  <si>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</si>
  <si>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</si>
  <si>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</si>
  <si>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</si>
  <si>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</si>
  <si>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</si>
  <si>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</si>
  <si>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</si>
  <si>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</si>
  <si>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</si>
  <si>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</si>
  <si>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</si>
  <si>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</si>
  <si>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</si>
  <si>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</si>
  <si>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</si>
  <si>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</si>
  <si>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</si>
  <si>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</si>
  <si>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</si>
  <si>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</si>
  <si>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</si>
  <si>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</si>
  <si>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</si>
  <si>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</si>
  <si>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</si>
  <si>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</si>
  <si>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</si>
  <si>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</si>
  <si>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</si>
  <si>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</si>
  <si>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</si>
  <si>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</si>
  <si>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</si>
  <si>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</si>
  <si>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</si>
  <si>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</si>
  <si>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</si>
  <si>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</si>
  <si>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</si>
  <si>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</si>
  <si>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</si>
  <si>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</si>
  <si>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</si>
  <si>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</si>
  <si>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</si>
  <si>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</si>
  <si>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</si>
  <si>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</si>
  <si>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</si>
  <si>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</si>
  <si>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</si>
  <si>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</si>
  <si>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</si>
  <si>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</si>
  <si>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</si>
  <si>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</si>
  <si>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</si>
  <si>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</si>
  <si>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</si>
  <si>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</si>
  <si>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</si>
  <si>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</si>
  <si>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</si>
  <si>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</si>
  <si>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</si>
  <si>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</si>
  <si>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</si>
  <si>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</si>
  <si>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</si>
  <si>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</si>
  <si>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</si>
  <si>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</si>
  <si>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</si>
  <si>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</si>
  <si>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</si>
  <si>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</si>
  <si>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</si>
  <si>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</si>
  <si>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</si>
  <si>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</si>
  <si>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</si>
  <si>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</si>
  <si>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</si>
  <si>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</si>
  <si>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</si>
  <si>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</si>
  <si>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</si>
  <si>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</si>
  <si>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</si>
  <si>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</si>
  <si>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</si>
  <si>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</si>
  <si>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</si>
  <si>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</si>
  <si>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</si>
  <si>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</si>
  <si>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</si>
  <si>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</si>
  <si>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</si>
  <si>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</si>
  <si>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</si>
  <si>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</si>
  <si>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</si>
  <si>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</si>
  <si>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</si>
  <si>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</si>
  <si>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</si>
  <si>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</si>
  <si>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</si>
  <si>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</si>
  <si>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</si>
  <si>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</si>
  <si>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</si>
  <si>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</si>
  <si>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</si>
  <si>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</si>
  <si>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</si>
  <si>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https://www.treasurer.ca.gov/ctcac/forms/reserve-certification.docx</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</si>
  <si>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</si>
  <si>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</si>
  <si>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</si>
  <si>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</si>
  <si>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</si>
  <si>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</si>
  <si>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</si>
  <si>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</si>
  <si>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</si>
  <si>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</si>
  <si>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</si>
  <si>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</si>
  <si>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</si>
  <si>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</si>
  <si>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</si>
  <si>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</si>
  <si>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</si>
  <si>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</si>
  <si>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</si>
  <si>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</si>
  <si>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</si>
  <si>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</si>
  <si>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</si>
  <si>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</si>
  <si>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</si>
  <si>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</si>
  <si>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</si>
  <si>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</si>
  <si>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</si>
  <si>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</si>
  <si>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</si>
  <si>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</si>
  <si>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</si>
  <si>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</si>
  <si>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</si>
  <si>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</si>
  <si>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</si>
  <si>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</si>
  <si>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</si>
  <si>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</si>
  <si>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</si>
  <si>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</si>
  <si>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</si>
  <si>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</si>
  <si>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</si>
  <si>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</si>
  <si>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</si>
  <si>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</si>
  <si>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</si>
  <si>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</si>
  <si>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</si>
  <si>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</si>
  <si>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</si>
  <si>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</si>
  <si>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</si>
  <si>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</si>
  <si>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</si>
  <si>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</si>
  <si>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</si>
  <si>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</si>
  <si>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</si>
  <si>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3590 Elm Avenue</t>
  </si>
  <si>
    <t>Long Beach</t>
  </si>
  <si>
    <t>CA</t>
  </si>
  <si>
    <t>Linc Housing Corporation</t>
  </si>
  <si>
    <t>3590 Elm Ave</t>
  </si>
  <si>
    <t>Long Beach, CA 90807</t>
  </si>
  <si>
    <t xml:space="preserve">Gubb &amp; Barshay LLP										</t>
  </si>
  <si>
    <t>235 Montgomery Street, Ste. 1110</t>
  </si>
  <si>
    <t>San Francisco, CA 94104</t>
  </si>
  <si>
    <t>Henry Loh II</t>
  </si>
  <si>
    <t>415-354-3618</t>
  </si>
  <si>
    <t>hloh@gubbandbarshay.com</t>
  </si>
  <si>
    <t>Holthouse Carlin &amp; Van Trigt LLP</t>
  </si>
  <si>
    <t>400 W Ventura Blvd., Suite #250</t>
  </si>
  <si>
    <t>Camarillo, CA 93010</t>
  </si>
  <si>
    <t>David Bierhorst</t>
  </si>
  <si>
    <t>805-374-8555</t>
  </si>
  <si>
    <t>805-413-1749</t>
  </si>
  <si>
    <t>daveb@hcvt.com</t>
  </si>
  <si>
    <t>WinnResidential</t>
  </si>
  <si>
    <t xml:space="preserve">2499 W. Shaw Ave., Ste. 103										</t>
  </si>
  <si>
    <t xml:space="preserve">Fresno, CA 93711										</t>
  </si>
  <si>
    <t xml:space="preserve">Oke Johnson										</t>
  </si>
  <si>
    <t xml:space="preserve">559-489-9930					</t>
  </si>
  <si>
    <t xml:space="preserve">okejohnson@winnco.com										</t>
  </si>
  <si>
    <t>Not Applicable</t>
  </si>
  <si>
    <t xml:space="preserve">Linc Housing Corporation (as Sole Member and Manager of Linc 3590 LLC, the Managing General Partner of Linc 3590, LP)																												</t>
  </si>
  <si>
    <t xml:space="preserve">3590 Elm																												</t>
  </si>
  <si>
    <t>City of Long Beach</t>
  </si>
  <si>
    <t xml:space="preserve">90807					</t>
  </si>
  <si>
    <t>7145-011-003
7145-011-033</t>
  </si>
  <si>
    <t>Jeff Williams</t>
  </si>
  <si>
    <t>562-684-1118</t>
  </si>
  <si>
    <t>jswilliams@linchousing.org</t>
  </si>
  <si>
    <t>Linc 3590 LLC</t>
  </si>
  <si>
    <t xml:space="preserve">562-684-1118					</t>
  </si>
  <si>
    <t xml:space="preserve">jswilliams@linchousing.org																		</t>
  </si>
  <si>
    <t xml:space="preserve">Linc Housing Corporation																								</t>
  </si>
  <si>
    <t xml:space="preserve">Ben Noury																		</t>
  </si>
  <si>
    <t xml:space="preserve">562-684-1153					</t>
  </si>
  <si>
    <t xml:space="preserve">bnoury@linchousing.org																		</t>
  </si>
  <si>
    <t xml:space="preserve">BAR Architects &amp; Interiors										</t>
  </si>
  <si>
    <t xml:space="preserve">77 Geary Stree, Suite 200										</t>
  </si>
  <si>
    <t xml:space="preserve">San Francisco, CA, 94102										</t>
  </si>
  <si>
    <t xml:space="preserve">Zach Prowda										</t>
  </si>
  <si>
    <t xml:space="preserve">213-349-0163					</t>
  </si>
  <si>
    <t xml:space="preserve">zprowda@bararch.com										</t>
  </si>
  <si>
    <t xml:space="preserve">Kinetic Valuation Group										</t>
  </si>
  <si>
    <t xml:space="preserve">3901 S 147th Street, Suite 144 										</t>
  </si>
  <si>
    <t xml:space="preserve">Omaha, NE 68144										</t>
  </si>
  <si>
    <t xml:space="preserve">Jay A. Wortmann										</t>
  </si>
  <si>
    <t xml:space="preserve">(402) 202-0771					</t>
  </si>
  <si>
    <t xml:space="preserve">N/A					</t>
  </si>
  <si>
    <t xml:space="preserve">jay@kvgteam.com										</t>
  </si>
  <si>
    <t>Meggan Sorensen</t>
  </si>
  <si>
    <t>411 W. Ocean Blvd., 3rd Floor</t>
  </si>
  <si>
    <t>562-570-0649</t>
  </si>
  <si>
    <t>Meggan.Sorensen@longbeach.gov</t>
  </si>
  <si>
    <t>40%/60% Average Income</t>
  </si>
  <si>
    <t>Ben Noury</t>
  </si>
  <si>
    <t>Suny Lay Chang</t>
  </si>
  <si>
    <t>President and Chief Operating Officer</t>
  </si>
  <si>
    <t>3590 Elm Avenue, Long Beach, CA 90807</t>
  </si>
  <si>
    <t>Inner City Infill Site</t>
  </si>
  <si>
    <t>Fixed</t>
  </si>
  <si>
    <t>LACAHSA - Residual Receipt Loan</t>
  </si>
  <si>
    <t>LACAHSA - Matching Grant</t>
  </si>
  <si>
    <t>Housing Authority of the City of Long Beach</t>
  </si>
  <si>
    <t>LACAHSA Residual Receipts Loan</t>
  </si>
  <si>
    <t>LACAHSA Matching Grant</t>
  </si>
  <si>
    <t>Tax-Exempt Construction Loan</t>
  </si>
  <si>
    <t>Construction Loan Taxable Tail</t>
  </si>
  <si>
    <t>Accrued and Deferred Soft loan Interest</t>
  </si>
  <si>
    <t>Developer Fee Contribution</t>
  </si>
  <si>
    <t>Costs Deferred Until Completion</t>
  </si>
  <si>
    <t>Misc. Admin/Telephone</t>
  </si>
  <si>
    <t>Payroll Taxes/Benefits</t>
  </si>
  <si>
    <t>Misc. Expenses</t>
  </si>
  <si>
    <t>LACAHSA Annual Compliance Fee</t>
  </si>
  <si>
    <t>Other: Methane Monitoring</t>
  </si>
  <si>
    <t>Annual Issuer Fee</t>
  </si>
  <si>
    <t>Cable/Internet</t>
  </si>
  <si>
    <t>Other: Payment &amp; Performance Bond</t>
  </si>
  <si>
    <t>Other: Accrued &amp; Deferred Soft Loan Interest</t>
  </si>
  <si>
    <t>LACAHSA</t>
  </si>
  <si>
    <t>City of Long Beach LACAHSA</t>
  </si>
  <si>
    <t>GP Capital Contributions</t>
  </si>
  <si>
    <t>LIHTC Equity</t>
  </si>
  <si>
    <t>Air conditioning</t>
  </si>
  <si>
    <t>LACAHSA funding requires a Project Labor Agreement</t>
  </si>
  <si>
    <t>Multi-Family Residential – Moderate (MFR-M / 4 ST)</t>
  </si>
  <si>
    <t>R-4-N; 62 du/ac</t>
  </si>
  <si>
    <t>Nicole Norori</t>
  </si>
  <si>
    <t>nnorori@calhousingpartnership.org</t>
  </si>
  <si>
    <t>369 Pine Street, Suite 300</t>
  </si>
  <si>
    <t>415-433-6804</t>
  </si>
  <si>
    <t>California Municipal Finance Authority</t>
  </si>
  <si>
    <t>Jarod K. Suzuki</t>
  </si>
  <si>
    <t>2111 Palomar Airport Rd, Suite 320</t>
  </si>
  <si>
    <t>Carlsbad, CA 92011</t>
  </si>
  <si>
    <t>(760) 940-8922</t>
  </si>
  <si>
    <t>jsuzuki@cmfa-ca.com</t>
  </si>
  <si>
    <t>1370 N St Andrews Pl B-16</t>
  </si>
  <si>
    <t>Los Angeles, CA 90028</t>
  </si>
  <si>
    <t>Density bonus allows for 3 additional stories for a maximum of 7</t>
  </si>
  <si>
    <t>562.570.6872</t>
  </si>
  <si>
    <t>411 W. Ocean Blvd., 3rd Fl.</t>
  </si>
  <si>
    <t>Long Beach, CA 90802</t>
  </si>
  <si>
    <t>Claudia Lima</t>
  </si>
  <si>
    <t>(213) 974-1431</t>
  </si>
  <si>
    <t>Meggan Soransen</t>
  </si>
  <si>
    <t>Maria Joyce</t>
  </si>
  <si>
    <t>213-400-9049</t>
  </si>
  <si>
    <t>Los Angeles, CA  90071</t>
  </si>
  <si>
    <t>333 S. Hope Street, 20th Floor</t>
  </si>
  <si>
    <t xml:space="preserve">Housing Finance &amp; Senior Project Manager																		</t>
  </si>
  <si>
    <t>September</t>
  </si>
  <si>
    <t>To be determined</t>
  </si>
  <si>
    <t>California Housing Partnership</t>
  </si>
  <si>
    <t>Not applicable</t>
  </si>
  <si>
    <t>City of Long Beach LACAHSA, LACAHSA</t>
  </si>
  <si>
    <t>3575 Atlantic Avenue</t>
  </si>
  <si>
    <t>Pharmacist on duty</t>
  </si>
  <si>
    <t>(562) 997-8743</t>
  </si>
  <si>
    <t>CVS</t>
  </si>
  <si>
    <t>0.09 miles</t>
  </si>
  <si>
    <t>cvs.com</t>
  </si>
  <si>
    <t>Long Beach Transit Route 51 Long Beach Blvd</t>
  </si>
  <si>
    <t>Long Beach Blvd &amp; 36th NE</t>
  </si>
  <si>
    <t>Long Beach, 90807</t>
  </si>
  <si>
    <t>562.591.2301</t>
  </si>
  <si>
    <t>Attendant</t>
  </si>
  <si>
    <t>Ridelbt.com</t>
  </si>
  <si>
    <t>0.1 miles</t>
  </si>
  <si>
    <t>Long Beach Public Library - Dana Branch</t>
  </si>
  <si>
    <t>3680 Atlantic Ave</t>
  </si>
  <si>
    <t>0.19 miles</t>
  </si>
  <si>
    <t>longbeach.gov/library/locations/dana/</t>
  </si>
  <si>
    <t>(562) 570-1042</t>
  </si>
  <si>
    <t>Librarian</t>
  </si>
  <si>
    <t>Island Pacific Supermarket and Seafood</t>
  </si>
  <si>
    <t>3300 Atlantic Ave</t>
  </si>
  <si>
    <t>0.29 miles</t>
  </si>
  <si>
    <t>Store Manager</t>
  </si>
  <si>
    <t>(562) 264-2942</t>
  </si>
  <si>
    <t>islandpacificmarket.com</t>
  </si>
  <si>
    <t>Charles Evans Hughes Middle School</t>
  </si>
  <si>
    <t>3846 California Ave</t>
  </si>
  <si>
    <t>Administrator</t>
  </si>
  <si>
    <t>(562) 595-0831</t>
  </si>
  <si>
    <t>https://hughes.lbschools.net/</t>
  </si>
  <si>
    <t>0.51 miles</t>
  </si>
  <si>
    <t>Los Cerritos Park</t>
  </si>
  <si>
    <t>3750 Del Mar Ave</t>
  </si>
  <si>
    <t>0.68 miles</t>
  </si>
  <si>
    <t>longbeach.gov/park/park-and-facilities/directory/los-cerritos-park/</t>
  </si>
  <si>
    <t>(562) 570-3100</t>
  </si>
  <si>
    <t>Parks Officer</t>
  </si>
  <si>
    <t>Open Access Medical Care</t>
  </si>
  <si>
    <t>3760 Atlantic Ave, Suite C</t>
  </si>
  <si>
    <t>(562) 595-7467</t>
  </si>
  <si>
    <t>walkinmedicalgroup.com/</t>
  </si>
  <si>
    <t>0.33 miles</t>
  </si>
  <si>
    <t>General Partner Equity</t>
  </si>
  <si>
    <t>Managing GP</t>
  </si>
  <si>
    <t>Permanent Loan</t>
  </si>
  <si>
    <t>Other: Permanent Loan Conversion Fee + Permanent Loan Legal</t>
  </si>
  <si>
    <t xml:space="preserve">Other: </t>
  </si>
  <si>
    <t>Other: Capitalized Operations + Services</t>
  </si>
  <si>
    <t>Other: LACAHSA Fees</t>
  </si>
  <si>
    <t>Other: Soils, HERS rater, Deputy Inspections, Utility ConnectionsSecurity &amp; Consultants</t>
  </si>
  <si>
    <t>Other: Environmental Remediation (non-basis) + Well Mitigation Consultant</t>
  </si>
  <si>
    <t>City of Long Beach Development Loan</t>
  </si>
  <si>
    <t>Variable</t>
  </si>
  <si>
    <t xml:space="preserve">Loan, Taxable </t>
  </si>
  <si>
    <t>Loan Residual Receipts</t>
  </si>
  <si>
    <t>Accrued/Deferred Interest</t>
  </si>
  <si>
    <t>GP Capital Contirubiont</t>
  </si>
  <si>
    <t>Cost Defferral</t>
  </si>
  <si>
    <t>GP Equity</t>
  </si>
  <si>
    <t>Ben Winter</t>
  </si>
  <si>
    <t>Executive Vice President of Housing Development</t>
  </si>
  <si>
    <t>562-684-1100</t>
  </si>
  <si>
    <t>See contact info for City of Long Beach + LACAHSA</t>
  </si>
  <si>
    <t>Bureau Manager</t>
  </si>
  <si>
    <t>LINC Housing Development, LLC</t>
  </si>
  <si>
    <t>Daily SOFR</t>
  </si>
  <si>
    <t>As part of the City of Long Beach entitlement and density bonus provisions the project is required to restrict 20% of the units to low income residents. These restrictions run with the land.</t>
  </si>
  <si>
    <t>Provided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</si>
</sst>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
      <sz val="9"/>
      <color rgb="FF000000"/>
      <name val="Tahoma"/>
      <family val="2"/>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28211">
    <xf numFmtId="0" fontId="0" fillId="0" borderId="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4" borderId="0" applyNumberFormat="0" applyBorder="0" applyAlignment="0" applyProtection="0"/>
    <xf numFmtId="0" fontId="86" fillId="14" borderId="0" applyNumberFormat="0" applyBorder="0" applyAlignment="0" applyProtection="0"/>
    <xf numFmtId="0" fontId="86" fillId="14" borderId="0" applyNumberFormat="0" applyBorder="0" applyAlignment="0" applyProtection="0"/>
    <xf numFmtId="0" fontId="86" fillId="14" borderId="0" applyNumberFormat="0" applyBorder="0" applyAlignment="0" applyProtection="0"/>
    <xf numFmtId="0" fontId="86" fillId="14" borderId="0" applyNumberFormat="0" applyBorder="0" applyAlignment="0" applyProtection="0"/>
    <xf numFmtId="0" fontId="86" fillId="14" borderId="0" applyNumberFormat="0" applyBorder="0" applyAlignment="0" applyProtection="0"/>
    <xf numFmtId="0" fontId="86" fillId="14" borderId="0" applyNumberFormat="0" applyBorder="0" applyAlignment="0" applyProtection="0"/>
    <xf numFmtId="0" fontId="86" fillId="14" borderId="0" applyNumberFormat="0" applyBorder="0" applyAlignment="0" applyProtection="0"/>
    <xf numFmtId="0" fontId="86" fillId="15" borderId="0" applyNumberFormat="0" applyBorder="0" applyAlignment="0" applyProtection="0"/>
    <xf numFmtId="0" fontId="86" fillId="15" borderId="0" applyNumberFormat="0" applyBorder="0" applyAlignment="0" applyProtection="0"/>
    <xf numFmtId="0" fontId="86" fillId="15" borderId="0" applyNumberFormat="0" applyBorder="0" applyAlignment="0" applyProtection="0"/>
    <xf numFmtId="0" fontId="86" fillId="15" borderId="0" applyNumberFormat="0" applyBorder="0" applyAlignment="0" applyProtection="0"/>
    <xf numFmtId="0" fontId="86" fillId="15" borderId="0" applyNumberFormat="0" applyBorder="0" applyAlignment="0" applyProtection="0"/>
    <xf numFmtId="0" fontId="86" fillId="15" borderId="0" applyNumberFormat="0" applyBorder="0" applyAlignment="0" applyProtection="0"/>
    <xf numFmtId="0" fontId="86" fillId="15" borderId="0" applyNumberFormat="0" applyBorder="0" applyAlignment="0" applyProtection="0"/>
    <xf numFmtId="0" fontId="86" fillId="15" borderId="0" applyNumberFormat="0" applyBorder="0" applyAlignment="0" applyProtection="0"/>
    <xf numFmtId="0" fontId="86" fillId="16" borderId="0" applyNumberFormat="0" applyBorder="0" applyAlignment="0" applyProtection="0"/>
    <xf numFmtId="0" fontId="86" fillId="16" borderId="0" applyNumberFormat="0" applyBorder="0" applyAlignment="0" applyProtection="0"/>
    <xf numFmtId="0" fontId="86" fillId="16" borderId="0" applyNumberFormat="0" applyBorder="0" applyAlignment="0" applyProtection="0"/>
    <xf numFmtId="0" fontId="86" fillId="16" borderId="0" applyNumberFormat="0" applyBorder="0" applyAlignment="0" applyProtection="0"/>
    <xf numFmtId="0" fontId="86" fillId="16" borderId="0" applyNumberFormat="0" applyBorder="0" applyAlignment="0" applyProtection="0"/>
    <xf numFmtId="0" fontId="86" fillId="16" borderId="0" applyNumberFormat="0" applyBorder="0" applyAlignment="0" applyProtection="0"/>
    <xf numFmtId="0" fontId="86" fillId="16" borderId="0" applyNumberFormat="0" applyBorder="0" applyAlignment="0" applyProtection="0"/>
    <xf numFmtId="0" fontId="86" fillId="16" borderId="0" applyNumberFormat="0" applyBorder="0" applyAlignment="0" applyProtection="0"/>
    <xf numFmtId="0" fontId="86" fillId="17" borderId="0" applyNumberFormat="0" applyBorder="0" applyAlignment="0" applyProtection="0"/>
    <xf numFmtId="0" fontId="86" fillId="17" borderId="0" applyNumberFormat="0" applyBorder="0" applyAlignment="0" applyProtection="0"/>
    <xf numFmtId="0" fontId="86" fillId="17" borderId="0" applyNumberFormat="0" applyBorder="0" applyAlignment="0" applyProtection="0"/>
    <xf numFmtId="0" fontId="86" fillId="17" borderId="0" applyNumberFormat="0" applyBorder="0" applyAlignment="0" applyProtection="0"/>
    <xf numFmtId="0" fontId="86" fillId="17" borderId="0" applyNumberFormat="0" applyBorder="0" applyAlignment="0" applyProtection="0"/>
    <xf numFmtId="0" fontId="86" fillId="17" borderId="0" applyNumberFormat="0" applyBorder="0" applyAlignment="0" applyProtection="0"/>
    <xf numFmtId="0" fontId="86" fillId="17" borderId="0" applyNumberFormat="0" applyBorder="0" applyAlignment="0" applyProtection="0"/>
    <xf numFmtId="0" fontId="86" fillId="17" borderId="0" applyNumberFormat="0" applyBorder="0" applyAlignment="0" applyProtection="0"/>
    <xf numFmtId="0" fontId="86" fillId="18" borderId="0" applyNumberFormat="0" applyBorder="0" applyAlignment="0" applyProtection="0"/>
    <xf numFmtId="0" fontId="86" fillId="18" borderId="0" applyNumberFormat="0" applyBorder="0" applyAlignment="0" applyProtection="0"/>
    <xf numFmtId="0" fontId="86" fillId="18" borderId="0" applyNumberFormat="0" applyBorder="0" applyAlignment="0" applyProtection="0"/>
    <xf numFmtId="0" fontId="86" fillId="18" borderId="0" applyNumberFormat="0" applyBorder="0" applyAlignment="0" applyProtection="0"/>
    <xf numFmtId="0" fontId="86" fillId="18" borderId="0" applyNumberFormat="0" applyBorder="0" applyAlignment="0" applyProtection="0"/>
    <xf numFmtId="0" fontId="86" fillId="18" borderId="0" applyNumberFormat="0" applyBorder="0" applyAlignment="0" applyProtection="0"/>
    <xf numFmtId="0" fontId="86" fillId="18" borderId="0" applyNumberFormat="0" applyBorder="0" applyAlignment="0" applyProtection="0"/>
    <xf numFmtId="0" fontId="86" fillId="18" borderId="0" applyNumberFormat="0" applyBorder="0" applyAlignment="0" applyProtection="0"/>
    <xf numFmtId="0" fontId="86" fillId="19" borderId="0" applyNumberFormat="0" applyBorder="0" applyAlignment="0" applyProtection="0"/>
    <xf numFmtId="0" fontId="86" fillId="19" borderId="0" applyNumberFormat="0" applyBorder="0" applyAlignment="0" applyProtection="0"/>
    <xf numFmtId="0" fontId="86" fillId="19" borderId="0" applyNumberFormat="0" applyBorder="0" applyAlignment="0" applyProtection="0"/>
    <xf numFmtId="0" fontId="86" fillId="19" borderId="0" applyNumberFormat="0" applyBorder="0" applyAlignment="0" applyProtection="0"/>
    <xf numFmtId="0" fontId="86" fillId="19" borderId="0" applyNumberFormat="0" applyBorder="0" applyAlignment="0" applyProtection="0"/>
    <xf numFmtId="0" fontId="86" fillId="19" borderId="0" applyNumberFormat="0" applyBorder="0" applyAlignment="0" applyProtection="0"/>
    <xf numFmtId="0" fontId="86" fillId="19" borderId="0" applyNumberFormat="0" applyBorder="0" applyAlignment="0" applyProtection="0"/>
    <xf numFmtId="0" fontId="86" fillId="19" borderId="0" applyNumberFormat="0" applyBorder="0" applyAlignment="0" applyProtection="0"/>
    <xf numFmtId="0" fontId="86" fillId="20" borderId="0" applyNumberFormat="0" applyBorder="0" applyAlignment="0" applyProtection="0"/>
    <xf numFmtId="0" fontId="86" fillId="20" borderId="0" applyNumberFormat="0" applyBorder="0" applyAlignment="0" applyProtection="0"/>
    <xf numFmtId="0" fontId="86" fillId="20" borderId="0" applyNumberFormat="0" applyBorder="0" applyAlignment="0" applyProtection="0"/>
    <xf numFmtId="0" fontId="86" fillId="20" borderId="0" applyNumberFormat="0" applyBorder="0" applyAlignment="0" applyProtection="0"/>
    <xf numFmtId="0" fontId="86" fillId="20" borderId="0" applyNumberFormat="0" applyBorder="0" applyAlignment="0" applyProtection="0"/>
    <xf numFmtId="0" fontId="86" fillId="20" borderId="0" applyNumberFormat="0" applyBorder="0" applyAlignment="0" applyProtection="0"/>
    <xf numFmtId="0" fontId="86" fillId="20" borderId="0" applyNumberFormat="0" applyBorder="0" applyAlignment="0" applyProtection="0"/>
    <xf numFmtId="0" fontId="86" fillId="20" borderId="0" applyNumberFormat="0" applyBorder="0" applyAlignment="0" applyProtection="0"/>
    <xf numFmtId="0" fontId="86" fillId="21" borderId="0" applyNumberFormat="0" applyBorder="0" applyAlignment="0" applyProtection="0"/>
    <xf numFmtId="0" fontId="86" fillId="21" borderId="0" applyNumberFormat="0" applyBorder="0" applyAlignment="0" applyProtection="0"/>
    <xf numFmtId="0" fontId="86" fillId="21" borderId="0" applyNumberFormat="0" applyBorder="0" applyAlignment="0" applyProtection="0"/>
    <xf numFmtId="0" fontId="86" fillId="21" borderId="0" applyNumberFormat="0" applyBorder="0" applyAlignment="0" applyProtection="0"/>
    <xf numFmtId="0" fontId="86" fillId="21" borderId="0" applyNumberFormat="0" applyBorder="0" applyAlignment="0" applyProtection="0"/>
    <xf numFmtId="0" fontId="86" fillId="21" borderId="0" applyNumberFormat="0" applyBorder="0" applyAlignment="0" applyProtection="0"/>
    <xf numFmtId="0" fontId="86" fillId="21" borderId="0" applyNumberFormat="0" applyBorder="0" applyAlignment="0" applyProtection="0"/>
    <xf numFmtId="0" fontId="86" fillId="21" borderId="0" applyNumberFormat="0" applyBorder="0" applyAlignment="0" applyProtection="0"/>
    <xf numFmtId="0" fontId="86" fillId="22" borderId="0" applyNumberFormat="0" applyBorder="0" applyAlignment="0" applyProtection="0"/>
    <xf numFmtId="0" fontId="86" fillId="22" borderId="0" applyNumberFormat="0" applyBorder="0" applyAlignment="0" applyProtection="0"/>
    <xf numFmtId="0" fontId="86" fillId="22" borderId="0" applyNumberFormat="0" applyBorder="0" applyAlignment="0" applyProtection="0"/>
    <xf numFmtId="0" fontId="86" fillId="22" borderId="0" applyNumberFormat="0" applyBorder="0" applyAlignment="0" applyProtection="0"/>
    <xf numFmtId="0" fontId="86" fillId="22" borderId="0" applyNumberFormat="0" applyBorder="0" applyAlignment="0" applyProtection="0"/>
    <xf numFmtId="0" fontId="86" fillId="22" borderId="0" applyNumberFormat="0" applyBorder="0" applyAlignment="0" applyProtection="0"/>
    <xf numFmtId="0" fontId="86" fillId="22" borderId="0" applyNumberFormat="0" applyBorder="0" applyAlignment="0" applyProtection="0"/>
    <xf numFmtId="0" fontId="86" fillId="22" borderId="0" applyNumberFormat="0" applyBorder="0" applyAlignment="0" applyProtection="0"/>
    <xf numFmtId="0" fontId="87" fillId="23" borderId="0" applyNumberFormat="0" applyBorder="0" applyAlignment="0" applyProtection="0"/>
    <xf numFmtId="0" fontId="87" fillId="23" borderId="0" applyNumberFormat="0" applyBorder="0" applyAlignment="0" applyProtection="0"/>
    <xf numFmtId="0" fontId="87" fillId="24"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6" borderId="0" applyNumberFormat="0" applyBorder="0" applyAlignment="0" applyProtection="0"/>
    <xf numFmtId="0" fontId="87" fillId="26" borderId="0" applyNumberFormat="0" applyBorder="0" applyAlignment="0" applyProtection="0"/>
    <xf numFmtId="0" fontId="87" fillId="27" borderId="0" applyNumberFormat="0" applyBorder="0" applyAlignment="0" applyProtection="0"/>
    <xf numFmtId="0" fontId="87" fillId="28" borderId="0" applyNumberFormat="0" applyBorder="0" applyAlignment="0" applyProtection="0"/>
    <xf numFmtId="0" fontId="87" fillId="28" borderId="0" applyNumberFormat="0" applyBorder="0" applyAlignment="0" applyProtection="0"/>
    <xf numFmtId="0" fontId="87" fillId="29" borderId="0" applyNumberFormat="0" applyBorder="0" applyAlignment="0" applyProtection="0"/>
    <xf numFmtId="0" fontId="87" fillId="29"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1" borderId="0" applyNumberFormat="0" applyBorder="0" applyAlignment="0" applyProtection="0"/>
    <xf numFmtId="0" fontId="87" fillId="31" borderId="0" applyNumberFormat="0" applyBorder="0" applyAlignment="0" applyProtection="0"/>
    <xf numFmtId="0" fontId="87" fillId="32" borderId="0" applyNumberFormat="0" applyBorder="0" applyAlignment="0" applyProtection="0"/>
    <xf numFmtId="0" fontId="87" fillId="32" borderId="0" applyNumberFormat="0" applyBorder="0" applyAlignment="0" applyProtection="0"/>
    <xf numFmtId="0" fontId="87" fillId="33" borderId="0" applyNumberFormat="0" applyBorder="0" applyAlignment="0" applyProtection="0"/>
    <xf numFmtId="0" fontId="87" fillId="34" borderId="0" applyNumberFormat="0" applyBorder="0" applyAlignment="0" applyProtection="0"/>
    <xf numFmtId="0" fontId="88" fillId="35" borderId="0" applyNumberFormat="0" applyBorder="0" applyAlignment="0" applyProtection="0"/>
    <xf numFmtId="0" fontId="88" fillId="35" borderId="0" applyNumberFormat="0" applyBorder="0" applyAlignment="0" applyProtection="0"/>
    <xf numFmtId="0" fontId="89" fillId="36" borderId="18" applyNumberFormat="0" applyAlignment="0" applyProtection="0"/>
    <xf numFmtId="0" fontId="89" fillId="36" borderId="18" applyNumberFormat="0" applyAlignment="0" applyProtection="0"/>
    <xf numFmtId="0" fontId="90" fillId="37" borderId="19" applyNumberFormat="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78"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63" fillId="0" borderId="0" applyFont="0" applyFill="0" applyBorder="0" applyAlignment="0" applyProtection="0"/>
    <xf numFmtId="43" fontId="28" fillId="0" borderId="0" applyFont="0" applyFill="0" applyBorder="0" applyAlignment="0" applyProtection="0"/>
    <xf numFmtId="43" fontId="63" fillId="0" borderId="0" applyFont="0" applyFill="0" applyBorder="0" applyAlignment="0" applyProtection="0"/>
    <xf numFmtId="44" fontId="79"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63" fillId="0" borderId="0" applyFont="0" applyFill="0" applyBorder="0" applyAlignment="0" applyProtection="0"/>
    <xf numFmtId="44" fontId="79" fillId="0" borderId="0" applyFont="0" applyFill="0" applyBorder="0" applyAlignment="0" applyProtection="0"/>
    <xf numFmtId="44" fontId="28" fillId="0" borderId="0" applyFont="0" applyFill="0" applyBorder="0" applyAlignment="0" applyProtection="0"/>
    <xf numFmtId="44" fontId="81" fillId="0" borderId="0" applyFont="0" applyFill="0" applyBorder="0" applyAlignment="0" applyProtection="0"/>
    <xf numFmtId="44" fontId="28" fillId="0" borderId="0" applyFont="0" applyFill="0" applyBorder="0" applyAlignment="0" applyProtection="0"/>
    <xf numFmtId="44" fontId="63" fillId="0" borderId="0" applyFont="0" applyFill="0" applyBorder="0" applyAlignment="0" applyProtection="0">
      <alignment vertical="top"/>
    </xf>
    <xf numFmtId="44" fontId="63" fillId="0" borderId="0" applyFont="0" applyFill="0" applyBorder="0" applyAlignment="0" applyProtection="0">
      <alignment vertical="top"/>
    </xf>
    <xf numFmtId="44" fontId="28" fillId="0" borderId="0" applyFont="0" applyFill="0" applyBorder="0" applyAlignment="0" applyProtection="0"/>
    <xf numFmtId="44" fontId="63" fillId="0" borderId="0" applyFont="0" applyFill="0" applyBorder="0" applyAlignment="0" applyProtection="0">
      <alignment vertical="top"/>
    </xf>
    <xf numFmtId="44" fontId="63" fillId="0" borderId="0" applyFont="0" applyFill="0" applyBorder="0" applyAlignment="0" applyProtection="0"/>
    <xf numFmtId="44" fontId="78"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63" fillId="0" borderId="0" applyFont="0" applyFill="0" applyBorder="0" applyAlignment="0" applyProtection="0"/>
    <xf numFmtId="44" fontId="72"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63" fillId="0" borderId="0" applyFont="0" applyFill="0" applyBorder="0" applyAlignment="0" applyProtection="0"/>
    <xf numFmtId="44" fontId="28" fillId="0" borderId="0" applyFont="0" applyFill="0" applyBorder="0" applyAlignment="0" applyProtection="0"/>
    <xf numFmtId="44" fontId="73" fillId="0" borderId="0" applyFont="0" applyFill="0" applyBorder="0" applyAlignment="0" applyProtection="0"/>
    <xf numFmtId="44" fontId="28" fillId="0" borderId="0" applyFont="0" applyFill="0" applyBorder="0" applyAlignment="0" applyProtection="0"/>
    <xf numFmtId="44" fontId="78"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28"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78"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28"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86" fillId="0" borderId="0" applyFont="0" applyFill="0" applyBorder="0" applyAlignment="0" applyProtection="0"/>
    <xf numFmtId="44" fontId="28" fillId="0" borderId="0" applyFont="0" applyFill="0" applyBorder="0" applyAlignment="0" applyProtection="0"/>
    <xf numFmtId="44" fontId="63" fillId="0" borderId="0" applyFont="0" applyFill="0" applyBorder="0" applyAlignment="0" applyProtection="0"/>
    <xf numFmtId="44" fontId="28" fillId="0" borderId="0" applyFont="0" applyFill="0" applyBorder="0" applyAlignment="0" applyProtection="0"/>
    <xf numFmtId="44" fontId="74"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77" fillId="0" borderId="0" applyFont="0" applyFill="0" applyBorder="0" applyAlignment="0" applyProtection="0"/>
    <xf numFmtId="44" fontId="28" fillId="0" borderId="0" applyFont="0" applyFill="0" applyBorder="0" applyAlignment="0" applyProtection="0"/>
    <xf numFmtId="0" fontId="91" fillId="0" borderId="0" applyNumberFormat="0" applyFill="0" applyBorder="0" applyAlignment="0" applyProtection="0"/>
    <xf numFmtId="0" fontId="92" fillId="38" borderId="0" applyNumberFormat="0" applyBorder="0" applyAlignment="0" applyProtection="0"/>
    <xf numFmtId="0" fontId="93" fillId="0" borderId="20" applyNumberFormat="0" applyFill="0" applyAlignment="0" applyProtection="0"/>
    <xf numFmtId="0" fontId="93" fillId="0" borderId="20" applyNumberFormat="0" applyFill="0" applyAlignment="0" applyProtection="0"/>
    <xf numFmtId="0" fontId="94" fillId="0" borderId="21" applyNumberFormat="0" applyFill="0" applyAlignment="0" applyProtection="0"/>
    <xf numFmtId="0" fontId="94" fillId="0" borderId="21" applyNumberFormat="0" applyFill="0" applyAlignment="0" applyProtection="0"/>
    <xf numFmtId="0" fontId="95" fillId="0" borderId="22" applyNumberFormat="0" applyFill="0" applyAlignment="0" applyProtection="0"/>
    <xf numFmtId="0" fontId="95" fillId="0" borderId="22" applyNumberFormat="0" applyFill="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83" fillId="0" borderId="0" applyNumberFormat="0" applyFill="0" applyBorder="0" applyAlignment="0" applyProtection="0">
      <alignment vertical="top"/>
      <protection locked="0"/>
    </xf>
    <xf numFmtId="0" fontId="96" fillId="39" borderId="18" applyNumberFormat="0" applyAlignment="0" applyProtection="0"/>
    <xf numFmtId="0" fontId="21" fillId="0" borderId="0" applyNumberFormat="0" applyBorder="0"/>
    <xf numFmtId="0" fontId="22" fillId="0" borderId="0" applyBorder="0" applyAlignment="0"/>
    <xf numFmtId="0" fontId="23" fillId="0" borderId="0" applyFill="0" applyBorder="0" applyAlignment="0"/>
    <xf numFmtId="0" fontId="97" fillId="0" borderId="23" applyNumberFormat="0" applyFill="0" applyAlignment="0" applyProtection="0"/>
    <xf numFmtId="0" fontId="98" fillId="40" borderId="0" applyNumberFormat="0" applyBorder="0" applyAlignment="0" applyProtection="0"/>
    <xf numFmtId="0" fontId="99" fillId="0" borderId="0"/>
    <xf numFmtId="0" fontId="63" fillId="0" borderId="0"/>
    <xf numFmtId="0" fontId="99" fillId="0" borderId="0"/>
    <xf numFmtId="0" fontId="63" fillId="0" borderId="0"/>
    <xf numFmtId="0" fontId="63" fillId="0" borderId="0"/>
    <xf numFmtId="0" fontId="28"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100" fillId="0" borderId="0"/>
    <xf numFmtId="0" fontId="63" fillId="0" borderId="0"/>
    <xf numFmtId="169" fontId="64" fillId="0" borderId="0"/>
    <xf numFmtId="0" fontId="86" fillId="0" borderId="0"/>
    <xf numFmtId="0" fontId="28" fillId="0" borderId="0"/>
    <xf numFmtId="0" fontId="28" fillId="0" borderId="0"/>
    <xf numFmtId="0" fontId="69" fillId="0" borderId="0"/>
    <xf numFmtId="0" fontId="63" fillId="0" borderId="0"/>
    <xf numFmtId="0" fontId="69" fillId="0" borderId="0"/>
    <xf numFmtId="0" fontId="63" fillId="0" borderId="0"/>
    <xf numFmtId="0" fontId="75" fillId="0" borderId="0"/>
    <xf numFmtId="0" fontId="63" fillId="0" borderId="0"/>
    <xf numFmtId="0" fontId="86" fillId="0" borderId="0"/>
    <xf numFmtId="0" fontId="63" fillId="0" borderId="0">
      <alignment vertical="top"/>
    </xf>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75" fillId="0" borderId="0"/>
    <xf numFmtId="0" fontId="86" fillId="0" borderId="0"/>
    <xf numFmtId="0" fontId="86" fillId="0" borderId="0"/>
    <xf numFmtId="0" fontId="86" fillId="0" borderId="0"/>
    <xf numFmtId="0" fontId="86" fillId="0" borderId="0"/>
    <xf numFmtId="0" fontId="63" fillId="0" borderId="0">
      <alignment vertical="top"/>
    </xf>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63" fillId="0" borderId="0"/>
    <xf numFmtId="0" fontId="86" fillId="0" borderId="0"/>
    <xf numFmtId="0" fontId="86" fillId="0" borderId="0"/>
    <xf numFmtId="0" fontId="86" fillId="0" borderId="0"/>
    <xf numFmtId="0" fontId="86" fillId="0" borderId="0"/>
    <xf numFmtId="0" fontId="75" fillId="0" borderId="0"/>
    <xf numFmtId="0" fontId="63" fillId="0" borderId="0">
      <alignment vertical="top"/>
    </xf>
    <xf numFmtId="0" fontId="86" fillId="0" borderId="0"/>
    <xf numFmtId="0" fontId="86" fillId="0" borderId="0"/>
    <xf numFmtId="0" fontId="86" fillId="0" borderId="0"/>
    <xf numFmtId="0" fontId="86" fillId="0" borderId="0"/>
    <xf numFmtId="0" fontId="75" fillId="0" borderId="0"/>
    <xf numFmtId="0" fontId="28" fillId="0" borderId="0"/>
    <xf numFmtId="0" fontId="86" fillId="0" borderId="0"/>
    <xf numFmtId="0" fontId="28" fillId="0" borderId="0"/>
    <xf numFmtId="0" fontId="86" fillId="0" borderId="0"/>
    <xf numFmtId="0" fontId="86" fillId="0" borderId="0"/>
    <xf numFmtId="0" fontId="86" fillId="0" borderId="0"/>
    <xf numFmtId="0" fontId="86" fillId="0" borderId="0"/>
    <xf numFmtId="0" fontId="69" fillId="0" borderId="0"/>
    <xf numFmtId="0" fontId="63" fillId="0" borderId="0">
      <alignment vertical="top"/>
    </xf>
    <xf numFmtId="0" fontId="69" fillId="0" borderId="0"/>
    <xf numFmtId="0" fontId="63" fillId="0" borderId="0">
      <alignment vertical="top"/>
    </xf>
    <xf numFmtId="0" fontId="63" fillId="0" borderId="0">
      <alignment vertical="top"/>
    </xf>
    <xf numFmtId="0" fontId="86" fillId="0" borderId="0"/>
    <xf numFmtId="0" fontId="69" fillId="0" borderId="0"/>
    <xf numFmtId="0" fontId="86" fillId="0" borderId="0"/>
    <xf numFmtId="0" fontId="63" fillId="0" borderId="0">
      <alignment vertical="top"/>
    </xf>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69"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8" fillId="0" borderId="0"/>
    <xf numFmtId="0" fontId="63" fillId="0" borderId="0">
      <alignment vertical="top"/>
    </xf>
    <xf numFmtId="0" fontId="86" fillId="0" borderId="0"/>
    <xf numFmtId="0" fontId="86" fillId="0" borderId="0"/>
    <xf numFmtId="0" fontId="86" fillId="0" borderId="0"/>
    <xf numFmtId="0" fontId="86" fillId="0" borderId="0"/>
    <xf numFmtId="0" fontId="28"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69"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8"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63" fillId="0" borderId="0"/>
    <xf numFmtId="0" fontId="63" fillId="0" borderId="0">
      <alignment vertical="top"/>
    </xf>
    <xf numFmtId="0" fontId="63" fillId="0" borderId="0">
      <alignment vertical="top"/>
    </xf>
    <xf numFmtId="0" fontId="63" fillId="0" borderId="0"/>
    <xf numFmtId="0" fontId="63" fillId="0" borderId="0">
      <alignment vertical="top"/>
    </xf>
    <xf numFmtId="0" fontId="63" fillId="0" borderId="0"/>
    <xf numFmtId="0" fontId="63"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8"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8" fillId="0" borderId="0"/>
    <xf numFmtId="0" fontId="86" fillId="0" borderId="0"/>
    <xf numFmtId="0" fontId="86" fillId="0" borderId="0"/>
    <xf numFmtId="0" fontId="86" fillId="0" borderId="0"/>
    <xf numFmtId="0" fontId="19" fillId="0" borderId="0" applyProtection="0">
      <protection locked="0"/>
    </xf>
    <xf numFmtId="0" fontId="28" fillId="0" borderId="0" applyProtection="0">
      <protection locked="0"/>
    </xf>
    <xf numFmtId="0" fontId="28" fillId="0" borderId="0" applyProtection="0">
      <protection locked="0"/>
    </xf>
    <xf numFmtId="0" fontId="64" fillId="0" borderId="0"/>
    <xf numFmtId="0" fontId="19" fillId="0" borderId="0"/>
    <xf numFmtId="0" fontId="78"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78"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86" fillId="41" borderId="24" applyNumberFormat="0" applyFont="0" applyAlignment="0" applyProtection="0"/>
    <xf numFmtId="0" fontId="101" fillId="36" borderId="25" applyNumberFormat="0" applyAlignment="0" applyProtection="0"/>
    <xf numFmtId="0" fontId="101" fillId="36" borderId="25" applyNumberFormat="0" applyAlignment="0" applyProtection="0"/>
    <xf numFmtId="0" fontId="24" fillId="0" borderId="0" applyNumberFormat="0" applyFill="0" applyBorder="0">
      <alignment horizontal="left"/>
    </xf>
    <xf numFmtId="0" fontId="102" fillId="0" borderId="0" applyNumberFormat="0" applyFill="0" applyBorder="0" applyAlignment="0" applyProtection="0"/>
    <xf numFmtId="0" fontId="103" fillId="0" borderId="26" applyNumberFormat="0" applyFill="0" applyAlignment="0" applyProtection="0"/>
    <xf numFmtId="0" fontId="103" fillId="0" borderId="26" applyNumberFormat="0" applyFill="0" applyAlignment="0" applyProtection="0"/>
    <xf numFmtId="0" fontId="104" fillId="0" borderId="0" applyNumberFormat="0" applyFill="0" applyBorder="0" applyAlignment="0" applyProtection="0"/>
    <xf numFmtId="0" fontId="19" fillId="0" borderId="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9"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9"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8" fillId="0" borderId="0"/>
    <xf numFmtId="0" fontId="18" fillId="0" borderId="0"/>
    <xf numFmtId="0" fontId="18" fillId="0" borderId="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0" fontId="18" fillId="41" borderId="24" applyNumberFormat="0" applyFont="0" applyAlignment="0" applyProtection="0"/>
    <xf numFmtId="9" fontId="19" fillId="0" borderId="0" applyFont="0" applyFill="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9"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9"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9"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44" fontId="111"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78" fillId="41" borderId="24" applyNumberFormat="0" applyFont="0" applyAlignment="0" applyProtection="0"/>
    <xf numFmtId="0" fontId="112" fillId="0" borderId="0" applyNumberForma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02" fillId="0" borderId="0" applyNumberFormat="0" applyFill="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44" fontId="19" fillId="0" borderId="0" applyFont="0" applyFill="0" applyBorder="0" applyAlignment="0" applyProtection="0"/>
    <xf numFmtId="9" fontId="121" fillId="0" borderId="0" applyFont="0" applyFill="0" applyBorder="0" applyAlignment="0" applyProtection="0"/>
    <xf numFmtId="0" fontId="121" fillId="0" borderId="0"/>
    <xf numFmtId="0" fontId="13" fillId="0" borderId="0"/>
    <xf numFmtId="0" fontId="19" fillId="0" borderId="0"/>
    <xf numFmtId="43" fontId="13" fillId="0" borderId="0" applyFont="0" applyFill="0" applyBorder="0" applyAlignment="0" applyProtection="0"/>
    <xf numFmtId="9" fontId="13" fillId="0" borderId="0" applyFont="0" applyFill="0" applyBorder="0" applyAlignment="0" applyProtection="0"/>
    <xf numFmtId="0" fontId="12" fillId="0" borderId="0"/>
    <xf numFmtId="44" fontId="12" fillId="0" borderId="0" applyFont="0" applyFill="0" applyBorder="0" applyAlignment="0" applyProtection="0"/>
    <xf numFmtId="9" fontId="12" fillId="0" borderId="0" applyFont="0" applyFill="0" applyBorder="0" applyAlignment="0" applyProtection="0"/>
    <xf numFmtId="43" fontId="148" fillId="0" borderId="0" applyFont="0" applyFill="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1" fillId="41" borderId="24" applyNumberFormat="0" applyFont="0" applyAlignment="0" applyProtection="0"/>
    <xf numFmtId="0" fontId="10" fillId="0" borderId="0"/>
    <xf numFmtId="44" fontId="10" fillId="0" borderId="0" applyFont="0" applyFill="0" applyBorder="0" applyAlignment="0" applyProtection="0"/>
    <xf numFmtId="9" fontId="10" fillId="0" borderId="0" applyFont="0" applyFill="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44" fontId="150"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0" fontId="5" fillId="0" borderId="0"/>
    <xf numFmtId="0" fontId="19" fillId="0" borderId="0" applyBorder="0"/>
    <xf numFmtId="44" fontId="5" fillId="0" borderId="0" applyFont="0" applyFill="0" applyBorder="0" applyAlignment="0" applyProtection="0"/>
    <xf numFmtId="9" fontId="5"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188"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2" fillId="16" borderId="0" applyNumberFormat="0" applyBorder="0" applyAlignment="0" applyProtection="0"/>
    <xf numFmtId="0" fontId="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2" fillId="16" borderId="0" applyNumberFormat="0" applyBorder="0" applyAlignment="0" applyProtection="0"/>
    <xf numFmtId="0" fontId="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2" fillId="16" borderId="0" applyNumberFormat="0" applyBorder="0" applyAlignment="0" applyProtection="0"/>
    <xf numFmtId="0" fontId="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2" fillId="16" borderId="0" applyNumberFormat="0" applyBorder="0" applyAlignment="0" applyProtection="0"/>
    <xf numFmtId="0" fontId="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63" fillId="0" borderId="0">
      <alignment vertical="top"/>
    </xf>
    <xf numFmtId="0" fontId="63" fillId="0" borderId="0">
      <alignment vertical="top"/>
    </xf>
    <xf numFmtId="0" fontId="2" fillId="0" borderId="0"/>
    <xf numFmtId="0" fontId="2" fillId="0" borderId="0"/>
    <xf numFmtId="0" fontId="63" fillId="0" borderId="0">
      <alignment vertical="top"/>
    </xf>
    <xf numFmtId="0" fontId="189" fillId="0" borderId="0">
      <alignment vertical="top"/>
    </xf>
    <xf numFmtId="0" fontId="63" fillId="0" borderId="0">
      <alignment vertical="top"/>
    </xf>
    <xf numFmtId="0" fontId="63" fillId="0" borderId="0">
      <alignment vertical="top"/>
    </xf>
    <xf numFmtId="0" fontId="189"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43" fontId="78" fillId="0" borderId="0" applyFont="0" applyFill="0" applyBorder="0" applyAlignment="0" applyProtection="0"/>
    <xf numFmtId="0" fontId="2" fillId="16" borderId="0" applyNumberFormat="0" applyBorder="0" applyAlignment="0" applyProtection="0"/>
    <xf numFmtId="0" fontId="2" fillId="22" borderId="0" applyNumberFormat="0" applyBorder="0" applyAlignment="0" applyProtection="0"/>
    <xf numFmtId="43" fontId="78"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7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2" fillId="16" borderId="0" applyNumberFormat="0" applyBorder="0" applyAlignment="0" applyProtection="0"/>
    <xf numFmtId="0" fontId="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2" fillId="16" borderId="0" applyNumberFormat="0" applyBorder="0" applyAlignment="0" applyProtection="0"/>
    <xf numFmtId="0" fontId="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2" fillId="16" borderId="0" applyNumberFormat="0" applyBorder="0" applyAlignment="0" applyProtection="0"/>
    <xf numFmtId="0" fontId="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41" borderId="24" applyNumberFormat="0" applyFont="0" applyAlignment="0" applyProtection="0"/>
    <xf numFmtId="44" fontId="2" fillId="0" borderId="0" applyFont="0" applyFill="0" applyBorder="0" applyAlignment="0" applyProtection="0"/>
    <xf numFmtId="0" fontId="2" fillId="41" borderId="24" applyNumberFormat="0" applyFont="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1" borderId="24" applyNumberFormat="0" applyFont="0" applyAlignment="0" applyProtection="0"/>
    <xf numFmtId="0" fontId="2" fillId="41" borderId="24" applyNumberFormat="0" applyFont="0" applyAlignment="0" applyProtection="0"/>
    <xf numFmtId="0" fontId="2" fillId="0" borderId="0"/>
    <xf numFmtId="0" fontId="2" fillId="0" borderId="0"/>
    <xf numFmtId="0" fontId="63" fillId="0" borderId="0">
      <alignment vertical="top"/>
    </xf>
    <xf numFmtId="0" fontId="63" fillId="0" borderId="0">
      <alignment vertical="top"/>
    </xf>
    <xf numFmtId="43"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44" fontId="78" fillId="0" borderId="0" applyFont="0" applyFill="0" applyBorder="0" applyAlignment="0" applyProtection="0"/>
    <xf numFmtId="0" fontId="100" fillId="0" borderId="0"/>
    <xf numFmtId="0" fontId="78" fillId="41" borderId="24" applyNumberFormat="0" applyFont="0" applyAlignment="0" applyProtection="0"/>
    <xf numFmtId="0" fontId="78" fillId="41" borderId="24" applyNumberFormat="0" applyFont="0" applyAlignment="0" applyProtection="0"/>
    <xf numFmtId="43" fontId="19" fillId="0" borderId="0" applyFont="0" applyFill="0" applyBorder="0" applyAlignment="0" applyProtection="0"/>
    <xf numFmtId="0" fontId="19"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9" fillId="0" borderId="0"/>
    <xf numFmtId="0" fontId="19" fillId="0" borderId="0"/>
    <xf numFmtId="0" fontId="19" fillId="0" borderId="0"/>
    <xf numFmtId="0" fontId="2" fillId="0" borderId="0"/>
    <xf numFmtId="0" fontId="2" fillId="0" borderId="0"/>
    <xf numFmtId="0" fontId="2" fillId="0" borderId="0"/>
    <xf numFmtId="0" fontId="2" fillId="0" borderId="0"/>
    <xf numFmtId="0" fontId="19" fillId="0" borderId="0"/>
    <xf numFmtId="0" fontId="2" fillId="41" borderId="24" applyNumberFormat="0" applyFont="0" applyAlignment="0" applyProtection="0"/>
    <xf numFmtId="0" fontId="2" fillId="41" borderId="24" applyNumberFormat="0" applyFont="0" applyAlignment="0" applyProtection="0"/>
    <xf numFmtId="169" fontId="190" fillId="0" borderId="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41" borderId="24" applyNumberFormat="0" applyFont="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cellStyleXfs>
  <cellXfs count="2716">
    <xf numFmtId="0" fontId="0" fillId="0" borderId="0" xfId="0"/>
    <xf numFmtId="0" fontId="0" fillId="0" borderId="0" xfId="0" applyAlignment="1">
      <alignment horizontal="center"/>
    </xf>
    <xf numFmtId="0" fontId="26" fillId="0" borderId="0" xfId="0" applyFont="1"/>
    <xf numFmtId="0" fontId="19" fillId="0" borderId="0" xfId="0" applyFont="1"/>
    <xf numFmtId="0" fontId="28" fillId="0" borderId="0" xfId="0" applyFont="1"/>
    <xf numFmtId="0" fontId="0" fillId="0" borderId="4" xfId="0" applyBorder="1"/>
    <xf numFmtId="0" fontId="28" fillId="0" borderId="0" xfId="0" applyFont="1" applyAlignment="1">
      <alignment horizontal="center"/>
    </xf>
    <xf numFmtId="0" fontId="19"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6" fillId="0" borderId="4" xfId="0" applyFont="1" applyBorder="1"/>
    <xf numFmtId="164" fontId="0" fillId="0" borderId="0" xfId="0" applyNumberFormat="1" applyAlignment="1">
      <alignment horizontal="right"/>
    </xf>
    <xf numFmtId="0" fontId="26" fillId="0" borderId="0" xfId="0" applyFont="1" applyAlignment="1">
      <alignment horizontal="center"/>
    </xf>
    <xf numFmtId="0" fontId="19" fillId="0" borderId="0" xfId="543"/>
    <xf numFmtId="0" fontId="28" fillId="0" borderId="0" xfId="0" applyFont="1" applyAlignment="1">
      <alignment horizontal="left" vertical="top" wrapText="1"/>
    </xf>
    <xf numFmtId="0" fontId="34" fillId="0" borderId="0" xfId="0" applyFont="1"/>
    <xf numFmtId="0" fontId="27" fillId="0" borderId="0" xfId="0" applyFont="1" applyAlignment="1">
      <alignment vertical="top"/>
    </xf>
    <xf numFmtId="0" fontId="27" fillId="0" borderId="0" xfId="0" applyFont="1" applyAlignment="1">
      <alignment vertical="top" wrapText="1"/>
    </xf>
    <xf numFmtId="0" fontId="28" fillId="0" borderId="0" xfId="0" applyFont="1" applyAlignment="1">
      <alignment horizontal="left" indent="4"/>
    </xf>
    <xf numFmtId="0" fontId="27" fillId="0" borderId="0" xfId="0" applyFont="1" applyAlignment="1">
      <alignment horizontal="left" vertical="top"/>
    </xf>
    <xf numFmtId="0" fontId="27" fillId="0" borderId="0" xfId="0" applyFont="1" applyAlignment="1">
      <alignment horizontal="left"/>
    </xf>
    <xf numFmtId="0" fontId="27" fillId="0" borderId="0" xfId="0" applyFont="1"/>
    <xf numFmtId="0" fontId="39" fillId="0" borderId="0" xfId="543" applyFont="1"/>
    <xf numFmtId="1" fontId="27" fillId="0" borderId="0" xfId="0" applyNumberFormat="1" applyFont="1" applyAlignment="1">
      <alignment horizontal="left"/>
    </xf>
    <xf numFmtId="0" fontId="29" fillId="0" borderId="0" xfId="0" applyFont="1"/>
    <xf numFmtId="1" fontId="27" fillId="0" borderId="0" xfId="0" applyNumberFormat="1" applyFont="1" applyAlignment="1">
      <alignment horizontal="right"/>
    </xf>
    <xf numFmtId="0" fontId="0" fillId="0" borderId="0" xfId="0" applyAlignment="1">
      <alignment horizontal="right"/>
    </xf>
    <xf numFmtId="0" fontId="38" fillId="0" borderId="0" xfId="0" applyFont="1"/>
    <xf numFmtId="0" fontId="31" fillId="0" borderId="0" xfId="0" applyFont="1"/>
    <xf numFmtId="172" fontId="19" fillId="0" borderId="0" xfId="543" applyNumberFormat="1"/>
    <xf numFmtId="9" fontId="19" fillId="0" borderId="0" xfId="543" applyNumberFormat="1" applyAlignment="1">
      <alignment horizontal="left"/>
    </xf>
    <xf numFmtId="168" fontId="19" fillId="0" borderId="0" xfId="543" applyNumberFormat="1"/>
    <xf numFmtId="0" fontId="28" fillId="0" borderId="0" xfId="0" applyFont="1" applyAlignment="1">
      <alignment horizontal="right"/>
    </xf>
    <xf numFmtId="0" fontId="42" fillId="0" borderId="0" xfId="0" applyFont="1"/>
    <xf numFmtId="0" fontId="28" fillId="0" borderId="0" xfId="0" applyFont="1" applyAlignment="1">
      <alignment horizontal="left"/>
    </xf>
    <xf numFmtId="0" fontId="30" fillId="0" borderId="0" xfId="0" applyFont="1"/>
    <xf numFmtId="0" fontId="32" fillId="0" borderId="0" xfId="0" applyFont="1"/>
    <xf numFmtId="0" fontId="26"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6" fillId="0" borderId="1" xfId="0" applyFont="1" applyBorder="1" applyAlignment="1">
      <alignment horizontal="center" wrapText="1"/>
    </xf>
    <xf numFmtId="0" fontId="26"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6" fillId="0" borderId="4" xfId="0" applyFont="1" applyBorder="1" applyAlignment="1">
      <alignment horizontal="center"/>
    </xf>
    <xf numFmtId="0" fontId="35" fillId="0" borderId="3" xfId="0" applyFont="1" applyBorder="1" applyAlignment="1">
      <alignment horizontal="left"/>
    </xf>
    <xf numFmtId="0" fontId="35" fillId="0" borderId="9" xfId="0" applyFont="1" applyBorder="1" applyAlignment="1">
      <alignment horizontal="left"/>
    </xf>
    <xf numFmtId="0" fontId="26" fillId="0" borderId="4" xfId="0" applyFont="1" applyBorder="1" applyAlignment="1">
      <alignment horizontal="right"/>
    </xf>
    <xf numFmtId="0" fontId="26" fillId="0" borderId="5" xfId="0" applyFont="1" applyBorder="1" applyAlignment="1">
      <alignment horizontal="right"/>
    </xf>
    <xf numFmtId="0" fontId="35" fillId="0" borderId="0" xfId="0" applyFont="1" applyAlignment="1">
      <alignment horizontal="left"/>
    </xf>
    <xf numFmtId="0" fontId="26" fillId="0" borderId="0" xfId="0" applyFont="1" applyAlignment="1">
      <alignment horizontal="right"/>
    </xf>
    <xf numFmtId="0" fontId="26"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8" fillId="0" borderId="11" xfId="0" applyFont="1" applyBorder="1" applyAlignment="1">
      <alignment horizontal="left"/>
    </xf>
    <xf numFmtId="0" fontId="26" fillId="0" borderId="9" xfId="0" applyFont="1" applyBorder="1"/>
    <xf numFmtId="164" fontId="0" fillId="0" borderId="0" xfId="0" applyNumberFormat="1" applyAlignment="1">
      <alignment horizontal="center"/>
    </xf>
    <xf numFmtId="0" fontId="0" fillId="0" borderId="12" xfId="0" applyBorder="1"/>
    <xf numFmtId="0" fontId="28" fillId="0" borderId="3" xfId="0" applyFont="1" applyBorder="1"/>
    <xf numFmtId="0" fontId="28" fillId="0" borderId="0" xfId="543" applyFont="1"/>
    <xf numFmtId="0" fontId="44" fillId="0" borderId="0" xfId="543" applyFont="1"/>
    <xf numFmtId="49" fontId="19" fillId="0" borderId="0" xfId="543" applyNumberFormat="1"/>
    <xf numFmtId="0" fontId="42" fillId="0" borderId="0" xfId="543" applyFont="1"/>
    <xf numFmtId="168" fontId="39" fillId="0" borderId="6" xfId="543" applyNumberFormat="1" applyFont="1" applyBorder="1" applyAlignment="1">
      <alignment horizontal="left"/>
    </xf>
    <xf numFmtId="168" fontId="39" fillId="0" borderId="6" xfId="543" applyNumberFormat="1" applyFont="1" applyBorder="1" applyAlignment="1">
      <alignment horizontal="center"/>
    </xf>
    <xf numFmtId="0" fontId="19" fillId="0" borderId="8" xfId="543" applyBorder="1"/>
    <xf numFmtId="0" fontId="39" fillId="0" borderId="0" xfId="543" applyFont="1" applyAlignment="1">
      <alignment horizontal="center"/>
    </xf>
    <xf numFmtId="0" fontId="38" fillId="0" borderId="9" xfId="543" applyFont="1" applyBorder="1" applyAlignment="1">
      <alignment horizontal="left" vertical="top" wrapText="1"/>
    </xf>
    <xf numFmtId="0" fontId="38" fillId="0" borderId="6" xfId="543" applyFont="1" applyBorder="1" applyAlignment="1">
      <alignment horizontal="center" vertical="top" wrapText="1"/>
    </xf>
    <xf numFmtId="0" fontId="19" fillId="0" borderId="9" xfId="543" applyBorder="1"/>
    <xf numFmtId="0" fontId="19" fillId="0" borderId="10" xfId="543" applyBorder="1"/>
    <xf numFmtId="0" fontId="19" fillId="0" borderId="1" xfId="543" applyBorder="1"/>
    <xf numFmtId="0" fontId="39" fillId="0" borderId="2" xfId="543" applyFont="1" applyBorder="1" applyAlignment="1">
      <alignment horizontal="center"/>
    </xf>
    <xf numFmtId="0" fontId="41" fillId="0" borderId="8" xfId="543" applyFont="1" applyBorder="1" applyAlignment="1">
      <alignment horizontal="left" vertical="top" wrapText="1"/>
    </xf>
    <xf numFmtId="0" fontId="38" fillId="0" borderId="0" xfId="543" applyFont="1" applyAlignment="1">
      <alignment horizontal="center" vertical="top" wrapText="1"/>
    </xf>
    <xf numFmtId="0" fontId="19" fillId="0" borderId="12" xfId="543" applyBorder="1"/>
    <xf numFmtId="0" fontId="41" fillId="0" borderId="0" xfId="543" applyFont="1" applyAlignment="1">
      <alignment horizontal="center" vertical="top" wrapText="1"/>
    </xf>
    <xf numFmtId="0" fontId="41" fillId="0" borderId="9" xfId="543" applyFont="1" applyBorder="1" applyAlignment="1">
      <alignment horizontal="left" vertical="top" wrapText="1"/>
    </xf>
    <xf numFmtId="0" fontId="19" fillId="0" borderId="2" xfId="543" applyBorder="1"/>
    <xf numFmtId="0" fontId="19" fillId="0" borderId="7" xfId="543" applyBorder="1"/>
    <xf numFmtId="0" fontId="38" fillId="0" borderId="0" xfId="543" applyFont="1"/>
    <xf numFmtId="0" fontId="19" fillId="0" borderId="0" xfId="543" applyAlignment="1">
      <alignment horizontal="center"/>
    </xf>
    <xf numFmtId="0" fontId="27" fillId="0" borderId="6" xfId="543" applyFont="1" applyBorder="1" applyAlignment="1">
      <alignment vertical="top" wrapText="1"/>
    </xf>
    <xf numFmtId="0" fontId="28" fillId="0" borderId="0" xfId="0" applyFont="1" applyAlignment="1">
      <alignment horizontal="left" vertical="top"/>
    </xf>
    <xf numFmtId="0" fontId="0" fillId="2" borderId="2" xfId="0" applyFill="1" applyBorder="1"/>
    <xf numFmtId="0" fontId="0" fillId="2" borderId="7" xfId="0" applyFill="1" applyBorder="1"/>
    <xf numFmtId="0" fontId="26" fillId="0" borderId="6" xfId="0" applyFont="1" applyBorder="1" applyAlignment="1">
      <alignment horizontal="right"/>
    </xf>
    <xf numFmtId="0" fontId="25" fillId="0" borderId="0" xfId="0" applyFont="1" applyAlignment="1">
      <alignment horizontal="center" vertical="center"/>
    </xf>
    <xf numFmtId="0" fontId="26" fillId="0" borderId="0" xfId="0" applyFont="1" applyAlignment="1">
      <alignment vertical="top"/>
    </xf>
    <xf numFmtId="166" fontId="0" fillId="0" borderId="0" xfId="0" applyNumberFormat="1" applyAlignment="1">
      <alignment horizontal="right"/>
    </xf>
    <xf numFmtId="0" fontId="49" fillId="0" borderId="0" xfId="0" applyFont="1"/>
    <xf numFmtId="0" fontId="36" fillId="0" borderId="0" xfId="0" applyFont="1"/>
    <xf numFmtId="0" fontId="20" fillId="0" borderId="0" xfId="244" applyBorder="1" applyProtection="1"/>
    <xf numFmtId="0" fontId="20" fillId="0" borderId="0" xfId="244" applyFill="1" applyBorder="1" applyAlignment="1">
      <alignment horizontal="center" vertical="center"/>
    </xf>
    <xf numFmtId="0" fontId="19" fillId="0" borderId="3" xfId="543" applyBorder="1"/>
    <xf numFmtId="0" fontId="41" fillId="0" borderId="4" xfId="543" applyFont="1" applyBorder="1" applyAlignment="1">
      <alignment horizontal="right" vertical="top" wrapText="1"/>
    </xf>
    <xf numFmtId="0" fontId="28" fillId="0" borderId="6" xfId="0" applyFont="1" applyBorder="1"/>
    <xf numFmtId="0" fontId="28" fillId="0" borderId="2" xfId="0" applyFont="1" applyBorder="1"/>
    <xf numFmtId="0" fontId="28" fillId="0" borderId="7" xfId="0" applyFont="1" applyBorder="1"/>
    <xf numFmtId="0" fontId="28" fillId="0" borderId="12" xfId="0" applyFont="1" applyBorder="1"/>
    <xf numFmtId="0" fontId="28" fillId="0" borderId="9" xfId="0" applyFont="1" applyBorder="1"/>
    <xf numFmtId="0" fontId="28" fillId="0" borderId="10" xfId="0" applyFont="1" applyBorder="1"/>
    <xf numFmtId="0" fontId="33" fillId="0" borderId="6" xfId="0" applyFont="1" applyBorder="1" applyAlignment="1">
      <alignment vertical="top" wrapText="1"/>
    </xf>
    <xf numFmtId="0" fontId="33" fillId="0" borderId="5" xfId="0" applyFont="1" applyBorder="1" applyAlignment="1">
      <alignment vertical="top" wrapText="1"/>
    </xf>
    <xf numFmtId="0" fontId="33" fillId="0" borderId="4" xfId="0" applyFont="1" applyBorder="1" applyAlignment="1">
      <alignment vertical="top" wrapText="1"/>
    </xf>
    <xf numFmtId="0" fontId="33" fillId="2" borderId="6" xfId="0" applyFont="1" applyFill="1" applyBorder="1" applyAlignment="1">
      <alignment vertical="top" wrapText="1"/>
    </xf>
    <xf numFmtId="0" fontId="0" fillId="0" borderId="8" xfId="0" applyBorder="1"/>
    <xf numFmtId="0" fontId="26" fillId="0" borderId="2" xfId="0" applyFont="1" applyBorder="1"/>
    <xf numFmtId="0" fontId="28" fillId="0" borderId="0" xfId="0" applyFont="1" applyAlignment="1">
      <alignment vertical="top"/>
    </xf>
    <xf numFmtId="0" fontId="28" fillId="0" borderId="0" xfId="0" applyFont="1" applyAlignment="1">
      <alignment vertical="top" wrapText="1"/>
    </xf>
    <xf numFmtId="0" fontId="19" fillId="0" borderId="0" xfId="0" applyFont="1" applyAlignment="1">
      <alignment horizontal="left"/>
    </xf>
    <xf numFmtId="0" fontId="19" fillId="0" borderId="0" xfId="0" applyFont="1" applyAlignment="1">
      <alignment vertical="top"/>
    </xf>
    <xf numFmtId="0" fontId="48" fillId="0" borderId="0" xfId="0" applyFont="1"/>
    <xf numFmtId="0" fontId="19" fillId="0" borderId="3" xfId="0" applyFont="1" applyBorder="1"/>
    <xf numFmtId="0" fontId="19"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3" fillId="3" borderId="4" xfId="0" applyFont="1" applyFill="1" applyBorder="1" applyAlignment="1">
      <alignment vertical="top" wrapText="1"/>
    </xf>
    <xf numFmtId="0" fontId="33" fillId="3" borderId="5" xfId="0" applyFont="1" applyFill="1" applyBorder="1" applyAlignment="1">
      <alignment vertical="top" wrapText="1"/>
    </xf>
    <xf numFmtId="0" fontId="51" fillId="0" borderId="0" xfId="0" applyFont="1"/>
    <xf numFmtId="0" fontId="28" fillId="0" borderId="4" xfId="0" applyFont="1" applyBorder="1"/>
    <xf numFmtId="0" fontId="26" fillId="0" borderId="2" xfId="0" applyFont="1" applyBorder="1" applyAlignment="1">
      <alignment horizontal="center"/>
    </xf>
    <xf numFmtId="0" fontId="26" fillId="0" borderId="0" xfId="0" applyFont="1" applyAlignment="1">
      <alignment horizontal="center" vertical="center" wrapText="1"/>
    </xf>
    <xf numFmtId="0" fontId="26" fillId="0" borderId="7" xfId="543" applyFont="1" applyBorder="1" applyAlignment="1">
      <alignment horizontal="right"/>
    </xf>
    <xf numFmtId="0" fontId="27" fillId="0" borderId="9" xfId="543" applyFont="1" applyBorder="1"/>
    <xf numFmtId="0" fontId="28" fillId="0" borderId="6" xfId="543" applyFont="1" applyBorder="1"/>
    <xf numFmtId="0" fontId="27" fillId="0" borderId="6" xfId="543" applyFont="1" applyBorder="1" applyAlignment="1">
      <alignment horizontal="right"/>
    </xf>
    <xf numFmtId="0" fontId="26" fillId="0" borderId="0" xfId="0" applyFont="1" applyAlignment="1">
      <alignment horizontal="center" vertical="center"/>
    </xf>
    <xf numFmtId="0" fontId="28" fillId="0" borderId="0" xfId="0" applyFont="1" applyAlignment="1">
      <alignment horizontal="left" vertical="center"/>
    </xf>
    <xf numFmtId="0" fontId="56" fillId="0" borderId="3" xfId="0" applyFont="1" applyBorder="1" applyAlignment="1">
      <alignment horizontal="left" vertical="top"/>
    </xf>
    <xf numFmtId="0" fontId="56" fillId="0" borderId="13" xfId="0" applyFont="1" applyBorder="1" applyAlignment="1">
      <alignment horizontal="center" wrapText="1"/>
    </xf>
    <xf numFmtId="0" fontId="56" fillId="0" borderId="13" xfId="0" applyFont="1" applyBorder="1" applyAlignment="1">
      <alignment horizontal="center" vertical="top" wrapText="1"/>
    </xf>
    <xf numFmtId="0" fontId="56" fillId="2" borderId="13" xfId="0" applyFont="1" applyFill="1" applyBorder="1" applyAlignment="1">
      <alignment horizontal="center" wrapText="1"/>
    </xf>
    <xf numFmtId="0" fontId="57" fillId="2" borderId="11" xfId="0" applyFont="1" applyFill="1" applyBorder="1" applyAlignment="1">
      <alignment horizontal="left" vertical="top" wrapText="1"/>
    </xf>
    <xf numFmtId="0" fontId="58" fillId="4" borderId="11" xfId="0" applyFont="1" applyFill="1" applyBorder="1" applyAlignment="1">
      <alignment vertical="top" wrapText="1"/>
    </xf>
    <xf numFmtId="0" fontId="58" fillId="2" borderId="11" xfId="0" applyFont="1" applyFill="1" applyBorder="1" applyAlignment="1">
      <alignment vertical="top" wrapText="1"/>
    </xf>
    <xf numFmtId="0" fontId="58" fillId="0" borderId="11" xfId="0" applyFont="1" applyBorder="1" applyAlignment="1">
      <alignment vertical="top" wrapText="1"/>
    </xf>
    <xf numFmtId="0" fontId="58" fillId="0" borderId="11" xfId="0" applyFont="1" applyBorder="1" applyAlignment="1">
      <alignment horizontal="right" vertical="top" wrapText="1"/>
    </xf>
    <xf numFmtId="168" fontId="58" fillId="0" borderId="11" xfId="0" applyNumberFormat="1" applyFont="1" applyBorder="1" applyAlignment="1">
      <alignment vertical="top" wrapText="1"/>
    </xf>
    <xf numFmtId="168" fontId="58" fillId="5" borderId="11" xfId="0" applyNumberFormat="1" applyFont="1" applyFill="1" applyBorder="1" applyAlignment="1" applyProtection="1">
      <alignment vertical="top" wrapText="1"/>
      <protection locked="0"/>
    </xf>
    <xf numFmtId="168" fontId="58" fillId="6" borderId="11" xfId="0" applyNumberFormat="1" applyFont="1" applyFill="1" applyBorder="1" applyAlignment="1">
      <alignment horizontal="center" vertical="top" wrapText="1"/>
    </xf>
    <xf numFmtId="0" fontId="56" fillId="0" borderId="11" xfId="0" applyFont="1" applyBorder="1" applyAlignment="1">
      <alignment horizontal="right" vertical="top" wrapText="1"/>
    </xf>
    <xf numFmtId="168" fontId="56" fillId="0" borderId="11" xfId="0" applyNumberFormat="1" applyFont="1" applyBorder="1" applyAlignment="1">
      <alignment vertical="top" wrapText="1"/>
    </xf>
    <xf numFmtId="168" fontId="58" fillId="4" borderId="11" xfId="0" applyNumberFormat="1" applyFont="1" applyFill="1" applyBorder="1" applyAlignment="1">
      <alignment vertical="top" wrapText="1"/>
    </xf>
    <xf numFmtId="0" fontId="56" fillId="2" borderId="11" xfId="0" applyFont="1" applyFill="1" applyBorder="1" applyAlignment="1">
      <alignment vertical="top" wrapText="1"/>
    </xf>
    <xf numFmtId="0" fontId="56" fillId="0" borderId="11" xfId="0" applyFont="1" applyBorder="1" applyAlignment="1">
      <alignment vertical="top" wrapText="1"/>
    </xf>
    <xf numFmtId="0" fontId="22" fillId="0" borderId="11" xfId="0" applyFont="1" applyBorder="1" applyAlignment="1">
      <alignment horizontal="right" vertical="top" wrapText="1"/>
    </xf>
    <xf numFmtId="0" fontId="58" fillId="0" borderId="11" xfId="0" applyFont="1" applyBorder="1" applyAlignment="1" applyProtection="1">
      <alignment horizontal="right" vertical="top" wrapText="1"/>
      <protection locked="0"/>
    </xf>
    <xf numFmtId="0" fontId="56" fillId="0" borderId="0" xfId="0" applyFont="1" applyAlignment="1">
      <alignment horizontal="left" vertical="top"/>
    </xf>
    <xf numFmtId="0" fontId="58" fillId="0" borderId="0" xfId="0" applyFont="1" applyAlignment="1">
      <alignment horizontal="left" vertical="top"/>
    </xf>
    <xf numFmtId="0" fontId="58" fillId="0" borderId="0" xfId="0" applyFont="1" applyAlignment="1">
      <alignment vertical="top" wrapText="1"/>
    </xf>
    <xf numFmtId="0" fontId="58" fillId="0" borderId="0" xfId="0" applyFont="1" applyAlignment="1">
      <alignment vertical="top"/>
    </xf>
    <xf numFmtId="0" fontId="56" fillId="0" borderId="0" xfId="0" applyFont="1" applyAlignment="1">
      <alignment horizontal="right" vertical="top"/>
    </xf>
    <xf numFmtId="0" fontId="58" fillId="2" borderId="0" xfId="0" applyFont="1" applyFill="1" applyAlignment="1">
      <alignment vertical="top" wrapText="1"/>
    </xf>
    <xf numFmtId="0" fontId="56" fillId="0" borderId="0" xfId="0" applyFont="1" applyAlignment="1">
      <alignment vertical="top"/>
    </xf>
    <xf numFmtId="166" fontId="28" fillId="0" borderId="0" xfId="0" applyNumberFormat="1" applyFont="1" applyAlignment="1">
      <alignment horizontal="left"/>
    </xf>
    <xf numFmtId="0" fontId="59" fillId="0" borderId="0" xfId="0" applyFont="1"/>
    <xf numFmtId="0" fontId="19" fillId="0" borderId="0" xfId="244" applyFont="1" applyFill="1" applyBorder="1" applyAlignment="1" applyProtection="1">
      <alignment horizontal="left"/>
    </xf>
    <xf numFmtId="0" fontId="50" fillId="0" borderId="0" xfId="0" applyFont="1"/>
    <xf numFmtId="0" fontId="50" fillId="0" borderId="0" xfId="244" applyFont="1" applyFill="1" applyBorder="1" applyAlignment="1" applyProtection="1">
      <alignment horizontal="left"/>
    </xf>
    <xf numFmtId="0" fontId="25" fillId="3" borderId="11" xfId="0" applyFont="1" applyFill="1" applyBorder="1" applyAlignment="1">
      <alignment vertical="top"/>
    </xf>
    <xf numFmtId="0" fontId="0" fillId="7" borderId="0" xfId="0" applyFill="1"/>
    <xf numFmtId="0" fontId="39" fillId="0" borderId="0" xfId="0" applyFont="1"/>
    <xf numFmtId="0" fontId="61" fillId="0" borderId="0" xfId="0" applyFont="1"/>
    <xf numFmtId="0" fontId="37" fillId="0" borderId="0" xfId="0" applyFont="1" applyAlignment="1">
      <alignment horizontal="center"/>
    </xf>
    <xf numFmtId="0" fontId="37" fillId="0" borderId="0" xfId="0" applyFont="1" applyAlignment="1">
      <alignment horizontal="left"/>
    </xf>
    <xf numFmtId="49" fontId="26" fillId="0" borderId="0" xfId="0" applyNumberFormat="1" applyFont="1" applyAlignment="1">
      <alignment horizontal="center"/>
    </xf>
    <xf numFmtId="0" fontId="53" fillId="0" borderId="0" xfId="0" applyFont="1" applyAlignment="1">
      <alignment horizontal="center"/>
    </xf>
    <xf numFmtId="168" fontId="28" fillId="0" borderId="0" xfId="0" applyNumberFormat="1" applyFont="1" applyAlignment="1">
      <alignment horizontal="center"/>
    </xf>
    <xf numFmtId="168" fontId="38" fillId="0" borderId="0" xfId="0" applyNumberFormat="1" applyFont="1" applyAlignment="1">
      <alignment horizontal="left" vertical="top" wrapText="1"/>
    </xf>
    <xf numFmtId="0" fontId="55" fillId="0" borderId="3" xfId="0" applyFont="1" applyBorder="1"/>
    <xf numFmtId="168" fontId="0" fillId="0" borderId="0" xfId="0" applyNumberFormat="1" applyAlignment="1">
      <alignment horizontal="center"/>
    </xf>
    <xf numFmtId="0" fontId="39" fillId="0" borderId="0" xfId="0" applyFont="1" applyAlignment="1">
      <alignment vertical="top" wrapText="1"/>
    </xf>
    <xf numFmtId="0" fontId="56" fillId="0" borderId="4" xfId="0" applyFont="1" applyBorder="1" applyAlignment="1">
      <alignment horizontal="right"/>
    </xf>
    <xf numFmtId="0" fontId="63" fillId="0" borderId="0" xfId="0" applyFont="1"/>
    <xf numFmtId="3" fontId="28" fillId="0" borderId="0" xfId="0" applyNumberFormat="1" applyFont="1" applyAlignment="1">
      <alignment horizontal="center"/>
    </xf>
    <xf numFmtId="168" fontId="19" fillId="0" borderId="0" xfId="0" applyNumberFormat="1" applyFont="1" applyAlignment="1">
      <alignment horizontal="left" vertical="top"/>
    </xf>
    <xf numFmtId="168" fontId="28" fillId="0" borderId="0" xfId="0" applyNumberFormat="1" applyFont="1" applyAlignment="1">
      <alignment horizontal="left" vertical="top"/>
    </xf>
    <xf numFmtId="0" fontId="58" fillId="0" borderId="11" xfId="0" applyFont="1" applyBorder="1" applyAlignment="1">
      <alignment horizontal="right" vertical="top"/>
    </xf>
    <xf numFmtId="0" fontId="58" fillId="0" borderId="0" xfId="0" applyFont="1" applyAlignment="1">
      <alignment horizontal="right" vertical="top" wrapText="1"/>
    </xf>
    <xf numFmtId="0" fontId="58" fillId="2" borderId="12" xfId="0" applyFont="1" applyFill="1" applyBorder="1" applyAlignment="1">
      <alignment vertical="top" wrapText="1"/>
    </xf>
    <xf numFmtId="0" fontId="58" fillId="0" borderId="14" xfId="0" applyFont="1" applyBorder="1" applyAlignment="1">
      <alignment vertical="top" wrapText="1"/>
    </xf>
    <xf numFmtId="168" fontId="58" fillId="5" borderId="11" xfId="0" applyNumberFormat="1" applyFont="1" applyFill="1" applyBorder="1" applyAlignment="1" applyProtection="1">
      <alignment vertical="top"/>
      <protection locked="0"/>
    </xf>
    <xf numFmtId="0" fontId="58" fillId="2" borderId="11" xfId="0" applyFont="1" applyFill="1" applyBorder="1" applyAlignment="1" applyProtection="1">
      <alignment vertical="top"/>
      <protection locked="0"/>
    </xf>
    <xf numFmtId="0" fontId="58" fillId="0" borderId="11" xfId="0" applyFont="1" applyBorder="1" applyAlignment="1" applyProtection="1">
      <alignment vertical="top"/>
      <protection locked="0"/>
    </xf>
    <xf numFmtId="168" fontId="58" fillId="0" borderId="11" xfId="0" applyNumberFormat="1" applyFont="1" applyBorder="1" applyAlignment="1">
      <alignment vertical="top"/>
    </xf>
    <xf numFmtId="168" fontId="58" fillId="6" borderId="11" xfId="0" applyNumberFormat="1" applyFont="1" applyFill="1" applyBorder="1" applyAlignment="1">
      <alignment horizontal="center" vertical="top"/>
    </xf>
    <xf numFmtId="0" fontId="26" fillId="0" borderId="0" xfId="542" applyFont="1" applyProtection="1">
      <protection locked="0"/>
    </xf>
    <xf numFmtId="0" fontId="19" fillId="0" borderId="0" xfId="539" applyProtection="1"/>
    <xf numFmtId="0" fontId="39" fillId="8" borderId="0" xfId="539" applyFont="1" applyFill="1" applyAlignment="1" applyProtection="1">
      <alignment horizontal="centerContinuous"/>
    </xf>
    <xf numFmtId="0" fontId="26" fillId="0" borderId="0" xfId="543" applyFont="1"/>
    <xf numFmtId="0" fontId="28" fillId="0" borderId="0" xfId="543" applyFont="1" applyAlignment="1">
      <alignment horizontal="left"/>
    </xf>
    <xf numFmtId="0" fontId="28" fillId="0" borderId="15" xfId="0" applyFont="1" applyBorder="1"/>
    <xf numFmtId="2" fontId="42" fillId="0" borderId="11" xfId="0" applyNumberFormat="1" applyFont="1" applyBorder="1"/>
    <xf numFmtId="0" fontId="19" fillId="0" borderId="0" xfId="0" applyFont="1" applyProtection="1">
      <protection locked="0"/>
    </xf>
    <xf numFmtId="0" fontId="66" fillId="0" borderId="0" xfId="0" applyFont="1" applyAlignment="1">
      <alignment horizontal="center"/>
    </xf>
    <xf numFmtId="0" fontId="28" fillId="0" borderId="0" xfId="271"/>
    <xf numFmtId="0" fontId="26" fillId="0" borderId="0" xfId="271" applyFont="1"/>
    <xf numFmtId="0" fontId="28" fillId="0" borderId="0" xfId="271" applyAlignment="1">
      <alignment horizontal="left"/>
    </xf>
    <xf numFmtId="168" fontId="26" fillId="0" borderId="2" xfId="543" applyNumberFormat="1" applyFont="1" applyBorder="1" applyAlignment="1">
      <alignment horizontal="center" vertical="center"/>
    </xf>
    <xf numFmtId="0" fontId="41" fillId="0" borderId="0" xfId="543" applyFont="1" applyAlignment="1">
      <alignment horizontal="right" vertical="top" wrapText="1"/>
    </xf>
    <xf numFmtId="0" fontId="39" fillId="0" borderId="2" xfId="543" applyFont="1" applyBorder="1" applyAlignment="1">
      <alignment horizontal="right" vertical="top" wrapText="1"/>
    </xf>
    <xf numFmtId="0" fontId="24" fillId="0" borderId="0" xfId="0" applyFont="1"/>
    <xf numFmtId="0" fontId="68" fillId="0" borderId="0" xfId="0" applyFont="1"/>
    <xf numFmtId="0" fontId="66" fillId="0" borderId="0" xfId="0" applyFont="1"/>
    <xf numFmtId="0" fontId="39"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6" fillId="0" borderId="0" xfId="0" applyNumberFormat="1" applyFont="1" applyAlignment="1">
      <alignment horizontal="center"/>
    </xf>
    <xf numFmtId="3" fontId="28" fillId="0" borderId="0" xfId="0" applyNumberFormat="1" applyFont="1"/>
    <xf numFmtId="0" fontId="67" fillId="0" borderId="0" xfId="0" applyFont="1"/>
    <xf numFmtId="168" fontId="24" fillId="0" borderId="0" xfId="0" applyNumberFormat="1" applyFont="1"/>
    <xf numFmtId="10" fontId="24" fillId="0" borderId="0" xfId="0" applyNumberFormat="1" applyFont="1" applyAlignment="1">
      <alignment horizontal="center"/>
    </xf>
    <xf numFmtId="3" fontId="70" fillId="0" borderId="0" xfId="0" applyNumberFormat="1" applyFont="1"/>
    <xf numFmtId="3" fontId="24" fillId="0" borderId="0" xfId="0" applyNumberFormat="1" applyFont="1"/>
    <xf numFmtId="168" fontId="67" fillId="0" borderId="0" xfId="0" applyNumberFormat="1" applyFont="1"/>
    <xf numFmtId="168" fontId="67" fillId="0" borderId="0" xfId="0" applyNumberFormat="1" applyFont="1" applyAlignment="1">
      <alignment horizontal="center"/>
    </xf>
    <xf numFmtId="0" fontId="24" fillId="5" borderId="0" xfId="0" applyFont="1" applyFill="1" applyAlignment="1">
      <alignment horizontal="left"/>
    </xf>
    <xf numFmtId="0" fontId="24" fillId="5" borderId="0" xfId="0" applyFont="1" applyFill="1"/>
    <xf numFmtId="10" fontId="24" fillId="0" borderId="0" xfId="0" applyNumberFormat="1" applyFont="1"/>
    <xf numFmtId="172" fontId="24" fillId="0" borderId="0" xfId="0" applyNumberFormat="1" applyFont="1"/>
    <xf numFmtId="172" fontId="24" fillId="0" borderId="0" xfId="0" applyNumberFormat="1" applyFont="1" applyAlignment="1">
      <alignment horizontal="center"/>
    </xf>
    <xf numFmtId="0" fontId="24" fillId="0" borderId="6" xfId="0" applyFont="1" applyBorder="1"/>
    <xf numFmtId="10" fontId="24" fillId="0" borderId="6" xfId="0" applyNumberFormat="1" applyFont="1" applyBorder="1" applyAlignment="1">
      <alignment horizontal="center"/>
    </xf>
    <xf numFmtId="3" fontId="24" fillId="0" borderId="6" xfId="0" applyNumberFormat="1" applyFont="1" applyBorder="1"/>
    <xf numFmtId="10" fontId="28" fillId="0" borderId="0" xfId="0" applyNumberFormat="1" applyFont="1" applyAlignment="1">
      <alignment horizontal="center"/>
    </xf>
    <xf numFmtId="3" fontId="28" fillId="0" borderId="0" xfId="0" applyNumberFormat="1" applyFont="1" applyAlignment="1">
      <alignment vertical="top"/>
    </xf>
    <xf numFmtId="10" fontId="26" fillId="0" borderId="0" xfId="0" applyNumberFormat="1" applyFont="1" applyAlignment="1">
      <alignment horizontal="center"/>
    </xf>
    <xf numFmtId="0" fontId="66" fillId="0" borderId="6" xfId="0" applyFont="1" applyBorder="1" applyAlignment="1">
      <alignment horizontal="center"/>
    </xf>
    <xf numFmtId="172" fontId="28" fillId="0" borderId="0" xfId="0" applyNumberFormat="1" applyFont="1" applyAlignment="1">
      <alignment horizontal="center"/>
    </xf>
    <xf numFmtId="10" fontId="71" fillId="0" borderId="0" xfId="0" applyNumberFormat="1" applyFont="1" applyAlignment="1">
      <alignment horizontal="center"/>
    </xf>
    <xf numFmtId="0" fontId="28" fillId="9" borderId="6" xfId="0" applyFont="1" applyFill="1" applyBorder="1"/>
    <xf numFmtId="0" fontId="28" fillId="0" borderId="4" xfId="271" applyBorder="1"/>
    <xf numFmtId="0" fontId="28" fillId="0" borderId="6" xfId="271" applyBorder="1"/>
    <xf numFmtId="0" fontId="28" fillId="0" borderId="1" xfId="0" applyFont="1" applyBorder="1"/>
    <xf numFmtId="168" fontId="28" fillId="0" borderId="3" xfId="0" applyNumberFormat="1" applyFont="1" applyBorder="1" applyAlignment="1">
      <alignment vertical="top"/>
    </xf>
    <xf numFmtId="168" fontId="28" fillId="0" borderId="4" xfId="0" applyNumberFormat="1" applyFont="1" applyBorder="1" applyAlignment="1">
      <alignment vertical="top"/>
    </xf>
    <xf numFmtId="168" fontId="28" fillId="0" borderId="5" xfId="0" applyNumberFormat="1" applyFont="1" applyBorder="1" applyAlignment="1">
      <alignment vertical="top"/>
    </xf>
    <xf numFmtId="168" fontId="28" fillId="0" borderId="8" xfId="0" applyNumberFormat="1" applyFont="1" applyBorder="1" applyAlignment="1">
      <alignment vertical="top"/>
    </xf>
    <xf numFmtId="168" fontId="28" fillId="0" borderId="0" xfId="0" applyNumberFormat="1" applyFont="1" applyAlignment="1">
      <alignment vertical="top"/>
    </xf>
    <xf numFmtId="0" fontId="28" fillId="0" borderId="0" xfId="0" applyFont="1" applyAlignment="1">
      <alignment horizontal="right" vertical="top"/>
    </xf>
    <xf numFmtId="0" fontId="28"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8" fillId="5" borderId="4" xfId="0" applyFont="1" applyFill="1" applyBorder="1" applyAlignment="1" applyProtection="1">
      <alignment horizontal="left" vertical="top"/>
      <protection locked="0"/>
    </xf>
    <xf numFmtId="0" fontId="28" fillId="5" borderId="5" xfId="0" applyFont="1" applyFill="1" applyBorder="1" applyAlignment="1" applyProtection="1">
      <alignment horizontal="left" vertical="top"/>
      <protection locked="0"/>
    </xf>
    <xf numFmtId="4" fontId="53" fillId="0" borderId="0" xfId="0" applyNumberFormat="1" applyFont="1" applyAlignment="1">
      <alignment horizontal="center"/>
    </xf>
    <xf numFmtId="0" fontId="38" fillId="0" borderId="1" xfId="543" applyFont="1" applyBorder="1" applyAlignment="1">
      <alignment horizontal="left" vertical="top" wrapText="1"/>
    </xf>
    <xf numFmtId="0" fontId="38" fillId="0" borderId="12" xfId="543" applyFont="1" applyBorder="1" applyAlignment="1">
      <alignment horizontal="center" vertical="top" wrapText="1"/>
    </xf>
    <xf numFmtId="0" fontId="38" fillId="0" borderId="8" xfId="543" applyFont="1" applyBorder="1" applyAlignment="1">
      <alignment horizontal="left" vertical="top" wrapText="1"/>
    </xf>
    <xf numFmtId="0" fontId="33" fillId="3" borderId="4" xfId="271" applyFont="1" applyFill="1" applyBorder="1" applyAlignment="1">
      <alignment vertical="top" wrapText="1"/>
    </xf>
    <xf numFmtId="0" fontId="25" fillId="3" borderId="11" xfId="271" applyFont="1" applyFill="1" applyBorder="1" applyAlignment="1">
      <alignment vertical="top"/>
    </xf>
    <xf numFmtId="0" fontId="26" fillId="0" borderId="9" xfId="271" applyFont="1" applyBorder="1" applyAlignment="1">
      <alignment horizontal="center" wrapText="1"/>
    </xf>
    <xf numFmtId="0" fontId="33" fillId="3" borderId="4" xfId="271" applyFont="1" applyFill="1" applyBorder="1" applyAlignment="1" applyProtection="1">
      <alignment vertical="top" wrapText="1"/>
      <protection locked="0"/>
    </xf>
    <xf numFmtId="0" fontId="33" fillId="3" borderId="5" xfId="271" applyFont="1" applyFill="1" applyBorder="1" applyAlignment="1" applyProtection="1">
      <alignment vertical="top" wrapText="1"/>
      <protection locked="0"/>
    </xf>
    <xf numFmtId="0" fontId="26" fillId="0" borderId="13" xfId="271" applyFont="1" applyBorder="1" applyAlignment="1">
      <alignment horizontal="center" wrapText="1"/>
    </xf>
    <xf numFmtId="0" fontId="51" fillId="2" borderId="11" xfId="271" applyFont="1" applyFill="1" applyBorder="1" applyAlignment="1">
      <alignment horizontal="left" vertical="top" wrapText="1"/>
    </xf>
    <xf numFmtId="0" fontId="28" fillId="0" borderId="11" xfId="271" applyBorder="1" applyAlignment="1" applyProtection="1">
      <alignment vertical="top" wrapText="1"/>
      <protection locked="0"/>
    </xf>
    <xf numFmtId="168" fontId="28" fillId="5" borderId="11" xfId="271" applyNumberFormat="1" applyFill="1" applyBorder="1" applyAlignment="1" applyProtection="1">
      <alignment vertical="top" wrapText="1"/>
      <protection locked="0"/>
    </xf>
    <xf numFmtId="0" fontId="28" fillId="5" borderId="3" xfId="271" applyFill="1" applyBorder="1" applyAlignment="1" applyProtection="1">
      <alignment vertical="top" wrapText="1"/>
      <protection locked="0"/>
    </xf>
    <xf numFmtId="0" fontId="28" fillId="5" borderId="11" xfId="271" applyFill="1" applyBorder="1" applyAlignment="1" applyProtection="1">
      <alignment vertical="top" wrapText="1"/>
      <protection locked="0"/>
    </xf>
    <xf numFmtId="0" fontId="28" fillId="0" borderId="11" xfId="271" applyBorder="1" applyAlignment="1">
      <alignment horizontal="right" vertical="top" wrapText="1"/>
    </xf>
    <xf numFmtId="168" fontId="28" fillId="0" borderId="11" xfId="271" applyNumberFormat="1" applyBorder="1" applyAlignment="1">
      <alignment vertical="top" wrapText="1"/>
    </xf>
    <xf numFmtId="0" fontId="26" fillId="0" borderId="11" xfId="271" applyFont="1" applyBorder="1" applyAlignment="1">
      <alignment horizontal="right" vertical="top" wrapText="1"/>
    </xf>
    <xf numFmtId="0" fontId="28" fillId="5" borderId="11" xfId="271" applyFill="1" applyBorder="1" applyAlignment="1" applyProtection="1">
      <alignment horizontal="right" vertical="top" wrapText="1"/>
      <protection locked="0"/>
    </xf>
    <xf numFmtId="168" fontId="26" fillId="0" borderId="11" xfId="271" applyNumberFormat="1" applyFont="1" applyBorder="1" applyAlignment="1">
      <alignment vertical="top" wrapText="1"/>
    </xf>
    <xf numFmtId="0" fontId="36" fillId="0" borderId="11" xfId="271" applyFont="1" applyBorder="1" applyAlignment="1">
      <alignment horizontal="right" vertical="top" wrapText="1"/>
    </xf>
    <xf numFmtId="0" fontId="33" fillId="0" borderId="0" xfId="271" applyFont="1" applyAlignment="1" applyProtection="1">
      <alignment vertical="top" wrapText="1"/>
      <protection locked="0"/>
    </xf>
    <xf numFmtId="0" fontId="28" fillId="0" borderId="5" xfId="271" applyBorder="1" applyAlignment="1" applyProtection="1">
      <alignment vertical="top" wrapText="1"/>
      <protection locked="0"/>
    </xf>
    <xf numFmtId="0" fontId="26" fillId="0" borderId="3" xfId="271" applyFont="1" applyBorder="1" applyAlignment="1">
      <alignment horizontal="left" vertical="top"/>
    </xf>
    <xf numFmtId="0" fontId="28" fillId="0" borderId="4" xfId="271" applyBorder="1" applyAlignment="1" applyProtection="1">
      <alignment horizontal="left" vertical="top"/>
      <protection locked="0"/>
    </xf>
    <xf numFmtId="0" fontId="28" fillId="0" borderId="4" xfId="271" applyBorder="1" applyAlignment="1" applyProtection="1">
      <alignment vertical="top" wrapText="1"/>
      <protection locked="0"/>
    </xf>
    <xf numFmtId="0" fontId="33" fillId="0" borderId="0" xfId="271" applyFont="1" applyAlignment="1">
      <alignment vertical="top" wrapText="1"/>
    </xf>
    <xf numFmtId="0" fontId="28" fillId="0" borderId="4" xfId="271" applyBorder="1" applyAlignment="1">
      <alignment vertical="top" wrapText="1"/>
    </xf>
    <xf numFmtId="0" fontId="51" fillId="2" borderId="11" xfId="271" applyFont="1" applyFill="1" applyBorder="1" applyAlignment="1" applyProtection="1">
      <alignment horizontal="left" vertical="top" wrapText="1"/>
      <protection locked="0"/>
    </xf>
    <xf numFmtId="0" fontId="55" fillId="0" borderId="11" xfId="0" applyFont="1" applyBorder="1" applyAlignment="1">
      <alignment horizontal="right" vertical="top" wrapText="1"/>
    </xf>
    <xf numFmtId="0" fontId="28" fillId="8" borderId="0" xfId="542" quotePrefix="1" applyFont="1" applyFill="1" applyAlignment="1">
      <alignment horizontal="left"/>
    </xf>
    <xf numFmtId="0" fontId="28" fillId="8" borderId="0" xfId="542" applyFont="1" applyFill="1"/>
    <xf numFmtId="0" fontId="36" fillId="8" borderId="0" xfId="542" applyFont="1" applyFill="1"/>
    <xf numFmtId="0" fontId="55" fillId="0" borderId="11" xfId="271" applyFont="1" applyBorder="1" applyAlignment="1">
      <alignment horizontal="right" vertical="top"/>
    </xf>
    <xf numFmtId="0" fontId="55" fillId="0" borderId="11" xfId="271" applyFont="1" applyBorder="1" applyAlignment="1">
      <alignment horizontal="right" vertical="top" wrapText="1"/>
    </xf>
    <xf numFmtId="0" fontId="28" fillId="0" borderId="0" xfId="271" applyAlignment="1">
      <alignment horizontal="left" vertical="top"/>
    </xf>
    <xf numFmtId="0" fontId="26" fillId="0" borderId="0" xfId="271" applyFont="1" applyAlignment="1">
      <alignment horizontal="right"/>
    </xf>
    <xf numFmtId="0" fontId="27" fillId="0" borderId="0" xfId="271" applyFont="1" applyAlignment="1">
      <alignment horizontal="center"/>
    </xf>
    <xf numFmtId="5" fontId="28" fillId="0" borderId="0" xfId="542" applyNumberFormat="1" applyFont="1"/>
    <xf numFmtId="1" fontId="28" fillId="0" borderId="15" xfId="271" applyNumberFormat="1" applyBorder="1"/>
    <xf numFmtId="1" fontId="28" fillId="0" borderId="14" xfId="271" applyNumberFormat="1" applyBorder="1"/>
    <xf numFmtId="0" fontId="27" fillId="0" borderId="6" xfId="271" applyFont="1" applyBorder="1" applyAlignment="1">
      <alignment horizontal="left"/>
    </xf>
    <xf numFmtId="0" fontId="27" fillId="0" borderId="6" xfId="271" applyFont="1" applyBorder="1" applyAlignment="1">
      <alignment horizontal="right"/>
    </xf>
    <xf numFmtId="165" fontId="28" fillId="0" borderId="0" xfId="271" applyNumberFormat="1"/>
    <xf numFmtId="170" fontId="28" fillId="0" borderId="14" xfId="271" applyNumberFormat="1" applyBorder="1"/>
    <xf numFmtId="1" fontId="26" fillId="0" borderId="11" xfId="271" applyNumberFormat="1" applyFont="1" applyBorder="1"/>
    <xf numFmtId="165" fontId="26" fillId="0" borderId="11" xfId="271" applyNumberFormat="1" applyFont="1" applyBorder="1"/>
    <xf numFmtId="3" fontId="58" fillId="0" borderId="11" xfId="0" applyNumberFormat="1" applyFont="1" applyBorder="1" applyAlignment="1">
      <alignment vertical="top" wrapText="1"/>
    </xf>
    <xf numFmtId="166" fontId="28" fillId="0" borderId="0" xfId="0" applyNumberFormat="1" applyFont="1"/>
    <xf numFmtId="0" fontId="0" fillId="0" borderId="0" xfId="0" applyProtection="1">
      <protection locked="0"/>
    </xf>
    <xf numFmtId="0" fontId="24" fillId="0" borderId="0" xfId="0" applyFont="1" applyProtection="1">
      <protection locked="0"/>
    </xf>
    <xf numFmtId="0" fontId="24" fillId="0" borderId="0" xfId="271" applyFont="1" applyProtection="1">
      <protection locked="0"/>
    </xf>
    <xf numFmtId="168" fontId="24" fillId="0" borderId="0" xfId="271" applyNumberFormat="1" applyFont="1" applyProtection="1">
      <protection locked="0"/>
    </xf>
    <xf numFmtId="0" fontId="32" fillId="0" borderId="1" xfId="0" applyFont="1" applyBorder="1"/>
    <xf numFmtId="0" fontId="19" fillId="0" borderId="2" xfId="0" applyFont="1" applyBorder="1" applyAlignment="1">
      <alignment horizontal="left"/>
    </xf>
    <xf numFmtId="0" fontId="19" fillId="0" borderId="2" xfId="0" applyFont="1" applyBorder="1"/>
    <xf numFmtId="0" fontId="32" fillId="0" borderId="8" xfId="0" applyFont="1" applyBorder="1"/>
    <xf numFmtId="0" fontId="32" fillId="0" borderId="9" xfId="0" applyFont="1" applyBorder="1"/>
    <xf numFmtId="0" fontId="26" fillId="0" borderId="0" xfId="0" applyFont="1" applyAlignment="1">
      <alignment horizontal="left" vertical="top"/>
    </xf>
    <xf numFmtId="172" fontId="28" fillId="5" borderId="0" xfId="0" applyNumberFormat="1" applyFont="1" applyFill="1" applyAlignment="1">
      <alignment horizontal="center"/>
    </xf>
    <xf numFmtId="0" fontId="76" fillId="0" borderId="0" xfId="0" applyFont="1" applyAlignment="1">
      <alignment horizontal="left" vertical="center"/>
    </xf>
    <xf numFmtId="0" fontId="38" fillId="0" borderId="2" xfId="543" applyFont="1" applyBorder="1" applyAlignment="1">
      <alignment horizontal="center" vertical="top" wrapText="1"/>
    </xf>
    <xf numFmtId="49" fontId="49" fillId="0" borderId="0" xfId="0" applyNumberFormat="1" applyFont="1" applyAlignment="1">
      <alignment horizontal="center"/>
    </xf>
    <xf numFmtId="0" fontId="55" fillId="0" borderId="0" xfId="0" applyFont="1"/>
    <xf numFmtId="5" fontId="80" fillId="0" borderId="11" xfId="541" applyNumberFormat="1" applyFont="1" applyBorder="1" applyAlignment="1" applyProtection="1">
      <alignment horizontal="center"/>
    </xf>
    <xf numFmtId="5" fontId="80" fillId="42" borderId="11" xfId="541" applyNumberFormat="1" applyFont="1" applyFill="1" applyBorder="1" applyAlignment="1" applyProtection="1">
      <alignment horizontal="center"/>
    </xf>
    <xf numFmtId="5" fontId="80" fillId="2" borderId="11" xfId="541" applyNumberFormat="1" applyFont="1" applyFill="1" applyBorder="1" applyAlignment="1" applyProtection="1">
      <alignment horizontal="center"/>
    </xf>
    <xf numFmtId="0" fontId="55" fillId="0" borderId="0" xfId="0" applyFont="1" applyAlignment="1">
      <alignment vertical="top" wrapText="1"/>
    </xf>
    <xf numFmtId="0" fontId="55" fillId="0" borderId="0" xfId="0" applyFont="1" applyAlignment="1">
      <alignment vertical="top"/>
    </xf>
    <xf numFmtId="0" fontId="55" fillId="2" borderId="0" xfId="0" applyFont="1" applyFill="1" applyAlignment="1">
      <alignment vertical="top" wrapText="1"/>
    </xf>
    <xf numFmtId="0" fontId="82" fillId="0" borderId="13" xfId="0" applyFont="1" applyBorder="1" applyAlignment="1">
      <alignment vertical="top" wrapText="1"/>
    </xf>
    <xf numFmtId="0" fontId="33" fillId="0" borderId="0" xfId="0" applyFont="1" applyAlignment="1">
      <alignment vertical="top" wrapText="1"/>
    </xf>
    <xf numFmtId="0" fontId="82" fillId="2" borderId="13" xfId="0" applyFont="1" applyFill="1" applyBorder="1" applyAlignment="1">
      <alignment vertical="top" wrapText="1"/>
    </xf>
    <xf numFmtId="0" fontId="82" fillId="0" borderId="0" xfId="0" applyFont="1" applyAlignment="1">
      <alignment vertical="top" wrapText="1"/>
    </xf>
    <xf numFmtId="0" fontId="82" fillId="2" borderId="0" xfId="0" applyFont="1" applyFill="1" applyAlignment="1">
      <alignment vertical="top" wrapText="1"/>
    </xf>
    <xf numFmtId="0" fontId="55" fillId="0" borderId="0" xfId="0" applyFont="1" applyAlignment="1">
      <alignment horizontal="right" vertical="top" wrapText="1"/>
    </xf>
    <xf numFmtId="168" fontId="55" fillId="5" borderId="6" xfId="0" applyNumberFormat="1" applyFont="1" applyFill="1" applyBorder="1" applyAlignment="1" applyProtection="1">
      <alignment horizontal="right" vertical="top" wrapText="1"/>
      <protection locked="0"/>
    </xf>
    <xf numFmtId="168" fontId="55" fillId="0" borderId="6" xfId="0" applyNumberFormat="1" applyFont="1" applyBorder="1" applyAlignment="1">
      <alignment horizontal="right" vertical="top" wrapText="1"/>
    </xf>
    <xf numFmtId="0" fontId="26" fillId="0" borderId="0" xfId="0" applyFont="1" applyAlignment="1">
      <alignment horizontal="left" vertical="top" wrapText="1"/>
    </xf>
    <xf numFmtId="0" fontId="28" fillId="0" borderId="0" xfId="0" applyFont="1" applyAlignment="1">
      <alignment horizontal="right" vertical="top" wrapText="1"/>
    </xf>
    <xf numFmtId="10" fontId="28" fillId="5" borderId="6" xfId="0" applyNumberFormat="1" applyFont="1" applyFill="1" applyBorder="1" applyAlignment="1" applyProtection="1">
      <alignment horizontal="center" vertical="top" wrapText="1"/>
      <protection locked="0"/>
    </xf>
    <xf numFmtId="0" fontId="66" fillId="0" borderId="0" xfId="0" applyFont="1" applyAlignment="1">
      <alignment horizontal="left" vertical="center"/>
    </xf>
    <xf numFmtId="0" fontId="26" fillId="0" borderId="2" xfId="543" applyFont="1" applyBorder="1" applyAlignment="1">
      <alignment horizontal="center"/>
    </xf>
    <xf numFmtId="0" fontId="0" fillId="0" borderId="0" xfId="543" applyFont="1"/>
    <xf numFmtId="0" fontId="20" fillId="0" borderId="0" xfId="244" quotePrefix="1" applyAlignment="1" applyProtection="1">
      <alignment horizontal="left"/>
    </xf>
    <xf numFmtId="168" fontId="55" fillId="0" borderId="11" xfId="0" applyNumberFormat="1" applyFont="1" applyBorder="1" applyAlignment="1">
      <alignment vertical="top" wrapText="1"/>
    </xf>
    <xf numFmtId="168" fontId="55" fillId="4" borderId="11" xfId="0" applyNumberFormat="1" applyFont="1" applyFill="1" applyBorder="1" applyAlignment="1">
      <alignment vertical="top" wrapText="1"/>
    </xf>
    <xf numFmtId="0" fontId="106" fillId="0" borderId="0" xfId="0" applyFont="1" applyAlignment="1">
      <alignment horizontal="left" vertical="top"/>
    </xf>
    <xf numFmtId="0" fontId="107" fillId="0" borderId="0" xfId="0" applyFont="1" applyAlignment="1">
      <alignment horizontal="left" vertical="top"/>
    </xf>
    <xf numFmtId="0" fontId="26" fillId="8" borderId="11" xfId="542" applyFont="1" applyFill="1" applyBorder="1" applyAlignment="1">
      <alignment horizontal="left"/>
    </xf>
    <xf numFmtId="0" fontId="26" fillId="8" borderId="11" xfId="542" applyFont="1" applyFill="1" applyBorder="1" applyAlignment="1">
      <alignment horizontal="center"/>
    </xf>
    <xf numFmtId="0" fontId="65" fillId="8" borderId="11" xfId="542" applyFont="1" applyFill="1" applyBorder="1" applyAlignment="1">
      <alignment horizontal="left"/>
    </xf>
    <xf numFmtId="0" fontId="65" fillId="0" borderId="11" xfId="542" applyFont="1" applyBorder="1" applyAlignment="1">
      <alignment horizontal="left"/>
    </xf>
    <xf numFmtId="0" fontId="26" fillId="0" borderId="0" xfId="271" applyFont="1" applyAlignment="1" applyProtection="1">
      <alignment horizontal="center" wrapText="1"/>
      <protection locked="0"/>
    </xf>
    <xf numFmtId="0" fontId="28" fillId="0" borderId="0" xfId="271" applyAlignment="1" applyProtection="1">
      <alignment vertical="top" wrapText="1"/>
      <protection locked="0"/>
    </xf>
    <xf numFmtId="0" fontId="26" fillId="0" borderId="0" xfId="271" applyFont="1" applyAlignment="1" applyProtection="1">
      <alignment vertical="top" wrapText="1"/>
      <protection locked="0"/>
    </xf>
    <xf numFmtId="0" fontId="19" fillId="0" borderId="0" xfId="0" applyFont="1" applyAlignment="1">
      <alignment horizontal="center"/>
    </xf>
    <xf numFmtId="0" fontId="33" fillId="0" borderId="8" xfId="569" applyFont="1" applyBorder="1" applyAlignment="1">
      <alignment vertical="top" wrapText="1"/>
    </xf>
    <xf numFmtId="0" fontId="33" fillId="0" borderId="0" xfId="569" applyFont="1" applyAlignment="1">
      <alignment vertical="top" wrapText="1"/>
    </xf>
    <xf numFmtId="0" fontId="57" fillId="2" borderId="11" xfId="569" applyFont="1" applyFill="1" applyBorder="1" applyAlignment="1">
      <alignment horizontal="left" vertical="top" wrapText="1"/>
    </xf>
    <xf numFmtId="6" fontId="55" fillId="4" borderId="11" xfId="569" applyNumberFormat="1" applyFont="1" applyFill="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6" fontId="55" fillId="0" borderId="11" xfId="569" applyNumberFormat="1" applyFont="1" applyBorder="1" applyAlignment="1">
      <alignment vertical="top" wrapText="1"/>
    </xf>
    <xf numFmtId="6" fontId="55" fillId="5" borderId="11" xfId="569" applyNumberFormat="1" applyFont="1" applyFill="1" applyBorder="1" applyAlignment="1" applyProtection="1">
      <alignment vertical="top" wrapText="1"/>
      <protection locked="0"/>
    </xf>
    <xf numFmtId="6" fontId="55" fillId="6" borderId="11" xfId="569" applyNumberFormat="1" applyFont="1" applyFill="1" applyBorder="1" applyAlignment="1">
      <alignment horizontal="center" vertical="top" wrapText="1"/>
    </xf>
    <xf numFmtId="0" fontId="55" fillId="0" borderId="11" xfId="569" applyFont="1" applyBorder="1" applyAlignment="1">
      <alignment horizontal="right" vertical="top" wrapText="1"/>
    </xf>
    <xf numFmtId="0" fontId="56" fillId="0" borderId="11" xfId="569" applyFont="1" applyBorder="1" applyAlignment="1">
      <alignment horizontal="right" vertical="top" wrapText="1"/>
    </xf>
    <xf numFmtId="0" fontId="55" fillId="0" borderId="11" xfId="569" applyFont="1" applyBorder="1" applyAlignment="1">
      <alignment horizontal="right" vertical="top"/>
    </xf>
    <xf numFmtId="6" fontId="56" fillId="0" borderId="11" xfId="569" applyNumberFormat="1" applyFont="1" applyBorder="1" applyAlignment="1">
      <alignment vertical="top" wrapText="1"/>
    </xf>
    <xf numFmtId="0" fontId="56" fillId="0" borderId="8" xfId="569" applyFont="1" applyBorder="1" applyAlignment="1">
      <alignment vertical="top" wrapText="1"/>
    </xf>
    <xf numFmtId="0" fontId="56" fillId="0" borderId="0" xfId="569" applyFont="1" applyAlignment="1">
      <alignment vertical="top" wrapText="1"/>
    </xf>
    <xf numFmtId="0" fontId="22" fillId="0" borderId="11" xfId="569" applyFont="1" applyBorder="1" applyAlignment="1">
      <alignment horizontal="right" vertical="top" wrapText="1"/>
    </xf>
    <xf numFmtId="0" fontId="56" fillId="0" borderId="0" xfId="569" applyFont="1" applyAlignment="1">
      <alignment horizontal="left" vertical="top"/>
    </xf>
    <xf numFmtId="6" fontId="55" fillId="0" borderId="0" xfId="569" applyNumberFormat="1" applyFont="1" applyAlignment="1">
      <alignment horizontal="left" vertical="top"/>
    </xf>
    <xf numFmtId="0" fontId="107" fillId="0" borderId="0" xfId="569" applyFont="1" applyAlignment="1">
      <alignment horizontal="left" vertical="top"/>
    </xf>
    <xf numFmtId="6" fontId="55" fillId="0" borderId="0" xfId="569" applyNumberFormat="1" applyFont="1" applyAlignment="1">
      <alignment vertical="top" wrapText="1"/>
    </xf>
    <xf numFmtId="0" fontId="55" fillId="0" borderId="0" xfId="569" applyFont="1" applyAlignment="1">
      <alignment horizontal="left" vertical="top"/>
    </xf>
    <xf numFmtId="0" fontId="55" fillId="0" borderId="12" xfId="569" applyFont="1" applyBorder="1" applyAlignment="1">
      <alignment vertical="top" wrapText="1"/>
    </xf>
    <xf numFmtId="0" fontId="26" fillId="0" borderId="0" xfId="569" applyFont="1" applyAlignment="1">
      <alignment horizontal="left" vertical="top"/>
    </xf>
    <xf numFmtId="0" fontId="110" fillId="0" borderId="0" xfId="569" applyFont="1" applyAlignment="1">
      <alignment horizontal="left" vertical="top"/>
    </xf>
    <xf numFmtId="0" fontId="66" fillId="0" borderId="0" xfId="569" applyFont="1" applyAlignment="1">
      <alignment horizontal="left" vertical="center"/>
    </xf>
    <xf numFmtId="0" fontId="34" fillId="0" borderId="0" xfId="569" applyFont="1" applyAlignment="1">
      <alignment vertical="top" wrapText="1"/>
    </xf>
    <xf numFmtId="0" fontId="34" fillId="0" borderId="12" xfId="569" applyFont="1" applyBorder="1" applyAlignment="1">
      <alignment vertical="top" wrapText="1"/>
    </xf>
    <xf numFmtId="0" fontId="34" fillId="0" borderId="8" xfId="569" applyFont="1" applyBorder="1" applyAlignment="1">
      <alignment vertical="top" wrapText="1"/>
    </xf>
    <xf numFmtId="0" fontId="55" fillId="0" borderId="0" xfId="569" applyFont="1" applyAlignment="1">
      <alignment vertical="top"/>
    </xf>
    <xf numFmtId="168" fontId="55" fillId="0" borderId="0" xfId="569" applyNumberFormat="1" applyFont="1" applyAlignment="1" applyProtection="1">
      <alignment horizontal="right" vertical="top" wrapText="1"/>
      <protection locked="0"/>
    </xf>
    <xf numFmtId="0" fontId="19" fillId="0" borderId="0" xfId="569" applyAlignment="1">
      <alignment vertical="top" wrapText="1"/>
    </xf>
    <xf numFmtId="0" fontId="19" fillId="0" borderId="0" xfId="569" applyAlignment="1">
      <alignment vertical="top"/>
    </xf>
    <xf numFmtId="0" fontId="55" fillId="0" borderId="0" xfId="569" applyFont="1" applyAlignment="1">
      <alignment horizontal="right" vertical="top" wrapText="1"/>
    </xf>
    <xf numFmtId="0" fontId="26" fillId="0" borderId="0" xfId="569" applyFont="1" applyAlignment="1">
      <alignment horizontal="left" vertical="top" wrapText="1"/>
    </xf>
    <xf numFmtId="168" fontId="55" fillId="0" borderId="0" xfId="569" applyNumberFormat="1" applyFont="1" applyAlignment="1">
      <alignment horizontal="right" vertical="top" wrapText="1"/>
    </xf>
    <xf numFmtId="0" fontId="19" fillId="0" borderId="0" xfId="569" applyAlignment="1" applyProtection="1">
      <alignment horizontal="left" vertical="top" wrapText="1"/>
      <protection locked="0"/>
    </xf>
    <xf numFmtId="0" fontId="19" fillId="0" borderId="0" xfId="569" applyAlignment="1">
      <alignment horizontal="right" vertical="top" wrapText="1"/>
    </xf>
    <xf numFmtId="0" fontId="19" fillId="0" borderId="0" xfId="569" applyAlignment="1">
      <alignment horizontal="left" vertical="top"/>
    </xf>
    <xf numFmtId="0" fontId="82" fillId="0" borderId="0" xfId="569" applyFont="1" applyAlignment="1">
      <alignment vertical="top" wrapText="1"/>
    </xf>
    <xf numFmtId="0" fontId="82" fillId="0" borderId="12" xfId="569" applyFont="1" applyBorder="1" applyAlignment="1">
      <alignment vertical="top" wrapText="1"/>
    </xf>
    <xf numFmtId="0" fontId="82" fillId="0" borderId="8" xfId="569" applyFont="1" applyBorder="1" applyAlignment="1">
      <alignment vertical="top" wrapText="1"/>
    </xf>
    <xf numFmtId="0" fontId="33" fillId="0" borderId="0" xfId="569" applyFont="1" applyAlignment="1">
      <alignment horizontal="right" vertical="top" wrapText="1"/>
    </xf>
    <xf numFmtId="0" fontId="82" fillId="0" borderId="0" xfId="569" applyFont="1" applyAlignment="1">
      <alignment horizontal="right" vertical="top" wrapText="1"/>
    </xf>
    <xf numFmtId="0" fontId="56" fillId="0" borderId="3" xfId="569" applyFont="1" applyBorder="1" applyAlignment="1">
      <alignment horizontal="left"/>
    </xf>
    <xf numFmtId="0" fontId="56" fillId="0" borderId="13" xfId="569" applyFont="1" applyBorder="1" applyAlignment="1">
      <alignment horizontal="center" wrapText="1"/>
    </xf>
    <xf numFmtId="0" fontId="56" fillId="0" borderId="8" xfId="569" applyFont="1" applyBorder="1" applyAlignment="1">
      <alignment horizontal="center" wrapText="1"/>
    </xf>
    <xf numFmtId="0" fontId="56" fillId="0" borderId="0" xfId="569" applyFont="1" applyAlignment="1">
      <alignment horizontal="center" wrapText="1"/>
    </xf>
    <xf numFmtId="0" fontId="19" fillId="0" borderId="0" xfId="569"/>
    <xf numFmtId="0" fontId="25" fillId="0" borderId="0" xfId="569" applyFont="1" applyAlignment="1">
      <alignment horizontal="center" vertical="center"/>
    </xf>
    <xf numFmtId="0" fontId="26" fillId="0" borderId="0" xfId="569" applyFont="1"/>
    <xf numFmtId="0" fontId="19" fillId="0" borderId="1" xfId="569" applyBorder="1"/>
    <xf numFmtId="0" fontId="19" fillId="0" borderId="2" xfId="569" applyBorder="1"/>
    <xf numFmtId="0" fontId="19" fillId="0" borderId="8" xfId="569" applyBorder="1"/>
    <xf numFmtId="0" fontId="19" fillId="0" borderId="9" xfId="569" applyBorder="1"/>
    <xf numFmtId="0" fontId="19" fillId="0" borderId="6" xfId="569" applyBorder="1"/>
    <xf numFmtId="0" fontId="27" fillId="0" borderId="0" xfId="569" applyFont="1"/>
    <xf numFmtId="0" fontId="19" fillId="0" borderId="7" xfId="569" applyBorder="1"/>
    <xf numFmtId="0" fontId="19" fillId="0" borderId="12" xfId="569" applyBorder="1"/>
    <xf numFmtId="0" fontId="19" fillId="0" borderId="10" xfId="569" applyBorder="1"/>
    <xf numFmtId="0" fontId="27" fillId="0" borderId="0" xfId="569" applyFont="1" applyAlignment="1">
      <alignment vertical="top" wrapText="1"/>
    </xf>
    <xf numFmtId="0" fontId="19" fillId="0" borderId="0" xfId="569" applyAlignment="1">
      <alignment horizontal="right"/>
    </xf>
    <xf numFmtId="0" fontId="19" fillId="0" borderId="0" xfId="569" applyAlignment="1">
      <alignment wrapText="1"/>
    </xf>
    <xf numFmtId="0" fontId="19" fillId="0" borderId="0" xfId="569" applyAlignment="1">
      <alignment vertical="center"/>
    </xf>
    <xf numFmtId="0" fontId="43" fillId="0" borderId="0" xfId="569" applyFont="1" applyAlignment="1">
      <alignment vertical="center" wrapText="1"/>
    </xf>
    <xf numFmtId="0" fontId="37" fillId="0" borderId="0" xfId="569" applyFont="1" applyAlignment="1">
      <alignment vertical="top" wrapText="1"/>
    </xf>
    <xf numFmtId="0" fontId="26" fillId="0" borderId="0" xfId="569" applyFont="1" applyAlignment="1">
      <alignment vertical="top" wrapText="1"/>
    </xf>
    <xf numFmtId="0" fontId="27" fillId="0" borderId="0" xfId="569" applyFont="1" applyAlignment="1">
      <alignment horizontal="left" vertical="top" wrapText="1"/>
    </xf>
    <xf numFmtId="164" fontId="19" fillId="0" borderId="0" xfId="569" applyNumberFormat="1" applyAlignment="1">
      <alignment horizontal="right"/>
    </xf>
    <xf numFmtId="168" fontId="19" fillId="0" borderId="0" xfId="569" applyNumberFormat="1" applyAlignment="1">
      <alignment horizontal="right"/>
    </xf>
    <xf numFmtId="0" fontId="108" fillId="0" borderId="0" xfId="569" applyFont="1" applyAlignment="1">
      <alignment horizontal="left" vertical="top" wrapText="1"/>
    </xf>
    <xf numFmtId="168" fontId="19" fillId="0" borderId="0" xfId="569" applyNumberFormat="1" applyAlignment="1">
      <alignment wrapText="1"/>
    </xf>
    <xf numFmtId="0" fontId="24" fillId="0" borderId="11" xfId="253" applyFont="1" applyBorder="1" applyAlignment="1">
      <alignment horizontal="center" wrapText="1"/>
    </xf>
    <xf numFmtId="0" fontId="24" fillId="0" borderId="0" xfId="253" applyFont="1" applyAlignment="1">
      <alignment horizontal="center" wrapText="1"/>
    </xf>
    <xf numFmtId="3" fontId="24" fillId="0" borderId="11" xfId="271" applyNumberFormat="1" applyFont="1" applyBorder="1"/>
    <xf numFmtId="3" fontId="24" fillId="0" borderId="0" xfId="271" applyNumberFormat="1" applyFont="1"/>
    <xf numFmtId="0" fontId="67" fillId="0" borderId="0" xfId="271" applyFont="1" applyAlignment="1">
      <alignment horizontal="left"/>
    </xf>
    <xf numFmtId="0" fontId="67" fillId="0" borderId="0" xfId="271" applyFont="1" applyAlignment="1">
      <alignment horizontal="right"/>
    </xf>
    <xf numFmtId="168" fontId="24" fillId="0" borderId="11" xfId="271" applyNumberFormat="1" applyFont="1" applyBorder="1"/>
    <xf numFmtId="168" fontId="24" fillId="0" borderId="0" xfId="271" applyNumberFormat="1" applyFont="1"/>
    <xf numFmtId="0" fontId="55" fillId="0" borderId="0" xfId="569" applyFont="1" applyAlignment="1">
      <alignment horizontal="left"/>
    </xf>
    <xf numFmtId="0" fontId="19" fillId="0" borderId="3" xfId="569" applyBorder="1"/>
    <xf numFmtId="0" fontId="109" fillId="0" borderId="0" xfId="1834"/>
    <xf numFmtId="0" fontId="0" fillId="0" borderId="0" xfId="0" applyAlignment="1">
      <alignment horizontal="left" vertical="top"/>
    </xf>
    <xf numFmtId="0" fontId="108" fillId="0" borderId="0" xfId="0" applyFont="1" applyAlignment="1">
      <alignment vertical="top" wrapText="1"/>
    </xf>
    <xf numFmtId="0" fontId="55" fillId="0" borderId="0" xfId="271" applyFont="1" applyAlignment="1">
      <alignment vertical="top" wrapText="1"/>
    </xf>
    <xf numFmtId="4" fontId="19" fillId="0" borderId="0" xfId="1192" applyNumberFormat="1" applyAlignment="1">
      <alignment horizontal="left" vertical="top" wrapText="1"/>
    </xf>
    <xf numFmtId="0" fontId="19" fillId="0" borderId="0" xfId="0" applyFont="1" applyAlignment="1">
      <alignment horizontal="left" vertical="top" wrapText="1"/>
    </xf>
    <xf numFmtId="0" fontId="26" fillId="0" borderId="12" xfId="543" applyFont="1" applyBorder="1" applyAlignment="1">
      <alignment horizontal="right"/>
    </xf>
    <xf numFmtId="0" fontId="38" fillId="0" borderId="0" xfId="543" applyFont="1" applyAlignment="1">
      <alignment horizontal="center"/>
    </xf>
    <xf numFmtId="4" fontId="19" fillId="0" borderId="0" xfId="569" applyNumberFormat="1" applyAlignment="1">
      <alignment horizontal="left"/>
    </xf>
    <xf numFmtId="0" fontId="19" fillId="0" borderId="0" xfId="569" applyAlignment="1">
      <alignment horizontal="left" vertical="top" wrapText="1"/>
    </xf>
    <xf numFmtId="0" fontId="19" fillId="0" borderId="0" xfId="569" applyAlignment="1">
      <alignment horizontal="left"/>
    </xf>
    <xf numFmtId="0" fontId="19" fillId="0" borderId="0" xfId="1192" applyAlignment="1">
      <alignment horizontal="left"/>
    </xf>
    <xf numFmtId="0" fontId="26" fillId="0" borderId="0" xfId="569" applyFont="1" applyAlignment="1">
      <alignment horizontal="left"/>
    </xf>
    <xf numFmtId="0" fontId="48" fillId="0" borderId="0" xfId="1192" applyFont="1"/>
    <xf numFmtId="0" fontId="55" fillId="0" borderId="11" xfId="0" applyFont="1" applyBorder="1" applyAlignment="1">
      <alignment horizontal="right" vertical="center"/>
    </xf>
    <xf numFmtId="0" fontId="19" fillId="0" borderId="0" xfId="1192" applyAlignment="1">
      <alignment horizontal="left" vertical="top" wrapText="1"/>
    </xf>
    <xf numFmtId="0" fontId="48" fillId="0" borderId="0" xfId="0" applyFont="1" applyAlignment="1">
      <alignment vertical="top" wrapText="1"/>
    </xf>
    <xf numFmtId="0" fontId="48" fillId="0" borderId="0" xfId="0" applyFont="1" applyAlignment="1">
      <alignment horizontal="left" vertical="top" wrapText="1"/>
    </xf>
    <xf numFmtId="6" fontId="56" fillId="0" borderId="0" xfId="569" applyNumberFormat="1" applyFont="1" applyAlignment="1">
      <alignment horizontal="right" vertical="top"/>
    </xf>
    <xf numFmtId="0" fontId="19" fillId="0" borderId="0" xfId="0" applyFont="1" applyAlignment="1">
      <alignment vertical="top" wrapText="1"/>
    </xf>
    <xf numFmtId="168" fontId="28" fillId="0" borderId="0" xfId="0" applyNumberFormat="1" applyFont="1" applyAlignment="1">
      <alignment horizontal="right"/>
    </xf>
    <xf numFmtId="168" fontId="28" fillId="0" borderId="28" xfId="540" applyNumberFormat="1" applyBorder="1" applyAlignment="1" applyProtection="1">
      <alignment horizontal="center"/>
    </xf>
    <xf numFmtId="168" fontId="28" fillId="0" borderId="29" xfId="540" applyNumberFormat="1" applyBorder="1" applyAlignment="1" applyProtection="1">
      <alignment horizontal="center"/>
    </xf>
    <xf numFmtId="168" fontId="28" fillId="0" borderId="30" xfId="540" applyNumberFormat="1" applyBorder="1" applyAlignment="1" applyProtection="1">
      <alignment horizontal="center"/>
    </xf>
    <xf numFmtId="168" fontId="28" fillId="0" borderId="31" xfId="540" applyNumberFormat="1" applyBorder="1" applyAlignment="1" applyProtection="1">
      <alignment horizontal="center"/>
    </xf>
    <xf numFmtId="168" fontId="28" fillId="0" borderId="32" xfId="540" applyNumberFormat="1" applyBorder="1" applyAlignment="1" applyProtection="1">
      <alignment horizontal="center"/>
    </xf>
    <xf numFmtId="168" fontId="28" fillId="0" borderId="33" xfId="540" applyNumberFormat="1" applyBorder="1" applyAlignment="1" applyProtection="1">
      <alignment horizontal="center"/>
    </xf>
    <xf numFmtId="168" fontId="28" fillId="0" borderId="34" xfId="540" applyNumberFormat="1" applyBorder="1" applyAlignment="1" applyProtection="1">
      <alignment horizontal="center"/>
    </xf>
    <xf numFmtId="168" fontId="28" fillId="0" borderId="35" xfId="540" applyNumberFormat="1" applyBorder="1" applyAlignment="1" applyProtection="1">
      <alignment horizontal="center"/>
    </xf>
    <xf numFmtId="168" fontId="28" fillId="0" borderId="36" xfId="540" applyNumberFormat="1" applyBorder="1" applyAlignment="1" applyProtection="1">
      <alignment horizontal="center"/>
    </xf>
    <xf numFmtId="168" fontId="28" fillId="0" borderId="37" xfId="540" applyNumberFormat="1" applyBorder="1" applyAlignment="1" applyProtection="1">
      <alignment horizontal="center"/>
    </xf>
    <xf numFmtId="168" fontId="28" fillId="0" borderId="38" xfId="540" applyNumberFormat="1" applyBorder="1" applyAlignment="1" applyProtection="1">
      <alignment horizontal="center"/>
    </xf>
    <xf numFmtId="168" fontId="28" fillId="0" borderId="39" xfId="540" applyNumberFormat="1" applyBorder="1" applyAlignment="1" applyProtection="1">
      <alignment horizontal="center"/>
    </xf>
    <xf numFmtId="168" fontId="28" fillId="0" borderId="40" xfId="540" applyNumberFormat="1" applyBorder="1" applyAlignment="1" applyProtection="1">
      <alignment horizontal="center"/>
    </xf>
    <xf numFmtId="168" fontId="28" fillId="0" borderId="0" xfId="540" applyNumberFormat="1" applyAlignment="1" applyProtection="1">
      <alignment horizontal="center"/>
    </xf>
    <xf numFmtId="168" fontId="28" fillId="0" borderId="14" xfId="540" applyNumberFormat="1" applyBorder="1" applyAlignment="1" applyProtection="1">
      <alignment horizontal="center"/>
    </xf>
    <xf numFmtId="168" fontId="28" fillId="0" borderId="41" xfId="540" applyNumberFormat="1" applyBorder="1" applyAlignment="1" applyProtection="1">
      <alignment horizontal="center"/>
    </xf>
    <xf numFmtId="168" fontId="28" fillId="0" borderId="42" xfId="540" applyNumberFormat="1" applyBorder="1" applyAlignment="1" applyProtection="1">
      <alignment horizontal="center"/>
    </xf>
    <xf numFmtId="168" fontId="28" fillId="0" borderId="43" xfId="540" applyNumberFormat="1" applyBorder="1" applyAlignment="1" applyProtection="1">
      <alignment horizontal="center"/>
    </xf>
    <xf numFmtId="168" fontId="28" fillId="0" borderId="44" xfId="540" applyNumberFormat="1" applyBorder="1" applyAlignment="1" applyProtection="1">
      <alignment horizontal="center"/>
    </xf>
    <xf numFmtId="0" fontId="19" fillId="0" borderId="0" xfId="1192"/>
    <xf numFmtId="0" fontId="19" fillId="0" borderId="0" xfId="0" applyFont="1" applyAlignment="1">
      <alignment wrapText="1"/>
    </xf>
    <xf numFmtId="0" fontId="48" fillId="0" borderId="0" xfId="0" applyFont="1" applyAlignment="1">
      <alignment horizontal="left" vertical="top"/>
    </xf>
    <xf numFmtId="0" fontId="48" fillId="0" borderId="0" xfId="0" applyFont="1" applyAlignment="1">
      <alignment vertical="top"/>
    </xf>
    <xf numFmtId="0" fontId="19" fillId="0" borderId="0" xfId="569" applyAlignment="1">
      <alignment horizontal="center"/>
    </xf>
    <xf numFmtId="0" fontId="37" fillId="0" borderId="0" xfId="569" applyFont="1" applyAlignment="1">
      <alignment horizontal="left"/>
    </xf>
    <xf numFmtId="0" fontId="37" fillId="0" borderId="0" xfId="569" applyFont="1" applyAlignment="1">
      <alignment horizontal="center"/>
    </xf>
    <xf numFmtId="49" fontId="26" fillId="0" borderId="0" xfId="569" applyNumberFormat="1" applyFont="1" applyAlignment="1">
      <alignment horizontal="center"/>
    </xf>
    <xf numFmtId="0" fontId="53" fillId="0" borderId="0" xfId="569" applyFont="1" applyAlignment="1">
      <alignment horizontal="center"/>
    </xf>
    <xf numFmtId="0" fontId="19" fillId="5" borderId="6" xfId="569" applyFill="1" applyBorder="1" applyProtection="1">
      <protection locked="0"/>
    </xf>
    <xf numFmtId="0" fontId="20" fillId="0" borderId="0" xfId="244" applyAlignment="1" applyProtection="1">
      <alignment horizontal="center"/>
    </xf>
    <xf numFmtId="49" fontId="19" fillId="0" borderId="0" xfId="569" applyNumberFormat="1" applyAlignment="1">
      <alignment horizontal="center"/>
    </xf>
    <xf numFmtId="0" fontId="19" fillId="0" borderId="0" xfId="569" applyAlignment="1">
      <alignment horizontal="center" vertical="center"/>
    </xf>
    <xf numFmtId="0" fontId="19" fillId="0" borderId="0" xfId="1192" applyAlignment="1">
      <alignment horizontal="center"/>
    </xf>
    <xf numFmtId="0" fontId="26" fillId="0" borderId="0" xfId="569" applyFont="1" applyAlignment="1">
      <alignment horizontal="center"/>
    </xf>
    <xf numFmtId="0" fontId="19" fillId="0" borderId="0" xfId="569" applyAlignment="1">
      <alignment horizontal="left" indent="4"/>
    </xf>
    <xf numFmtId="0" fontId="19" fillId="0" borderId="0" xfId="569" quotePrefix="1" applyAlignment="1">
      <alignment horizontal="left"/>
    </xf>
    <xf numFmtId="0" fontId="37" fillId="0" borderId="0" xfId="569" applyFont="1"/>
    <xf numFmtId="0" fontId="19" fillId="0" borderId="0" xfId="1192" applyAlignment="1" applyProtection="1">
      <alignment horizontal="left"/>
      <protection locked="0"/>
    </xf>
    <xf numFmtId="0" fontId="19" fillId="0" borderId="0" xfId="569" applyAlignment="1" applyProtection="1">
      <alignment horizontal="left"/>
      <protection locked="0"/>
    </xf>
    <xf numFmtId="49" fontId="19" fillId="0" borderId="0" xfId="1192" applyNumberFormat="1" applyAlignment="1">
      <alignment horizontal="center"/>
    </xf>
    <xf numFmtId="0" fontId="53" fillId="0" borderId="0" xfId="1192" applyFont="1" applyAlignment="1">
      <alignment horizontal="center"/>
    </xf>
    <xf numFmtId="0" fontId="26" fillId="0" borderId="0" xfId="1192" applyFont="1" applyAlignment="1">
      <alignment horizontal="left"/>
    </xf>
    <xf numFmtId="4" fontId="19" fillId="0" borderId="0" xfId="1192" applyNumberFormat="1" applyAlignment="1">
      <alignment horizontal="left"/>
    </xf>
    <xf numFmtId="0" fontId="26" fillId="0" borderId="0" xfId="569" quotePrefix="1" applyFont="1" applyAlignment="1">
      <alignment horizontal="center"/>
    </xf>
    <xf numFmtId="49" fontId="19" fillId="0" borderId="0" xfId="569" applyNumberFormat="1"/>
    <xf numFmtId="0" fontId="51" fillId="0" borderId="0" xfId="569" applyFont="1" applyAlignment="1">
      <alignment horizontal="left"/>
    </xf>
    <xf numFmtId="4" fontId="53" fillId="0" borderId="0" xfId="569" applyNumberFormat="1" applyFont="1" applyAlignment="1">
      <alignment horizontal="center"/>
    </xf>
    <xf numFmtId="4" fontId="19" fillId="0" borderId="0" xfId="569" applyNumberFormat="1" applyAlignment="1">
      <alignment horizontal="center"/>
    </xf>
    <xf numFmtId="4" fontId="19" fillId="0" borderId="0" xfId="569" applyNumberFormat="1"/>
    <xf numFmtId="0" fontId="49" fillId="0" borderId="0" xfId="569" applyFont="1" applyAlignment="1">
      <alignment horizontal="left"/>
    </xf>
    <xf numFmtId="0" fontId="20" fillId="0" borderId="0" xfId="244" applyNumberFormat="1" applyFill="1" applyAlignment="1" applyProtection="1">
      <alignment horizontal="left"/>
      <protection locked="0"/>
    </xf>
    <xf numFmtId="0" fontId="55" fillId="0" borderId="11" xfId="0" applyFont="1" applyBorder="1" applyAlignment="1" applyProtection="1">
      <alignment horizontal="right" vertical="top" wrapText="1"/>
      <protection locked="0"/>
    </xf>
    <xf numFmtId="168" fontId="58" fillId="44" borderId="11" xfId="0" applyNumberFormat="1" applyFont="1" applyFill="1" applyBorder="1" applyAlignment="1">
      <alignment vertical="top" wrapText="1"/>
    </xf>
    <xf numFmtId="0" fontId="19" fillId="0" borderId="11" xfId="271" applyFont="1" applyBorder="1" applyAlignment="1">
      <alignment horizontal="right" vertical="top" wrapText="1"/>
    </xf>
    <xf numFmtId="0" fontId="27" fillId="0" borderId="0" xfId="569" applyFont="1" applyAlignment="1">
      <alignment horizontal="left"/>
    </xf>
    <xf numFmtId="0" fontId="106" fillId="0" borderId="0" xfId="0" applyFont="1"/>
    <xf numFmtId="0" fontId="117" fillId="0" borderId="0" xfId="0" applyFont="1" applyAlignment="1">
      <alignment horizontal="left" vertical="top"/>
    </xf>
    <xf numFmtId="0" fontId="118" fillId="0" borderId="0" xfId="0" applyFont="1" applyAlignment="1">
      <alignment horizontal="left" vertical="top"/>
    </xf>
    <xf numFmtId="168" fontId="27" fillId="0" borderId="0" xfId="0" applyNumberFormat="1" applyFont="1" applyAlignment="1">
      <alignment horizontal="left" vertical="top" wrapText="1"/>
    </xf>
    <xf numFmtId="168" fontId="55" fillId="5" borderId="11" xfId="0" applyNumberFormat="1" applyFont="1" applyFill="1" applyBorder="1" applyAlignment="1">
      <alignment vertical="top" wrapText="1"/>
    </xf>
    <xf numFmtId="0" fontId="19" fillId="0" borderId="0" xfId="271" applyFont="1" applyAlignment="1">
      <alignment horizontal="left" vertical="top"/>
    </xf>
    <xf numFmtId="0" fontId="55" fillId="0" borderId="0" xfId="569" applyFont="1"/>
    <xf numFmtId="0" fontId="19" fillId="0" borderId="0" xfId="0" applyFont="1" applyAlignment="1">
      <alignment horizontal="left" vertical="top"/>
    </xf>
    <xf numFmtId="4" fontId="19" fillId="0" borderId="0" xfId="1192" applyNumberFormat="1" applyAlignment="1">
      <alignment vertical="top" wrapText="1"/>
    </xf>
    <xf numFmtId="0" fontId="26" fillId="0" borderId="16" xfId="271" applyFont="1" applyBorder="1"/>
    <xf numFmtId="0" fontId="62" fillId="0" borderId="0" xfId="569" applyFont="1"/>
    <xf numFmtId="0" fontId="43" fillId="0" borderId="0" xfId="569" applyFont="1"/>
    <xf numFmtId="0" fontId="19" fillId="0" borderId="0" xfId="1192" applyAlignment="1">
      <alignment vertical="top" wrapText="1"/>
    </xf>
    <xf numFmtId="49" fontId="19" fillId="0" borderId="0" xfId="1192" applyNumberFormat="1" applyAlignment="1">
      <alignment vertical="top" wrapText="1"/>
    </xf>
    <xf numFmtId="0" fontId="57" fillId="0" borderId="9" xfId="543" applyFont="1" applyBorder="1" applyAlignment="1">
      <alignment vertical="top"/>
    </xf>
    <xf numFmtId="0" fontId="19" fillId="0" borderId="0" xfId="0" applyFont="1" applyAlignment="1">
      <alignment vertical="center"/>
    </xf>
    <xf numFmtId="0" fontId="119" fillId="0" borderId="0" xfId="0" applyFont="1"/>
    <xf numFmtId="3" fontId="106" fillId="0" borderId="0" xfId="0" applyNumberFormat="1" applyFont="1"/>
    <xf numFmtId="0" fontId="106" fillId="0" borderId="0" xfId="0" applyFont="1" applyAlignment="1">
      <alignment horizontal="left"/>
    </xf>
    <xf numFmtId="168" fontId="120" fillId="0" borderId="0" xfId="0" applyNumberFormat="1" applyFont="1" applyAlignment="1">
      <alignment horizontal="left" vertical="top"/>
    </xf>
    <xf numFmtId="0" fontId="106" fillId="0" borderId="0" xfId="0" applyFont="1" applyAlignment="1">
      <alignment horizontal="left" vertical="center"/>
    </xf>
    <xf numFmtId="0" fontId="122" fillId="0" borderId="0" xfId="0" applyFont="1"/>
    <xf numFmtId="172" fontId="19" fillId="0" borderId="8" xfId="543" applyNumberFormat="1" applyBorder="1"/>
    <xf numFmtId="0" fontId="19" fillId="0" borderId="8" xfId="4495" applyFont="1" applyBorder="1"/>
    <xf numFmtId="0" fontId="19" fillId="0" borderId="0" xfId="4495" applyFont="1"/>
    <xf numFmtId="0" fontId="25" fillId="0" borderId="0" xfId="4495" applyFont="1" applyAlignment="1">
      <alignment horizontal="center" vertical="center"/>
    </xf>
    <xf numFmtId="0" fontId="26" fillId="0" borderId="0" xfId="4495" applyFont="1" applyAlignment="1">
      <alignment horizontal="left"/>
    </xf>
    <xf numFmtId="0" fontId="26" fillId="0" borderId="0" xfId="4495" applyFont="1"/>
    <xf numFmtId="0" fontId="29" fillId="0" borderId="0" xfId="4495" applyFont="1" applyAlignment="1">
      <alignment horizontal="center" vertical="center"/>
    </xf>
    <xf numFmtId="0" fontId="29" fillId="0" borderId="27" xfId="4495" applyFont="1" applyBorder="1" applyAlignment="1">
      <alignment horizontal="center" vertical="center"/>
    </xf>
    <xf numFmtId="0" fontId="29" fillId="0" borderId="46" xfId="4495" applyFont="1" applyBorder="1" applyAlignment="1">
      <alignment horizontal="center" vertical="center"/>
    </xf>
    <xf numFmtId="0" fontId="26" fillId="0" borderId="0" xfId="4495" applyFont="1" applyAlignment="1">
      <alignment horizontal="right"/>
    </xf>
    <xf numFmtId="0" fontId="19" fillId="0" borderId="0" xfId="1192" quotePrefix="1" applyAlignment="1">
      <alignment horizontal="center"/>
    </xf>
    <xf numFmtId="49" fontId="27" fillId="0" borderId="0" xfId="4495" applyNumberFormat="1" applyFont="1" applyAlignment="1">
      <alignment horizontal="left" vertical="top"/>
    </xf>
    <xf numFmtId="0" fontId="19" fillId="0" borderId="47" xfId="4495" applyFont="1" applyBorder="1" applyAlignment="1">
      <alignment horizontal="left" vertical="center"/>
    </xf>
    <xf numFmtId="0" fontId="29" fillId="0" borderId="48" xfId="4495" applyFont="1" applyBorder="1" applyAlignment="1">
      <alignment horizontal="center" vertical="center"/>
    </xf>
    <xf numFmtId="0" fontId="27" fillId="0" borderId="0" xfId="4495" applyFont="1"/>
    <xf numFmtId="0" fontId="27" fillId="0" borderId="0" xfId="4495" applyFont="1" applyAlignment="1">
      <alignment horizontal="left" vertical="top"/>
    </xf>
    <xf numFmtId="0" fontId="123" fillId="0" borderId="0" xfId="4496" applyFont="1" applyAlignment="1">
      <alignment horizontal="left" vertical="top" wrapText="1"/>
    </xf>
    <xf numFmtId="0" fontId="123" fillId="0" borderId="54" xfId="4496" applyFont="1" applyBorder="1" applyAlignment="1">
      <alignment horizontal="left" vertical="top" wrapText="1"/>
    </xf>
    <xf numFmtId="0" fontId="19" fillId="0" borderId="0" xfId="4495" applyFont="1" applyAlignment="1">
      <alignment horizontal="left" vertical="center"/>
    </xf>
    <xf numFmtId="0" fontId="124" fillId="0" borderId="0" xfId="4496" applyFont="1" applyAlignment="1">
      <alignment vertical="center"/>
    </xf>
    <xf numFmtId="0" fontId="123" fillId="0" borderId="0" xfId="4496" applyFont="1"/>
    <xf numFmtId="0" fontId="123" fillId="0" borderId="0" xfId="4496" applyFont="1" applyAlignment="1">
      <alignment vertical="center"/>
    </xf>
    <xf numFmtId="0" fontId="125" fillId="0" borderId="0" xfId="4496" applyFont="1" applyAlignment="1">
      <alignment vertical="center"/>
    </xf>
    <xf numFmtId="0" fontId="19" fillId="0" borderId="0" xfId="4496" applyFont="1" applyAlignment="1">
      <alignment vertical="center"/>
    </xf>
    <xf numFmtId="0" fontId="27" fillId="0" borderId="3" xfId="4495" applyFont="1" applyBorder="1" applyAlignment="1">
      <alignment vertical="top" wrapText="1"/>
    </xf>
    <xf numFmtId="0" fontId="27" fillId="0" borderId="4" xfId="4495" applyFont="1" applyBorder="1" applyAlignment="1">
      <alignment vertical="top" wrapText="1"/>
    </xf>
    <xf numFmtId="164" fontId="121" fillId="0" borderId="4" xfId="4495" applyNumberFormat="1" applyBorder="1" applyAlignment="1">
      <alignment horizontal="right"/>
    </xf>
    <xf numFmtId="0" fontId="27" fillId="0" borderId="4" xfId="4495" applyFont="1" applyBorder="1"/>
    <xf numFmtId="0" fontId="26" fillId="0" borderId="5" xfId="4495" applyFont="1" applyBorder="1" applyAlignment="1">
      <alignment horizontal="right"/>
    </xf>
    <xf numFmtId="0" fontId="19" fillId="0" borderId="16" xfId="4495" applyFont="1" applyBorder="1"/>
    <xf numFmtId="0" fontId="19" fillId="0" borderId="16" xfId="4495" applyFont="1" applyBorder="1" applyAlignment="1">
      <alignment horizontal="left" vertical="top"/>
    </xf>
    <xf numFmtId="0" fontId="27" fillId="0" borderId="16" xfId="4495" applyFont="1" applyBorder="1" applyAlignment="1">
      <alignment horizontal="left" vertical="top" wrapText="1"/>
    </xf>
    <xf numFmtId="0" fontId="27" fillId="0" borderId="45" xfId="4495" applyFont="1" applyBorder="1" applyAlignment="1">
      <alignment horizontal="left" vertical="top" wrapText="1"/>
    </xf>
    <xf numFmtId="0" fontId="121" fillId="0" borderId="0" xfId="4495"/>
    <xf numFmtId="0" fontId="20" fillId="0" borderId="0" xfId="244" applyFill="1" applyBorder="1" applyAlignment="1" applyProtection="1">
      <alignment horizontal="left" vertical="top"/>
    </xf>
    <xf numFmtId="0" fontId="20" fillId="0" borderId="0" xfId="244" applyFill="1" applyBorder="1" applyAlignment="1" applyProtection="1">
      <alignment horizontal="left" vertical="top" wrapText="1"/>
    </xf>
    <xf numFmtId="0" fontId="27" fillId="0" borderId="0" xfId="4495" applyFont="1" applyAlignment="1">
      <alignment horizontal="left" vertical="top" wrapText="1"/>
    </xf>
    <xf numFmtId="0" fontId="27" fillId="0" borderId="0" xfId="4495" applyFont="1" applyAlignment="1">
      <alignment horizontal="right" vertical="top"/>
    </xf>
    <xf numFmtId="0" fontId="19" fillId="0" borderId="0" xfId="4495" applyFont="1" applyAlignment="1">
      <alignment vertical="center" wrapText="1"/>
    </xf>
    <xf numFmtId="0" fontId="123" fillId="0" borderId="53" xfId="4496" applyFont="1" applyBorder="1" applyAlignment="1">
      <alignment vertical="top" wrapText="1"/>
    </xf>
    <xf numFmtId="0" fontId="123" fillId="0" borderId="0" xfId="4496" applyFont="1" applyAlignment="1">
      <alignment vertical="top" wrapText="1"/>
    </xf>
    <xf numFmtId="10" fontId="123" fillId="0" borderId="0" xfId="4496" applyNumberFormat="1" applyFont="1" applyAlignment="1">
      <alignment vertical="top" wrapText="1"/>
    </xf>
    <xf numFmtId="0" fontId="123" fillId="0" borderId="54" xfId="4496" applyFont="1" applyBorder="1" applyAlignment="1">
      <alignment vertical="top" wrapText="1"/>
    </xf>
    <xf numFmtId="0" fontId="123" fillId="0" borderId="0" xfId="4496" applyFont="1" applyAlignment="1">
      <alignment vertical="top"/>
    </xf>
    <xf numFmtId="165" fontId="123" fillId="0" borderId="0" xfId="4496" applyNumberFormat="1" applyFont="1" applyAlignment="1">
      <alignment vertical="top" wrapText="1"/>
    </xf>
    <xf numFmtId="0" fontId="26" fillId="0" borderId="57" xfId="4495" applyFont="1" applyBorder="1"/>
    <xf numFmtId="0" fontId="26" fillId="0" borderId="58" xfId="4495" applyFont="1" applyBorder="1"/>
    <xf numFmtId="0" fontId="26" fillId="0" borderId="58" xfId="4495" applyFont="1" applyBorder="1" applyAlignment="1">
      <alignment horizontal="right"/>
    </xf>
    <xf numFmtId="0" fontId="26" fillId="0" borderId="59" xfId="4495" applyFont="1" applyBorder="1" applyAlignment="1">
      <alignment horizontal="right"/>
    </xf>
    <xf numFmtId="0" fontId="123" fillId="0" borderId="53" xfId="4496" applyFont="1" applyBorder="1" applyAlignment="1">
      <alignment horizontal="left" vertical="top" wrapText="1"/>
    </xf>
    <xf numFmtId="0" fontId="123" fillId="0" borderId="0" xfId="4496" applyFont="1" applyAlignment="1">
      <alignment horizontal="left" vertical="top"/>
    </xf>
    <xf numFmtId="0" fontId="29" fillId="0" borderId="57" xfId="4495" applyFont="1" applyBorder="1" applyAlignment="1">
      <alignment horizontal="center" vertical="center"/>
    </xf>
    <xf numFmtId="0" fontId="29" fillId="0" borderId="58" xfId="4495" applyFont="1" applyBorder="1" applyAlignment="1">
      <alignment horizontal="center" vertical="center"/>
    </xf>
    <xf numFmtId="0" fontId="29" fillId="0" borderId="59" xfId="4495" applyFont="1" applyBorder="1" applyAlignment="1">
      <alignment horizontal="center" vertical="center"/>
    </xf>
    <xf numFmtId="0" fontId="26" fillId="0" borderId="0" xfId="4495" applyFont="1" applyAlignment="1">
      <alignment horizontal="center"/>
    </xf>
    <xf numFmtId="0" fontId="26" fillId="0" borderId="8" xfId="4495" applyFont="1" applyBorder="1"/>
    <xf numFmtId="0" fontId="27" fillId="0" borderId="0" xfId="4495" applyFont="1" applyAlignment="1">
      <alignment horizontal="left"/>
    </xf>
    <xf numFmtId="0" fontId="26" fillId="0" borderId="0" xfId="4495" applyFont="1" applyAlignment="1">
      <alignment horizontal="center" vertical="top"/>
    </xf>
    <xf numFmtId="0" fontId="19" fillId="0" borderId="0" xfId="4495" applyFont="1" applyAlignment="1">
      <alignment horizontal="center"/>
    </xf>
    <xf numFmtId="0" fontId="35" fillId="0" borderId="0" xfId="4495" applyFont="1"/>
    <xf numFmtId="0" fontId="27" fillId="0" borderId="8" xfId="4495" applyFont="1" applyBorder="1"/>
    <xf numFmtId="0" fontId="55" fillId="0" borderId="8" xfId="4495" applyFont="1" applyBorder="1"/>
    <xf numFmtId="1" fontId="19" fillId="0" borderId="0" xfId="1192" applyNumberFormat="1"/>
    <xf numFmtId="0" fontId="19" fillId="0" borderId="3" xfId="4495" applyFont="1" applyBorder="1"/>
    <xf numFmtId="0" fontId="19" fillId="0" borderId="4" xfId="4495" applyFont="1" applyBorder="1"/>
    <xf numFmtId="0" fontId="19" fillId="0" borderId="0" xfId="1192" applyAlignment="1">
      <alignment wrapText="1"/>
    </xf>
    <xf numFmtId="0" fontId="27" fillId="0" borderId="0" xfId="4495" applyFont="1" applyAlignment="1">
      <alignment vertical="top" wrapText="1"/>
    </xf>
    <xf numFmtId="0" fontId="27" fillId="0" borderId="0" xfId="1192" applyFont="1"/>
    <xf numFmtId="0" fontId="19" fillId="0" borderId="0" xfId="4495" applyFont="1" applyAlignment="1">
      <alignment horizontal="left"/>
    </xf>
    <xf numFmtId="0" fontId="27" fillId="0" borderId="3" xfId="4495" applyFont="1" applyBorder="1"/>
    <xf numFmtId="0" fontId="19" fillId="0" borderId="4" xfId="4495" applyFont="1" applyBorder="1" applyAlignment="1">
      <alignment horizontal="right"/>
    </xf>
    <xf numFmtId="1" fontId="19" fillId="0" borderId="0" xfId="4495" applyNumberFormat="1" applyFont="1" applyAlignment="1">
      <alignment horizontal="center"/>
    </xf>
    <xf numFmtId="0" fontId="55" fillId="0" borderId="0" xfId="4495" applyFont="1"/>
    <xf numFmtId="0" fontId="19" fillId="0" borderId="0" xfId="4495" applyFont="1" applyAlignment="1">
      <alignment horizontal="right"/>
    </xf>
    <xf numFmtId="0" fontId="27" fillId="0" borderId="0" xfId="4495" applyFont="1" applyAlignment="1">
      <alignment vertical="top"/>
    </xf>
    <xf numFmtId="0" fontId="27" fillId="0" borderId="27" xfId="4495" applyFont="1" applyBorder="1"/>
    <xf numFmtId="0" fontId="26" fillId="0" borderId="0" xfId="4495" applyFont="1" applyAlignment="1">
      <alignment vertical="top"/>
    </xf>
    <xf numFmtId="0" fontId="37" fillId="0" borderId="0" xfId="4495" applyFont="1" applyAlignment="1">
      <alignment vertical="top" wrapText="1"/>
    </xf>
    <xf numFmtId="0" fontId="26" fillId="0" borderId="0" xfId="4495" applyFont="1" applyAlignment="1">
      <alignment horizontal="left" vertical="top" wrapText="1"/>
    </xf>
    <xf numFmtId="0" fontId="19" fillId="0" borderId="0" xfId="4495" applyFont="1" applyAlignment="1">
      <alignment horizontal="left" vertical="top"/>
    </xf>
    <xf numFmtId="0" fontId="37" fillId="0" borderId="0" xfId="4495" applyFont="1" applyAlignment="1">
      <alignment vertical="top"/>
    </xf>
    <xf numFmtId="0" fontId="19" fillId="0" borderId="10" xfId="4495" applyFont="1" applyBorder="1" applyAlignment="1">
      <alignment horizontal="center"/>
    </xf>
    <xf numFmtId="0" fontId="19" fillId="0" borderId="16" xfId="4495" applyFont="1" applyBorder="1" applyAlignment="1">
      <alignment horizontal="center"/>
    </xf>
    <xf numFmtId="0" fontId="35" fillId="0" borderId="16" xfId="4495" applyFont="1" applyBorder="1"/>
    <xf numFmtId="0" fontId="27" fillId="0" borderId="16" xfId="4495" applyFont="1" applyBorder="1"/>
    <xf numFmtId="0" fontId="19" fillId="0" borderId="0" xfId="4496" applyFont="1" applyAlignment="1">
      <alignment vertical="top" wrapText="1"/>
    </xf>
    <xf numFmtId="0" fontId="26" fillId="0" borderId="0" xfId="1192" applyFont="1" applyAlignment="1">
      <alignment horizontal="right"/>
    </xf>
    <xf numFmtId="0" fontId="19" fillId="0" borderId="0" xfId="4496" applyFont="1"/>
    <xf numFmtId="0" fontId="19" fillId="0" borderId="0" xfId="4496" applyFont="1" applyAlignment="1">
      <alignment horizontal="left"/>
    </xf>
    <xf numFmtId="0" fontId="19" fillId="0" borderId="0" xfId="4496" applyFont="1" applyAlignment="1">
      <alignment horizontal="right"/>
    </xf>
    <xf numFmtId="0" fontId="27" fillId="0" borderId="0" xfId="4496" applyFont="1" applyAlignment="1">
      <alignment vertical="top" wrapText="1"/>
    </xf>
    <xf numFmtId="0" fontId="19" fillId="0" borderId="4" xfId="4496" applyFont="1" applyBorder="1"/>
    <xf numFmtId="0" fontId="26" fillId="0" borderId="4" xfId="4496" applyFont="1" applyBorder="1" applyAlignment="1">
      <alignment horizontal="right"/>
    </xf>
    <xf numFmtId="0" fontId="27" fillId="0" borderId="27" xfId="4495" applyFont="1" applyBorder="1" applyAlignment="1">
      <alignment horizontal="left" vertical="top"/>
    </xf>
    <xf numFmtId="0" fontId="19" fillId="0" borderId="27" xfId="4495" applyFont="1" applyBorder="1" applyAlignment="1">
      <alignment horizontal="left" vertical="top"/>
    </xf>
    <xf numFmtId="0" fontId="26" fillId="0" borderId="27" xfId="4495" applyFont="1" applyBorder="1" applyAlignment="1">
      <alignment horizontal="right"/>
    </xf>
    <xf numFmtId="0" fontId="19" fillId="0" borderId="27" xfId="4495" applyFont="1" applyBorder="1" applyAlignment="1">
      <alignment horizontal="center"/>
    </xf>
    <xf numFmtId="0" fontId="19" fillId="0" borderId="46" xfId="4495" applyFont="1" applyBorder="1" applyAlignment="1">
      <alignment horizontal="center"/>
    </xf>
    <xf numFmtId="164" fontId="27" fillId="0" borderId="0" xfId="4495" applyNumberFormat="1" applyFont="1" applyAlignment="1">
      <alignment horizontal="left" vertical="top" wrapText="1"/>
    </xf>
    <xf numFmtId="0" fontId="30" fillId="0" borderId="0" xfId="4495" applyFont="1"/>
    <xf numFmtId="0" fontId="27" fillId="0" borderId="0" xfId="4495" applyFont="1" applyAlignment="1">
      <alignment horizontal="right"/>
    </xf>
    <xf numFmtId="0" fontId="19" fillId="0" borderId="27" xfId="543" applyBorder="1"/>
    <xf numFmtId="0" fontId="19" fillId="0" borderId="46" xfId="543" applyBorder="1"/>
    <xf numFmtId="0" fontId="26" fillId="0" borderId="0" xfId="4495" applyFont="1" applyAlignment="1">
      <alignment horizontal="left" vertical="top"/>
    </xf>
    <xf numFmtId="1" fontId="121" fillId="0" borderId="0" xfId="4495" applyNumberFormat="1"/>
    <xf numFmtId="0" fontId="19" fillId="0" borderId="0" xfId="4495" applyFont="1" applyAlignment="1">
      <alignment vertical="top" wrapText="1"/>
    </xf>
    <xf numFmtId="0" fontId="19" fillId="0" borderId="0" xfId="4495" applyFont="1" applyAlignment="1">
      <alignment horizontal="left" vertical="top" wrapText="1"/>
    </xf>
    <xf numFmtId="0" fontId="19" fillId="0" borderId="50" xfId="4495" applyFont="1" applyBorder="1" applyAlignment="1">
      <alignment vertical="top"/>
    </xf>
    <xf numFmtId="1" fontId="27" fillId="0" borderId="8" xfId="4495" applyNumberFormat="1" applyFont="1" applyBorder="1"/>
    <xf numFmtId="0" fontId="19" fillId="0" borderId="0" xfId="543" applyAlignment="1">
      <alignment vertical="top"/>
    </xf>
    <xf numFmtId="0" fontId="27" fillId="0" borderId="51" xfId="4495" applyFont="1" applyBorder="1" applyAlignment="1">
      <alignment horizontal="left" vertical="top"/>
    </xf>
    <xf numFmtId="0" fontId="27" fillId="0" borderId="52" xfId="4495" applyFont="1" applyBorder="1" applyAlignment="1">
      <alignment horizontal="left" vertical="top"/>
    </xf>
    <xf numFmtId="0" fontId="121" fillId="0" borderId="0" xfId="4495" applyAlignment="1" applyProtection="1">
      <alignment horizontal="center"/>
      <protection locked="0"/>
    </xf>
    <xf numFmtId="0" fontId="19" fillId="0" borderId="53" xfId="4495" applyFont="1" applyBorder="1" applyAlignment="1">
      <alignment vertical="top"/>
    </xf>
    <xf numFmtId="0" fontId="19" fillId="0" borderId="54" xfId="4495" applyFont="1" applyBorder="1" applyAlignment="1">
      <alignment vertical="top" wrapText="1"/>
    </xf>
    <xf numFmtId="0" fontId="63" fillId="0" borderId="53" xfId="4495" applyFont="1" applyBorder="1"/>
    <xf numFmtId="0" fontId="27" fillId="0" borderId="54" xfId="4495" applyFont="1" applyBorder="1" applyAlignment="1">
      <alignment horizontal="left" vertical="top"/>
    </xf>
    <xf numFmtId="0" fontId="19" fillId="0" borderId="53" xfId="4495" applyFont="1" applyBorder="1" applyAlignment="1">
      <alignment vertical="center" wrapText="1"/>
    </xf>
    <xf numFmtId="0" fontId="63" fillId="0" borderId="57" xfId="4495" applyFont="1" applyBorder="1"/>
    <xf numFmtId="0" fontId="27" fillId="0" borderId="58" xfId="4495" applyFont="1" applyBorder="1" applyAlignment="1">
      <alignment horizontal="left" vertical="top"/>
    </xf>
    <xf numFmtId="0" fontId="27" fillId="0" borderId="12" xfId="4495" applyFont="1" applyBorder="1"/>
    <xf numFmtId="0" fontId="19" fillId="0" borderId="57" xfId="4495" applyFont="1" applyBorder="1" applyAlignment="1">
      <alignment vertical="center"/>
    </xf>
    <xf numFmtId="0" fontId="19" fillId="0" borderId="58" xfId="4495" applyFont="1" applyBorder="1" applyAlignment="1">
      <alignment vertical="top"/>
    </xf>
    <xf numFmtId="0" fontId="19" fillId="0" borderId="59" xfId="4495" applyFont="1" applyBorder="1" applyAlignment="1">
      <alignment vertical="top"/>
    </xf>
    <xf numFmtId="0" fontId="19" fillId="0" borderId="0" xfId="4495" applyFont="1" applyAlignment="1">
      <alignment vertical="top"/>
    </xf>
    <xf numFmtId="0" fontId="27" fillId="0" borderId="4" xfId="4495" applyFont="1" applyBorder="1" applyAlignment="1">
      <alignment horizontal="left" vertical="top"/>
    </xf>
    <xf numFmtId="0" fontId="19" fillId="0" borderId="4" xfId="4495" applyFont="1" applyBorder="1" applyAlignment="1">
      <alignment horizontal="left" vertical="top"/>
    </xf>
    <xf numFmtId="0" fontId="19" fillId="0" borderId="2" xfId="4495" applyFont="1" applyBorder="1"/>
    <xf numFmtId="0" fontId="27" fillId="0" borderId="2" xfId="4495" applyFont="1" applyBorder="1"/>
    <xf numFmtId="0" fontId="19" fillId="0" borderId="2" xfId="4495" applyFont="1" applyBorder="1" applyAlignment="1">
      <alignment horizontal="center"/>
    </xf>
    <xf numFmtId="0" fontId="27" fillId="0" borderId="7" xfId="4495" applyFont="1" applyBorder="1"/>
    <xf numFmtId="0" fontId="35" fillId="0" borderId="0" xfId="4495" applyFont="1" applyAlignment="1">
      <alignment horizontal="right"/>
    </xf>
    <xf numFmtId="0" fontId="126" fillId="0" borderId="0" xfId="4495" applyFont="1" applyAlignment="1">
      <alignment horizontal="left" vertical="top" wrapText="1"/>
    </xf>
    <xf numFmtId="0" fontId="35" fillId="0" borderId="0" xfId="4495" applyFont="1" applyAlignment="1">
      <alignment horizontal="left" vertical="top"/>
    </xf>
    <xf numFmtId="0" fontId="27" fillId="0" borderId="0" xfId="4495" quotePrefix="1" applyFont="1" applyAlignment="1">
      <alignment horizontal="right"/>
    </xf>
    <xf numFmtId="0" fontId="19" fillId="0" borderId="0" xfId="4497"/>
    <xf numFmtId="0" fontId="27" fillId="0" borderId="0" xfId="4495" applyFont="1" applyAlignment="1">
      <alignment horizontal="left" vertical="top" wrapText="1" shrinkToFit="1"/>
    </xf>
    <xf numFmtId="0" fontId="121" fillId="0" borderId="0" xfId="4495" applyAlignment="1">
      <alignment vertical="top" wrapText="1"/>
    </xf>
    <xf numFmtId="0" fontId="27" fillId="0" borderId="4" xfId="4495" applyFont="1" applyBorder="1" applyAlignment="1">
      <alignment horizontal="left" vertical="top" wrapText="1" shrinkToFit="1"/>
    </xf>
    <xf numFmtId="0" fontId="35" fillId="0" borderId="8" xfId="4495" applyFont="1" applyBorder="1"/>
    <xf numFmtId="0" fontId="27" fillId="0" borderId="0" xfId="4495" applyFont="1" applyAlignment="1">
      <alignment horizontal="center"/>
    </xf>
    <xf numFmtId="0" fontId="27" fillId="0" borderId="0" xfId="4495" quotePrefix="1" applyFont="1"/>
    <xf numFmtId="0" fontId="27" fillId="0" borderId="0" xfId="4495" applyFont="1" applyAlignment="1">
      <alignment horizontal="left" vertical="top" shrinkToFit="1"/>
    </xf>
    <xf numFmtId="0" fontId="49" fillId="0" borderId="0" xfId="4495" applyFont="1"/>
    <xf numFmtId="0" fontId="27" fillId="0" borderId="3" xfId="4495" applyFont="1" applyBorder="1" applyAlignment="1">
      <alignment horizontal="center"/>
    </xf>
    <xf numFmtId="0" fontId="121" fillId="0" borderId="8" xfId="4495" applyBorder="1"/>
    <xf numFmtId="0" fontId="26" fillId="0" borderId="8" xfId="4495" applyFont="1" applyBorder="1" applyAlignment="1">
      <alignment vertical="top"/>
    </xf>
    <xf numFmtId="0" fontId="121" fillId="0" borderId="0" xfId="4495" applyAlignment="1">
      <alignment vertical="top"/>
    </xf>
    <xf numFmtId="0" fontId="26" fillId="0" borderId="4" xfId="4495" applyFont="1" applyBorder="1" applyAlignment="1">
      <alignment horizontal="center" vertical="top"/>
    </xf>
    <xf numFmtId="0" fontId="126" fillId="0" borderId="0" xfId="4495" applyFont="1" applyAlignment="1">
      <alignment horizontal="left" vertical="top"/>
    </xf>
    <xf numFmtId="0" fontId="126" fillId="0" borderId="4" xfId="4495" applyFont="1" applyBorder="1" applyAlignment="1">
      <alignment horizontal="left" vertical="top"/>
    </xf>
    <xf numFmtId="168" fontId="19" fillId="0" borderId="0" xfId="4497" applyNumberFormat="1"/>
    <xf numFmtId="1" fontId="27" fillId="0" borderId="0" xfId="4495" applyNumberFormat="1" applyFont="1" applyAlignment="1">
      <alignment horizontal="center" vertical="top"/>
    </xf>
    <xf numFmtId="0" fontId="130" fillId="0" borderId="0" xfId="4495" applyFont="1" applyAlignment="1">
      <alignment vertical="top" wrapText="1"/>
    </xf>
    <xf numFmtId="0" fontId="130" fillId="0" borderId="0" xfId="4495" applyFont="1" applyAlignment="1">
      <alignment horizontal="left" vertical="top" wrapText="1"/>
    </xf>
    <xf numFmtId="0" fontId="27" fillId="0" borderId="6" xfId="4495" applyFont="1" applyBorder="1"/>
    <xf numFmtId="1" fontId="27" fillId="0" borderId="8" xfId="4495" applyNumberFormat="1" applyFont="1" applyBorder="1" applyAlignment="1">
      <alignment horizontal="center" vertical="top"/>
    </xf>
    <xf numFmtId="0" fontId="121" fillId="0" borderId="12" xfId="4495" applyBorder="1"/>
    <xf numFmtId="0" fontId="27" fillId="0" borderId="9" xfId="4495" applyFont="1" applyBorder="1"/>
    <xf numFmtId="0" fontId="121" fillId="0" borderId="10" xfId="4495" applyBorder="1"/>
    <xf numFmtId="0" fontId="35" fillId="0" borderId="3" xfId="4495" applyFont="1" applyBorder="1"/>
    <xf numFmtId="0" fontId="26" fillId="0" borderId="4" xfId="4495" applyFont="1" applyBorder="1"/>
    <xf numFmtId="0" fontId="121" fillId="0" borderId="12" xfId="4495" applyBorder="1" applyAlignment="1">
      <alignment vertical="top"/>
    </xf>
    <xf numFmtId="0" fontId="35" fillId="0" borderId="1" xfId="4495" applyFont="1" applyBorder="1"/>
    <xf numFmtId="0" fontId="130" fillId="0" borderId="2" xfId="4495" applyFont="1" applyBorder="1" applyAlignment="1">
      <alignment horizontal="left" wrapText="1"/>
    </xf>
    <xf numFmtId="0" fontId="130" fillId="0" borderId="2" xfId="4495" applyFont="1" applyBorder="1" applyAlignment="1">
      <alignment horizontal="left"/>
    </xf>
    <xf numFmtId="0" fontId="130" fillId="0" borderId="7" xfId="4495" applyFont="1" applyBorder="1" applyAlignment="1">
      <alignment horizontal="left" wrapText="1"/>
    </xf>
    <xf numFmtId="0" fontId="130" fillId="0" borderId="0" xfId="4495" applyFont="1" applyAlignment="1">
      <alignment horizontal="left" wrapText="1"/>
    </xf>
    <xf numFmtId="0" fontId="35" fillId="0" borderId="9" xfId="4495" applyFont="1" applyBorder="1"/>
    <xf numFmtId="0" fontId="27" fillId="0" borderId="10" xfId="4495" applyFont="1" applyBorder="1"/>
    <xf numFmtId="0" fontId="130" fillId="0" borderId="0" xfId="4495" applyFont="1" applyAlignment="1">
      <alignment wrapText="1"/>
    </xf>
    <xf numFmtId="0" fontId="35" fillId="0" borderId="9" xfId="4495" applyFont="1" applyBorder="1" applyAlignment="1">
      <alignment horizontal="center"/>
    </xf>
    <xf numFmtId="0" fontId="26" fillId="0" borderId="10" xfId="4495" applyFont="1" applyBorder="1"/>
    <xf numFmtId="0" fontId="37" fillId="0" borderId="0" xfId="4495" applyFont="1"/>
    <xf numFmtId="0" fontId="27" fillId="0" borderId="50" xfId="4495" applyFont="1" applyBorder="1"/>
    <xf numFmtId="0" fontId="27" fillId="0" borderId="51" xfId="4495" applyFont="1" applyBorder="1"/>
    <xf numFmtId="1" fontId="27" fillId="0" borderId="51" xfId="4495" quotePrefix="1" applyNumberFormat="1" applyFont="1" applyBorder="1" applyAlignment="1">
      <alignment horizontal="center" vertical="top"/>
    </xf>
    <xf numFmtId="0" fontId="26" fillId="0" borderId="51" xfId="4495" applyFont="1" applyBorder="1"/>
    <xf numFmtId="0" fontId="26" fillId="0" borderId="52" xfId="4495" applyFont="1" applyBorder="1" applyAlignment="1">
      <alignment horizontal="center"/>
    </xf>
    <xf numFmtId="0" fontId="19" fillId="0" borderId="53" xfId="4495" applyFont="1" applyBorder="1"/>
    <xf numFmtId="1" fontId="27" fillId="0" borderId="0" xfId="4495" quotePrefix="1" applyNumberFormat="1" applyFont="1" applyAlignment="1">
      <alignment horizontal="center" vertical="top"/>
    </xf>
    <xf numFmtId="0" fontId="26" fillId="0" borderId="54" xfId="4495" applyFont="1" applyBorder="1" applyAlignment="1">
      <alignment horizontal="center"/>
    </xf>
    <xf numFmtId="0" fontId="35" fillId="0" borderId="0" xfId="4495" applyFont="1" applyAlignment="1">
      <alignment vertical="top"/>
    </xf>
    <xf numFmtId="0" fontId="27" fillId="0" borderId="61" xfId="4495" applyFont="1" applyBorder="1"/>
    <xf numFmtId="0" fontId="121" fillId="0" borderId="58" xfId="4495" applyBorder="1" applyAlignment="1">
      <alignment horizontal="center"/>
    </xf>
    <xf numFmtId="1" fontId="27" fillId="0" borderId="58" xfId="4495" quotePrefix="1" applyNumberFormat="1" applyFont="1" applyBorder="1" applyAlignment="1">
      <alignment horizontal="center" vertical="top"/>
    </xf>
    <xf numFmtId="0" fontId="35" fillId="0" borderId="58" xfId="4495" applyFont="1" applyBorder="1" applyAlignment="1">
      <alignment vertical="top"/>
    </xf>
    <xf numFmtId="0" fontId="27" fillId="0" borderId="58" xfId="4495" applyFont="1" applyBorder="1" applyAlignment="1">
      <alignment vertical="top" wrapText="1"/>
    </xf>
    <xf numFmtId="0" fontId="27" fillId="0" borderId="58" xfId="4495" applyFont="1" applyBorder="1"/>
    <xf numFmtId="0" fontId="26" fillId="0" borderId="58" xfId="4495" applyFont="1" applyBorder="1" applyAlignment="1">
      <alignment horizontal="center"/>
    </xf>
    <xf numFmtId="0" fontId="121" fillId="0" borderId="61" xfId="4495" applyBorder="1"/>
    <xf numFmtId="0" fontId="121" fillId="0" borderId="0" xfId="4495" applyAlignment="1">
      <alignment horizontal="center"/>
    </xf>
    <xf numFmtId="0" fontId="19" fillId="0" borderId="53" xfId="543" applyBorder="1"/>
    <xf numFmtId="0" fontId="27" fillId="0" borderId="54" xfId="4495" applyFont="1" applyBorder="1"/>
    <xf numFmtId="0" fontId="19" fillId="0" borderId="58" xfId="543" applyBorder="1"/>
    <xf numFmtId="1" fontId="27" fillId="0" borderId="58" xfId="4495" applyNumberFormat="1" applyFont="1" applyBorder="1" applyAlignment="1">
      <alignment horizontal="center" vertical="top"/>
    </xf>
    <xf numFmtId="0" fontId="35" fillId="0" borderId="58" xfId="4495" applyFont="1" applyBorder="1" applyAlignment="1">
      <alignment vertical="center"/>
    </xf>
    <xf numFmtId="0" fontId="121" fillId="0" borderId="58" xfId="4495" applyBorder="1" applyAlignment="1">
      <alignment vertical="top" wrapText="1"/>
    </xf>
    <xf numFmtId="0" fontId="19" fillId="0" borderId="58" xfId="4495" applyFont="1" applyBorder="1"/>
    <xf numFmtId="0" fontId="35" fillId="0" borderId="0" xfId="4495" applyFont="1" applyAlignment="1">
      <alignment vertical="center"/>
    </xf>
    <xf numFmtId="0" fontId="27" fillId="0" borderId="53" xfId="4495" applyFont="1" applyBorder="1"/>
    <xf numFmtId="0" fontId="19" fillId="0" borderId="57" xfId="543" applyBorder="1"/>
    <xf numFmtId="0" fontId="27" fillId="0" borderId="58" xfId="4495" applyFont="1" applyBorder="1" applyAlignment="1">
      <alignment vertical="top"/>
    </xf>
    <xf numFmtId="0" fontId="27" fillId="0" borderId="59" xfId="4495" applyFont="1" applyBorder="1"/>
    <xf numFmtId="0" fontId="27" fillId="0" borderId="57" xfId="4495" applyFont="1" applyBorder="1"/>
    <xf numFmtId="0" fontId="19" fillId="0" borderId="51" xfId="4495" applyFont="1" applyBorder="1"/>
    <xf numFmtId="0" fontId="27" fillId="0" borderId="52" xfId="4495" applyFont="1" applyBorder="1"/>
    <xf numFmtId="0" fontId="19" fillId="0" borderId="50" xfId="543" applyBorder="1"/>
    <xf numFmtId="0" fontId="19" fillId="0" borderId="51" xfId="543" applyBorder="1"/>
    <xf numFmtId="0" fontId="19" fillId="0" borderId="52" xfId="543" applyBorder="1"/>
    <xf numFmtId="0" fontId="27" fillId="0" borderId="0" xfId="4495" applyFont="1" applyAlignment="1">
      <alignment wrapText="1"/>
    </xf>
    <xf numFmtId="0" fontId="26" fillId="0" borderId="54" xfId="4495" applyFont="1" applyBorder="1" applyAlignment="1">
      <alignment horizontal="center" vertical="top"/>
    </xf>
    <xf numFmtId="0" fontId="121" fillId="0" borderId="53" xfId="4495" applyBorder="1" applyAlignment="1">
      <alignment horizontal="center"/>
    </xf>
    <xf numFmtId="2" fontId="27" fillId="0" borderId="0" xfId="4495" applyNumberFormat="1" applyFont="1" applyAlignment="1">
      <alignment horizontal="right"/>
    </xf>
    <xf numFmtId="2" fontId="27" fillId="0" borderId="8" xfId="4495" applyNumberFormat="1" applyFont="1" applyBorder="1" applyAlignment="1">
      <alignment horizontal="left"/>
    </xf>
    <xf numFmtId="0" fontId="27" fillId="0" borderId="8" xfId="4495" applyFont="1" applyBorder="1" applyAlignment="1">
      <alignment horizontal="right"/>
    </xf>
    <xf numFmtId="0" fontId="129" fillId="0" borderId="0" xfId="4495" applyFont="1"/>
    <xf numFmtId="0" fontId="121" fillId="0" borderId="57" xfId="4495" applyBorder="1" applyAlignment="1">
      <alignment horizontal="center"/>
    </xf>
    <xf numFmtId="0" fontId="26" fillId="0" borderId="59" xfId="4495" applyFont="1" applyBorder="1" applyAlignment="1">
      <alignment horizontal="center"/>
    </xf>
    <xf numFmtId="9" fontId="27" fillId="0" borderId="0" xfId="4495" applyNumberFormat="1" applyFont="1" applyAlignment="1">
      <alignment horizontal="left"/>
    </xf>
    <xf numFmtId="0" fontId="19" fillId="0" borderId="17" xfId="543" applyBorder="1"/>
    <xf numFmtId="0" fontId="19" fillId="0" borderId="16" xfId="543" applyBorder="1"/>
    <xf numFmtId="0" fontId="19" fillId="0" borderId="51" xfId="4495" quotePrefix="1" applyFont="1" applyBorder="1" applyAlignment="1">
      <alignment horizontal="center" vertical="top"/>
    </xf>
    <xf numFmtId="0" fontId="27" fillId="0" borderId="53" xfId="4495" applyFont="1" applyBorder="1" applyAlignment="1">
      <alignment horizontal="left" vertical="top"/>
    </xf>
    <xf numFmtId="0" fontId="27" fillId="0" borderId="0" xfId="4495" applyFont="1" applyAlignment="1">
      <alignment horizontal="center" vertical="top"/>
    </xf>
    <xf numFmtId="0" fontId="27" fillId="0" borderId="57" xfId="4495" applyFont="1" applyBorder="1" applyAlignment="1">
      <alignment horizontal="left" vertical="top"/>
    </xf>
    <xf numFmtId="0" fontId="27" fillId="0" borderId="58" xfId="4495" applyFont="1" applyBorder="1" applyAlignment="1">
      <alignment horizontal="center" vertical="top"/>
    </xf>
    <xf numFmtId="0" fontId="121" fillId="0" borderId="58" xfId="4495" applyBorder="1"/>
    <xf numFmtId="0" fontId="26" fillId="0" borderId="58" xfId="4495" applyFont="1" applyBorder="1" applyAlignment="1">
      <alignment vertical="top"/>
    </xf>
    <xf numFmtId="0" fontId="26" fillId="0" borderId="58" xfId="4495" applyFont="1" applyBorder="1" applyAlignment="1">
      <alignment horizontal="left" vertical="top"/>
    </xf>
    <xf numFmtId="0" fontId="26" fillId="0" borderId="51" xfId="4495" applyFont="1" applyBorder="1" applyAlignment="1">
      <alignment horizontal="left" vertical="top"/>
    </xf>
    <xf numFmtId="0" fontId="26" fillId="0" borderId="53" xfId="4495" applyFont="1" applyBorder="1" applyAlignment="1">
      <alignment horizontal="left" vertical="top"/>
    </xf>
    <xf numFmtId="0" fontId="55" fillId="0" borderId="0" xfId="4495" applyFont="1" applyAlignment="1">
      <alignment horizontal="left" vertical="top"/>
    </xf>
    <xf numFmtId="0" fontId="27" fillId="0" borderId="0" xfId="4495" quotePrefix="1" applyFont="1" applyAlignment="1">
      <alignment horizontal="center" vertical="top"/>
    </xf>
    <xf numFmtId="0" fontId="56" fillId="0" borderId="0" xfId="4495" applyFont="1" applyAlignment="1">
      <alignment horizontal="center"/>
    </xf>
    <xf numFmtId="0" fontId="56" fillId="0" borderId="0" xfId="4495" applyFont="1" applyAlignment="1">
      <alignment vertical="top"/>
    </xf>
    <xf numFmtId="0" fontId="108" fillId="0" borderId="0" xfId="4495" applyFont="1"/>
    <xf numFmtId="0" fontId="55" fillId="0" borderId="0" xfId="4495" applyFont="1" applyAlignment="1">
      <alignment vertical="top"/>
    </xf>
    <xf numFmtId="0" fontId="35" fillId="0" borderId="53" xfId="4495" applyFont="1" applyBorder="1"/>
    <xf numFmtId="2" fontId="27" fillId="0" borderId="8" xfId="4495" applyNumberFormat="1" applyFont="1" applyBorder="1" applyAlignment="1">
      <alignment horizontal="right"/>
    </xf>
    <xf numFmtId="0" fontId="26" fillId="0" borderId="50" xfId="4495" applyFont="1" applyBorder="1" applyAlignment="1">
      <alignment horizontal="left" vertical="top"/>
    </xf>
    <xf numFmtId="0" fontId="55" fillId="0" borderId="51" xfId="4495" applyFont="1" applyBorder="1" applyAlignment="1">
      <alignment horizontal="left" vertical="top"/>
    </xf>
    <xf numFmtId="0" fontId="121" fillId="0" borderId="53" xfId="4495" applyBorder="1"/>
    <xf numFmtId="0" fontId="108" fillId="0" borderId="0" xfId="4495" applyFont="1" applyAlignment="1">
      <alignment horizontal="left" vertical="top"/>
    </xf>
    <xf numFmtId="1" fontId="26" fillId="0" borderId="58" xfId="4495" applyNumberFormat="1" applyFont="1" applyBorder="1" applyAlignment="1">
      <alignment vertical="top"/>
    </xf>
    <xf numFmtId="172" fontId="26" fillId="0" borderId="8" xfId="543" applyNumberFormat="1" applyFont="1" applyBorder="1"/>
    <xf numFmtId="172" fontId="26" fillId="0" borderId="0" xfId="543" applyNumberFormat="1" applyFont="1"/>
    <xf numFmtId="0" fontId="35" fillId="0" borderId="0" xfId="4495" applyFont="1" applyAlignment="1">
      <alignment wrapText="1"/>
    </xf>
    <xf numFmtId="0" fontId="35" fillId="0" borderId="0" xfId="4495" applyFont="1" applyAlignment="1">
      <alignment horizontal="center"/>
    </xf>
    <xf numFmtId="0" fontId="35" fillId="0" borderId="0" xfId="4495" applyFont="1" applyAlignment="1">
      <alignment vertical="center" wrapText="1"/>
    </xf>
    <xf numFmtId="180" fontId="27" fillId="0" borderId="0" xfId="4495" applyNumberFormat="1" applyFont="1" applyAlignment="1">
      <alignment horizontal="center"/>
    </xf>
    <xf numFmtId="1" fontId="27" fillId="0" borderId="0" xfId="4495" applyNumberFormat="1" applyFont="1" applyAlignment="1">
      <alignment horizontal="center"/>
    </xf>
    <xf numFmtId="0" fontId="26" fillId="0" borderId="51" xfId="4495" applyFont="1" applyBorder="1" applyAlignment="1">
      <alignment horizontal="center"/>
    </xf>
    <xf numFmtId="0" fontId="26" fillId="0" borderId="51" xfId="4495" applyFont="1" applyBorder="1" applyAlignment="1">
      <alignment vertical="top"/>
    </xf>
    <xf numFmtId="0" fontId="26" fillId="0" borderId="53" xfId="4495" applyFont="1" applyBorder="1"/>
    <xf numFmtId="0" fontId="19" fillId="0" borderId="54" xfId="543" applyBorder="1"/>
    <xf numFmtId="49" fontId="27" fillId="0" borderId="0" xfId="4495" applyNumberFormat="1" applyFont="1" applyAlignment="1">
      <alignment horizontal="left" vertical="center" wrapText="1"/>
    </xf>
    <xf numFmtId="0" fontId="19" fillId="0" borderId="57" xfId="4495" applyFont="1" applyBorder="1"/>
    <xf numFmtId="1" fontId="19" fillId="0" borderId="0" xfId="4495" applyNumberFormat="1" applyFont="1" applyAlignment="1">
      <alignment vertical="center"/>
    </xf>
    <xf numFmtId="0" fontId="37" fillId="0" borderId="50" xfId="4495" applyFont="1" applyBorder="1"/>
    <xf numFmtId="0" fontId="27" fillId="0" borderId="51" xfId="4495" applyFont="1" applyBorder="1" applyAlignment="1">
      <alignment horizontal="center" vertical="top"/>
    </xf>
    <xf numFmtId="0" fontId="27" fillId="0" borderId="51" xfId="4495" applyFont="1" applyBorder="1" applyAlignment="1">
      <alignment vertical="top" wrapText="1"/>
    </xf>
    <xf numFmtId="0" fontId="27" fillId="0" borderId="51" xfId="4495" applyFont="1" applyBorder="1" applyAlignment="1">
      <alignment horizontal="left" vertical="top" wrapText="1"/>
    </xf>
    <xf numFmtId="0" fontId="19" fillId="0" borderId="0" xfId="4495" quotePrefix="1" applyFont="1" applyAlignment="1">
      <alignment horizontal="center" vertical="top"/>
    </xf>
    <xf numFmtId="1" fontId="27" fillId="0" borderId="0" xfId="4495" quotePrefix="1" applyNumberFormat="1" applyFont="1" applyAlignment="1">
      <alignment wrapText="1"/>
    </xf>
    <xf numFmtId="0" fontId="27" fillId="0" borderId="6" xfId="4495" applyFont="1" applyBorder="1" applyAlignment="1">
      <alignment horizontal="right"/>
    </xf>
    <xf numFmtId="0" fontId="123" fillId="0" borderId="0" xfId="4496" applyFont="1" applyAlignment="1">
      <alignment wrapText="1"/>
    </xf>
    <xf numFmtId="0" fontId="19" fillId="0" borderId="0" xfId="4496" applyFont="1" applyAlignment="1">
      <alignment wrapText="1"/>
    </xf>
    <xf numFmtId="0" fontId="35" fillId="0" borderId="51" xfId="4495" applyFont="1" applyBorder="1" applyAlignment="1">
      <alignment vertical="top"/>
    </xf>
    <xf numFmtId="0" fontId="19" fillId="0" borderId="51" xfId="4496" applyFont="1" applyBorder="1" applyAlignment="1">
      <alignment wrapText="1"/>
    </xf>
    <xf numFmtId="0" fontId="26" fillId="0" borderId="51" xfId="4495" applyFont="1" applyBorder="1" applyAlignment="1">
      <alignment horizontal="right"/>
    </xf>
    <xf numFmtId="0" fontId="19" fillId="0" borderId="52" xfId="4495" applyFont="1" applyBorder="1" applyAlignment="1">
      <alignment horizontal="center"/>
    </xf>
    <xf numFmtId="0" fontId="19" fillId="0" borderId="53" xfId="4495" applyFont="1" applyBorder="1" applyAlignment="1">
      <alignment horizontal="left" vertical="top"/>
    </xf>
    <xf numFmtId="0" fontId="19" fillId="0" borderId="54" xfId="4495" applyFont="1" applyBorder="1" applyAlignment="1">
      <alignment horizontal="left" vertical="top"/>
    </xf>
    <xf numFmtId="0" fontId="19" fillId="0" borderId="54" xfId="4495" applyFont="1" applyBorder="1" applyAlignment="1">
      <alignment horizontal="center"/>
    </xf>
    <xf numFmtId="0" fontId="19" fillId="0" borderId="59" xfId="4495" applyFont="1" applyBorder="1" applyAlignment="1">
      <alignment horizontal="center"/>
    </xf>
    <xf numFmtId="9" fontId="19" fillId="0" borderId="0" xfId="4496" applyNumberFormat="1" applyFont="1" applyAlignment="1">
      <alignment horizontal="center"/>
    </xf>
    <xf numFmtId="1" fontId="19" fillId="0" borderId="0" xfId="543" applyNumberFormat="1"/>
    <xf numFmtId="0" fontId="27" fillId="0" borderId="1" xfId="4495" applyFont="1" applyBorder="1"/>
    <xf numFmtId="0" fontId="26" fillId="0" borderId="0" xfId="4495" applyFont="1" applyAlignment="1">
      <alignment horizontal="center" wrapText="1"/>
    </xf>
    <xf numFmtId="0" fontId="26" fillId="0" borderId="9" xfId="4495" applyFont="1" applyBorder="1" applyAlignment="1">
      <alignment horizontal="left"/>
    </xf>
    <xf numFmtId="0" fontId="26" fillId="0" borderId="3" xfId="4495" applyFont="1" applyBorder="1" applyAlignment="1">
      <alignment horizontal="left"/>
    </xf>
    <xf numFmtId="0" fontId="26" fillId="0" borderId="4" xfId="4495" applyFont="1" applyBorder="1" applyAlignment="1">
      <alignment horizontal="left"/>
    </xf>
    <xf numFmtId="0" fontId="19" fillId="0" borderId="2" xfId="4495" applyFont="1" applyBorder="1" applyAlignment="1">
      <alignment horizontal="left"/>
    </xf>
    <xf numFmtId="0" fontId="26" fillId="0" borderId="2" xfId="4495" applyFont="1" applyBorder="1" applyAlignment="1">
      <alignment horizontal="left"/>
    </xf>
    <xf numFmtId="0" fontId="26" fillId="0" borderId="5" xfId="4495" applyFont="1" applyBorder="1" applyAlignment="1">
      <alignment horizontal="left"/>
    </xf>
    <xf numFmtId="180" fontId="66" fillId="0" borderId="0" xfId="4495" applyNumberFormat="1" applyFont="1" applyAlignment="1">
      <alignment horizontal="center" vertical="center"/>
    </xf>
    <xf numFmtId="0" fontId="19" fillId="0" borderId="12" xfId="4495" applyFont="1" applyBorder="1" applyAlignment="1">
      <alignment vertical="top"/>
    </xf>
    <xf numFmtId="0" fontId="49" fillId="0" borderId="0" xfId="4495" applyFont="1" applyAlignment="1">
      <alignment vertical="top" wrapText="1"/>
    </xf>
    <xf numFmtId="0" fontId="19" fillId="0" borderId="51" xfId="4495" applyFont="1" applyBorder="1" applyAlignment="1">
      <alignment horizontal="left" vertical="top" wrapText="1"/>
    </xf>
    <xf numFmtId="0" fontId="19" fillId="0" borderId="51" xfId="4495" applyFont="1" applyBorder="1" applyAlignment="1">
      <alignment horizontal="right"/>
    </xf>
    <xf numFmtId="0" fontId="19" fillId="0" borderId="52" xfId="4495" applyFont="1" applyBorder="1" applyAlignment="1">
      <alignment horizontal="right"/>
    </xf>
    <xf numFmtId="0" fontId="19" fillId="0" borderId="54" xfId="4495" applyFont="1" applyBorder="1" applyAlignment="1">
      <alignment horizontal="right"/>
    </xf>
    <xf numFmtId="0" fontId="19" fillId="0" borderId="58" xfId="4495" applyFont="1" applyBorder="1" applyAlignment="1">
      <alignment horizontal="left" vertical="top" wrapText="1"/>
    </xf>
    <xf numFmtId="0" fontId="19" fillId="0" borderId="58" xfId="4495" applyFont="1" applyBorder="1" applyAlignment="1">
      <alignment horizontal="right"/>
    </xf>
    <xf numFmtId="0" fontId="19" fillId="0" borderId="59" xfId="4495" applyFont="1" applyBorder="1" applyAlignment="1">
      <alignment horizontal="right"/>
    </xf>
    <xf numFmtId="0" fontId="49" fillId="0" borderId="0" xfId="4495" applyFont="1" applyAlignment="1">
      <alignment horizontal="left" vertical="top" wrapText="1"/>
    </xf>
    <xf numFmtId="0" fontId="19" fillId="0" borderId="0" xfId="1192" applyAlignment="1">
      <alignment horizontal="left" vertical="top"/>
    </xf>
    <xf numFmtId="0" fontId="37" fillId="0" borderId="0" xfId="1192" applyFont="1" applyAlignment="1">
      <alignment horizontal="left" vertical="top"/>
    </xf>
    <xf numFmtId="0" fontId="19" fillId="0" borderId="0" xfId="1192" applyAlignment="1">
      <alignment vertical="top"/>
    </xf>
    <xf numFmtId="168" fontId="19" fillId="0" borderId="0" xfId="1192" applyNumberFormat="1"/>
    <xf numFmtId="165" fontId="19" fillId="0" borderId="0" xfId="1192" applyNumberFormat="1"/>
    <xf numFmtId="165" fontId="19" fillId="0" borderId="0" xfId="1192" applyNumberFormat="1" applyAlignment="1">
      <alignment horizontal="right"/>
    </xf>
    <xf numFmtId="2" fontId="19" fillId="0" borderId="0" xfId="1192" applyNumberFormat="1"/>
    <xf numFmtId="6" fontId="19" fillId="0" borderId="0" xfId="1192" applyNumberFormat="1"/>
    <xf numFmtId="0" fontId="26" fillId="0" borderId="0" xfId="1192" applyFont="1"/>
    <xf numFmtId="0" fontId="49" fillId="0" borderId="0" xfId="1192" applyFont="1"/>
    <xf numFmtId="168" fontId="19" fillId="0" borderId="0" xfId="4495" applyNumberFormat="1" applyFont="1"/>
    <xf numFmtId="0" fontId="26" fillId="0" borderId="0" xfId="1192" applyFont="1" applyAlignment="1">
      <alignment vertical="center"/>
    </xf>
    <xf numFmtId="0" fontId="119" fillId="0" borderId="0" xfId="1192" applyFont="1" applyAlignment="1">
      <alignment horizontal="left"/>
    </xf>
    <xf numFmtId="0" fontId="116" fillId="0" borderId="0" xfId="1192" applyFont="1" applyAlignment="1">
      <alignment horizontal="left"/>
    </xf>
    <xf numFmtId="0" fontId="116" fillId="0" borderId="0" xfId="1192" applyFont="1" applyAlignment="1">
      <alignment horizontal="center"/>
    </xf>
    <xf numFmtId="168" fontId="19" fillId="0" borderId="0" xfId="1192" applyNumberFormat="1" applyAlignment="1">
      <alignment horizontal="center"/>
    </xf>
    <xf numFmtId="9" fontId="19" fillId="0" borderId="0" xfId="1192" applyNumberFormat="1"/>
    <xf numFmtId="0" fontId="19" fillId="0" borderId="0" xfId="1192" applyAlignment="1">
      <alignment horizontal="right"/>
    </xf>
    <xf numFmtId="0" fontId="19" fillId="0" borderId="53" xfId="4495" applyFont="1" applyBorder="1" applyAlignment="1">
      <alignment horizontal="left"/>
    </xf>
    <xf numFmtId="6" fontId="26" fillId="0" borderId="0" xfId="1192" applyNumberFormat="1" applyFont="1" applyAlignment="1">
      <alignment horizontal="right"/>
    </xf>
    <xf numFmtId="165" fontId="19" fillId="0" borderId="0" xfId="4495" applyNumberFormat="1" applyFont="1"/>
    <xf numFmtId="0" fontId="56" fillId="0" borderId="4" xfId="4495" applyFont="1" applyBorder="1"/>
    <xf numFmtId="0" fontId="39" fillId="0" borderId="0" xfId="543" applyFont="1" applyAlignment="1">
      <alignment vertical="center" wrapText="1"/>
    </xf>
    <xf numFmtId="1" fontId="26" fillId="0" borderId="13" xfId="271" applyNumberFormat="1" applyFont="1" applyBorder="1"/>
    <xf numFmtId="1" fontId="28" fillId="0" borderId="13" xfId="271" applyNumberFormat="1" applyBorder="1"/>
    <xf numFmtId="0" fontId="19" fillId="0" borderId="11" xfId="0" applyFont="1" applyBorder="1"/>
    <xf numFmtId="9" fontId="19" fillId="0" borderId="0" xfId="4495" applyNumberFormat="1" applyFont="1"/>
    <xf numFmtId="165" fontId="123" fillId="0" borderId="0" xfId="4496" applyNumberFormat="1" applyFont="1" applyAlignment="1">
      <alignment horizontal="center" vertical="top" wrapText="1"/>
    </xf>
    <xf numFmtId="168" fontId="123" fillId="0" borderId="0" xfId="4496" applyNumberFormat="1" applyFont="1" applyAlignment="1">
      <alignment vertical="top" wrapText="1"/>
    </xf>
    <xf numFmtId="165" fontId="123" fillId="0" borderId="64" xfId="4496" applyNumberFormat="1" applyFont="1" applyBorder="1" applyAlignment="1">
      <alignment horizontal="center" vertical="top" wrapText="1"/>
    </xf>
    <xf numFmtId="165" fontId="123" fillId="0" borderId="53" xfId="4496" applyNumberFormat="1" applyFont="1" applyBorder="1" applyAlignment="1">
      <alignment horizontal="left" vertical="top"/>
    </xf>
    <xf numFmtId="165" fontId="123" fillId="0" borderId="53" xfId="4496" applyNumberFormat="1" applyFont="1" applyBorder="1" applyAlignment="1">
      <alignment horizontal="center" vertical="top" wrapText="1"/>
    </xf>
    <xf numFmtId="168" fontId="123" fillId="0" borderId="0" xfId="4496" applyNumberFormat="1" applyFont="1" applyAlignment="1">
      <alignment vertical="top"/>
    </xf>
    <xf numFmtId="1" fontId="123" fillId="0" borderId="0" xfId="4496" applyNumberFormat="1" applyFont="1" applyAlignment="1">
      <alignment vertical="top" wrapText="1"/>
    </xf>
    <xf numFmtId="164" fontId="27" fillId="0" borderId="0" xfId="4495" applyNumberFormat="1" applyFont="1"/>
    <xf numFmtId="0" fontId="26" fillId="0" borderId="8" xfId="0" applyFont="1" applyBorder="1" applyAlignment="1">
      <alignment horizontal="center" vertical="center" wrapText="1"/>
    </xf>
    <xf numFmtId="0" fontId="26"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1" fillId="0" borderId="50" xfId="1192" applyFont="1" applyBorder="1" applyAlignment="1">
      <alignment horizontal="left"/>
    </xf>
    <xf numFmtId="0" fontId="142" fillId="0" borderId="51" xfId="4495" applyFont="1" applyBorder="1" applyAlignment="1">
      <alignment vertical="top"/>
    </xf>
    <xf numFmtId="0" fontId="141" fillId="0" borderId="51" xfId="4495" applyFont="1" applyBorder="1" applyAlignment="1">
      <alignment vertical="top" wrapText="1"/>
    </xf>
    <xf numFmtId="0" fontId="142" fillId="0" borderId="51" xfId="4495" applyFont="1" applyBorder="1"/>
    <xf numFmtId="0" fontId="142" fillId="0" borderId="53" xfId="1192" applyFont="1" applyBorder="1" applyAlignment="1">
      <alignment horizontal="left"/>
    </xf>
    <xf numFmtId="0" fontId="142" fillId="0" borderId="0" xfId="4495" applyFont="1" applyAlignment="1">
      <alignment vertical="top"/>
    </xf>
    <xf numFmtId="0" fontId="141" fillId="0" borderId="0" xfId="4495" applyFont="1" applyAlignment="1">
      <alignment vertical="top" wrapText="1"/>
    </xf>
    <xf numFmtId="0" fontId="142" fillId="0" borderId="0" xfId="4495" applyFont="1"/>
    <xf numFmtId="0" fontId="141" fillId="0" borderId="53" xfId="1192" applyFont="1" applyBorder="1" applyAlignment="1">
      <alignment horizontal="left"/>
    </xf>
    <xf numFmtId="0" fontId="141" fillId="0" borderId="57" xfId="1192" applyFont="1" applyBorder="1" applyAlignment="1">
      <alignment horizontal="left"/>
    </xf>
    <xf numFmtId="0" fontId="142" fillId="0" borderId="58" xfId="4495" applyFont="1" applyBorder="1" applyAlignment="1">
      <alignment vertical="top"/>
    </xf>
    <xf numFmtId="0" fontId="141" fillId="0" borderId="58" xfId="4495" applyFont="1" applyBorder="1" applyAlignment="1">
      <alignment vertical="top" wrapText="1"/>
    </xf>
    <xf numFmtId="0" fontId="142" fillId="0" borderId="58" xfId="4495" applyFont="1" applyBorder="1"/>
    <xf numFmtId="0" fontId="28" fillId="0" borderId="3" xfId="0" applyFont="1" applyBorder="1" applyAlignment="1">
      <alignment horizontal="center"/>
    </xf>
    <xf numFmtId="0" fontId="28" fillId="0" borderId="4" xfId="0" applyFont="1" applyBorder="1" applyAlignment="1">
      <alignment horizontal="center"/>
    </xf>
    <xf numFmtId="0" fontId="28" fillId="0" borderId="5" xfId="0" applyFont="1" applyBorder="1" applyAlignment="1">
      <alignment horizontal="center"/>
    </xf>
    <xf numFmtId="0" fontId="26" fillId="0" borderId="7" xfId="0" applyFont="1" applyBorder="1" applyAlignment="1">
      <alignment horizontal="right"/>
    </xf>
    <xf numFmtId="0" fontId="0" fillId="0" borderId="0" xfId="0" applyAlignment="1" applyProtection="1">
      <alignment horizontal="left" vertical="top" wrapText="1"/>
      <protection locked="0"/>
    </xf>
    <xf numFmtId="0" fontId="19" fillId="0" borderId="9" xfId="0" applyFont="1" applyBorder="1" applyAlignment="1">
      <alignment horizontal="left"/>
    </xf>
    <xf numFmtId="0" fontId="19" fillId="0" borderId="6" xfId="0" applyFont="1" applyBorder="1"/>
    <xf numFmtId="0" fontId="19" fillId="0" borderId="9" xfId="0" applyFont="1" applyBorder="1"/>
    <xf numFmtId="0" fontId="52" fillId="0" borderId="0" xfId="0" applyFont="1" applyAlignment="1">
      <alignment horizontal="center"/>
    </xf>
    <xf numFmtId="0" fontId="25" fillId="0" borderId="0" xfId="0" applyFont="1" applyAlignment="1">
      <alignment horizontal="center" vertical="center" wrapText="1"/>
    </xf>
    <xf numFmtId="0" fontId="34" fillId="0" borderId="0" xfId="0" applyFont="1" applyAlignment="1">
      <alignment horizontal="center"/>
    </xf>
    <xf numFmtId="0" fontId="27" fillId="0" borderId="0" xfId="0" applyFont="1" applyAlignment="1">
      <alignment horizontal="center"/>
    </xf>
    <xf numFmtId="0" fontId="26" fillId="0" borderId="3" xfId="0" applyFont="1" applyBorder="1"/>
    <xf numFmtId="0" fontId="26" fillId="0" borderId="4" xfId="271" applyFont="1" applyBorder="1"/>
    <xf numFmtId="0" fontId="26" fillId="0" borderId="3" xfId="271" applyFont="1" applyBorder="1"/>
    <xf numFmtId="0" fontId="26" fillId="0" borderId="5" xfId="271" applyFont="1" applyBorder="1"/>
    <xf numFmtId="0" fontId="19" fillId="0" borderId="58" xfId="4495" applyFont="1" applyBorder="1" applyAlignment="1">
      <alignment vertical="center" wrapText="1"/>
    </xf>
    <xf numFmtId="0" fontId="19" fillId="0" borderId="59" xfId="4495" applyFont="1" applyBorder="1" applyAlignment="1">
      <alignment vertical="center" wrapText="1"/>
    </xf>
    <xf numFmtId="0" fontId="19" fillId="0" borderId="0" xfId="4495" applyFont="1" applyAlignment="1">
      <alignment horizontal="left" vertical="center" wrapText="1"/>
    </xf>
    <xf numFmtId="0" fontId="26" fillId="0" borderId="5" xfId="0" applyFont="1" applyBorder="1"/>
    <xf numFmtId="168" fontId="24" fillId="43" borderId="0" xfId="0" applyNumberFormat="1" applyFont="1" applyFill="1"/>
    <xf numFmtId="9" fontId="27" fillId="0" borderId="0" xfId="543" applyNumberFormat="1" applyFont="1" applyAlignment="1">
      <alignment horizontal="center"/>
    </xf>
    <xf numFmtId="171" fontId="19" fillId="0" borderId="0" xfId="543" applyNumberFormat="1"/>
    <xf numFmtId="171" fontId="19" fillId="0" borderId="11" xfId="543" applyNumberFormat="1" applyBorder="1"/>
    <xf numFmtId="1" fontId="19" fillId="0" borderId="11" xfId="543" applyNumberFormat="1" applyBorder="1" applyAlignment="1">
      <alignment horizontal="center"/>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46" fillId="0" borderId="8" xfId="543" applyFont="1" applyBorder="1" applyAlignment="1">
      <alignment vertical="center" wrapText="1"/>
    </xf>
    <xf numFmtId="0" fontId="46" fillId="0" borderId="0" xfId="543" applyFont="1" applyAlignment="1">
      <alignment vertical="center" wrapText="1"/>
    </xf>
    <xf numFmtId="0" fontId="46" fillId="0" borderId="12" xfId="543" applyFont="1" applyBorder="1" applyAlignment="1">
      <alignment vertical="center" wrapText="1"/>
    </xf>
    <xf numFmtId="0" fontId="46" fillId="0" borderId="9" xfId="543" applyFont="1" applyBorder="1" applyAlignment="1">
      <alignment vertical="center" wrapText="1"/>
    </xf>
    <xf numFmtId="0" fontId="46" fillId="0" borderId="6" xfId="543" applyFont="1" applyBorder="1" applyAlignment="1">
      <alignment vertical="center" wrapText="1"/>
    </xf>
    <xf numFmtId="0" fontId="46" fillId="0" borderId="10" xfId="543" applyFont="1" applyBorder="1" applyAlignment="1">
      <alignment vertical="center" wrapText="1"/>
    </xf>
    <xf numFmtId="0" fontId="39" fillId="0" borderId="12" xfId="543" applyFont="1" applyBorder="1" applyAlignment="1">
      <alignment horizontal="center" vertical="top"/>
    </xf>
    <xf numFmtId="0" fontId="40" fillId="0" borderId="7" xfId="543" applyFont="1" applyBorder="1"/>
    <xf numFmtId="0" fontId="19" fillId="0" borderId="12" xfId="543" quotePrefix="1" applyBorder="1"/>
    <xf numFmtId="0" fontId="55" fillId="0" borderId="2" xfId="569" applyFont="1" applyBorder="1" applyAlignment="1">
      <alignment vertical="top"/>
    </xf>
    <xf numFmtId="0" fontId="29" fillId="0" borderId="0" xfId="4495" applyFont="1"/>
    <xf numFmtId="0" fontId="19" fillId="0" borderId="0" xfId="4495" applyFont="1" applyAlignment="1">
      <alignment vertical="top" wrapText="1" shrinkToFit="1"/>
    </xf>
    <xf numFmtId="0" fontId="146" fillId="0" borderId="0" xfId="4495" applyFont="1"/>
    <xf numFmtId="164" fontId="19" fillId="0" borderId="0" xfId="1192" applyNumberFormat="1" applyAlignment="1">
      <alignment horizontal="right"/>
    </xf>
    <xf numFmtId="164" fontId="19" fillId="0" borderId="0" xfId="4495" applyNumberFormat="1" applyFont="1" applyAlignment="1">
      <alignment horizontal="right"/>
    </xf>
    <xf numFmtId="0" fontId="19" fillId="0" borderId="0" xfId="4495" applyFont="1" applyAlignment="1">
      <alignment horizontal="left" vertical="top" wrapText="1" shrinkToFit="1"/>
    </xf>
    <xf numFmtId="0" fontId="19" fillId="0" borderId="6" xfId="4495" applyFont="1" applyBorder="1" applyAlignment="1">
      <alignment vertical="top" wrapText="1"/>
    </xf>
    <xf numFmtId="0" fontId="146" fillId="0" borderId="4" xfId="4495" applyFont="1" applyBorder="1"/>
    <xf numFmtId="0" fontId="19" fillId="0" borderId="4" xfId="4495" applyFont="1" applyBorder="1" applyAlignment="1">
      <alignment horizontal="left" vertical="top" wrapText="1" shrinkToFit="1"/>
    </xf>
    <xf numFmtId="0" fontId="29" fillId="0" borderId="0" xfId="4495" applyFont="1" applyAlignment="1">
      <alignment horizontal="left" vertical="top"/>
    </xf>
    <xf numFmtId="0" fontId="19" fillId="0" borderId="0" xfId="4495" applyFont="1" applyAlignment="1">
      <alignment vertical="center" wrapText="1" shrinkToFit="1"/>
    </xf>
    <xf numFmtId="0" fontId="19" fillId="0" borderId="0" xfId="4495" applyFont="1" applyAlignment="1">
      <alignment horizontal="left" vertical="top" shrinkToFit="1"/>
    </xf>
    <xf numFmtId="0" fontId="19" fillId="0" borderId="0" xfId="4495" applyFont="1" applyAlignment="1">
      <alignment horizontal="left" vertical="center" shrinkToFit="1"/>
    </xf>
    <xf numFmtId="0" fontId="29" fillId="0" borderId="4" xfId="4495" applyFont="1" applyBorder="1"/>
    <xf numFmtId="0" fontId="19" fillId="0" borderId="4" xfId="4495" applyFont="1" applyBorder="1" applyAlignment="1">
      <alignment horizontal="left" vertical="top" shrinkToFit="1"/>
    </xf>
    <xf numFmtId="0" fontId="19" fillId="0" borderId="0" xfId="4495" applyFont="1" applyAlignment="1">
      <alignment vertical="center"/>
    </xf>
    <xf numFmtId="0" fontId="25" fillId="0" borderId="0" xfId="4495" applyFont="1"/>
    <xf numFmtId="0" fontId="29" fillId="0" borderId="0" xfId="4495" applyFont="1" applyAlignment="1">
      <alignment horizontal="center"/>
    </xf>
    <xf numFmtId="0" fontId="19" fillId="0" borderId="4" xfId="4495" applyFont="1" applyBorder="1" applyAlignment="1">
      <alignment horizontal="left" vertical="top" wrapText="1"/>
    </xf>
    <xf numFmtId="44" fontId="19" fillId="0" borderId="0" xfId="707" applyFont="1" applyFill="1" applyBorder="1" applyAlignment="1" applyProtection="1">
      <alignment horizontal="left" vertical="top" wrapText="1"/>
    </xf>
    <xf numFmtId="44" fontId="19" fillId="0" borderId="4" xfId="707" applyFont="1" applyFill="1" applyBorder="1" applyAlignment="1" applyProtection="1">
      <alignment horizontal="left" vertical="top" wrapText="1"/>
    </xf>
    <xf numFmtId="164" fontId="37" fillId="0" borderId="0" xfId="4495" applyNumberFormat="1" applyFont="1" applyAlignment="1">
      <alignment horizontal="left"/>
    </xf>
    <xf numFmtId="0" fontId="29" fillId="0" borderId="0" xfId="4495" applyFont="1" applyAlignment="1">
      <alignment horizontal="left"/>
    </xf>
    <xf numFmtId="0" fontId="19" fillId="0" borderId="4" xfId="4495" applyFont="1" applyBorder="1" applyAlignment="1">
      <alignment vertical="top" wrapText="1"/>
    </xf>
    <xf numFmtId="0" fontId="29" fillId="0" borderId="4" xfId="4495" applyFont="1" applyBorder="1" applyAlignment="1">
      <alignment horizontal="left" vertical="top"/>
    </xf>
    <xf numFmtId="0" fontId="19" fillId="0" borderId="0" xfId="4495" applyFont="1" applyAlignment="1">
      <alignment horizontal="left" vertical="center" wrapText="1" shrinkToFit="1"/>
    </xf>
    <xf numFmtId="0" fontId="19" fillId="0" borderId="6" xfId="4495" applyFont="1" applyBorder="1" applyAlignment="1">
      <alignment horizontal="left" vertical="top" wrapText="1"/>
    </xf>
    <xf numFmtId="2" fontId="119" fillId="0" borderId="0" xfId="0" applyNumberFormat="1" applyFont="1" applyAlignment="1">
      <alignment horizontal="center"/>
    </xf>
    <xf numFmtId="9" fontId="19" fillId="0" borderId="0" xfId="4494" applyFont="1" applyAlignment="1">
      <alignment horizontal="center"/>
    </xf>
    <xf numFmtId="3" fontId="19" fillId="0" borderId="0" xfId="0" applyNumberFormat="1" applyFont="1"/>
    <xf numFmtId="10" fontId="19" fillId="0" borderId="0" xfId="0" applyNumberFormat="1" applyFont="1" applyAlignment="1">
      <alignment horizontal="center"/>
    </xf>
    <xf numFmtId="168" fontId="19" fillId="0" borderId="0" xfId="0" applyNumberFormat="1" applyFont="1"/>
    <xf numFmtId="172" fontId="19" fillId="0" borderId="11" xfId="0" applyNumberFormat="1" applyFont="1" applyBorder="1" applyAlignment="1">
      <alignment horizontal="center"/>
    </xf>
    <xf numFmtId="168" fontId="19" fillId="5" borderId="0" xfId="0" applyNumberFormat="1" applyFont="1" applyFill="1"/>
    <xf numFmtId="3" fontId="19" fillId="5" borderId="0" xfId="0" applyNumberFormat="1" applyFont="1" applyFill="1"/>
    <xf numFmtId="0" fontId="19" fillId="5" borderId="0" xfId="0" applyFont="1" applyFill="1"/>
    <xf numFmtId="3" fontId="19" fillId="5" borderId="6" xfId="0" applyNumberFormat="1" applyFont="1" applyFill="1" applyBorder="1"/>
    <xf numFmtId="3" fontId="19" fillId="0" borderId="6" xfId="0" applyNumberFormat="1" applyFont="1" applyBorder="1"/>
    <xf numFmtId="168" fontId="19" fillId="0" borderId="0" xfId="0" applyNumberFormat="1" applyFont="1" applyAlignment="1">
      <alignment horizontal="center"/>
    </xf>
    <xf numFmtId="3" fontId="19" fillId="0" borderId="0" xfId="0" applyNumberFormat="1" applyFont="1" applyAlignment="1">
      <alignment horizontal="center"/>
    </xf>
    <xf numFmtId="0" fontId="19" fillId="0" borderId="50" xfId="4495" applyFont="1" applyBorder="1" applyAlignment="1">
      <alignment vertical="center"/>
    </xf>
    <xf numFmtId="0" fontId="19" fillId="0" borderId="51" xfId="4495" applyFont="1" applyBorder="1" applyAlignment="1">
      <alignment vertical="center"/>
    </xf>
    <xf numFmtId="0" fontId="19" fillId="0" borderId="52" xfId="4495" applyFont="1" applyBorder="1" applyAlignment="1">
      <alignment vertical="center"/>
    </xf>
    <xf numFmtId="0" fontId="19" fillId="0" borderId="54" xfId="4495" applyFont="1" applyBorder="1" applyAlignment="1">
      <alignment vertical="center" wrapText="1"/>
    </xf>
    <xf numFmtId="0" fontId="19" fillId="0" borderId="53" xfId="4495" applyFont="1" applyBorder="1" applyAlignment="1">
      <alignment vertical="top" wrapText="1"/>
    </xf>
    <xf numFmtId="9" fontId="19" fillId="0" borderId="0" xfId="543" applyNumberFormat="1" applyAlignment="1">
      <alignment horizontal="center"/>
    </xf>
    <xf numFmtId="0" fontId="51" fillId="0" borderId="0" xfId="4496" applyFont="1"/>
    <xf numFmtId="168" fontId="55" fillId="5" borderId="11" xfId="0" applyNumberFormat="1" applyFont="1" applyFill="1" applyBorder="1" applyAlignment="1" applyProtection="1">
      <alignment vertical="top" wrapText="1"/>
      <protection locked="0"/>
    </xf>
    <xf numFmtId="0" fontId="19" fillId="0" borderId="0" xfId="0" applyFont="1" applyAlignment="1">
      <alignment horizontal="left" wrapText="1"/>
    </xf>
    <xf numFmtId="4" fontId="37" fillId="0" borderId="0" xfId="0" applyNumberFormat="1" applyFont="1" applyAlignment="1">
      <alignment horizontal="left"/>
    </xf>
    <xf numFmtId="4" fontId="19" fillId="0" borderId="0" xfId="0" applyNumberFormat="1" applyFont="1" applyAlignment="1">
      <alignment horizontal="left" vertical="top" wrapText="1"/>
    </xf>
    <xf numFmtId="0" fontId="26" fillId="0" borderId="4" xfId="0" applyFont="1" applyBorder="1" applyAlignment="1">
      <alignment horizontal="left"/>
    </xf>
    <xf numFmtId="4" fontId="19" fillId="0" borderId="0" xfId="0" applyNumberFormat="1" applyFont="1" applyAlignment="1">
      <alignment horizontal="left"/>
    </xf>
    <xf numFmtId="43" fontId="53" fillId="0" borderId="0" xfId="4503" applyFont="1" applyAlignment="1" applyProtection="1">
      <alignment horizontal="center"/>
    </xf>
    <xf numFmtId="43" fontId="19" fillId="0" borderId="0" xfId="4503" applyFont="1" applyAlignment="1" applyProtection="1">
      <alignment horizontal="center"/>
    </xf>
    <xf numFmtId="43" fontId="19" fillId="0" borderId="0" xfId="4503" applyFont="1" applyProtection="1"/>
    <xf numFmtId="49" fontId="19" fillId="0" borderId="0" xfId="0" applyNumberFormat="1" applyFont="1"/>
    <xf numFmtId="49" fontId="19" fillId="0" borderId="0" xfId="0" applyNumberFormat="1" applyFont="1" applyAlignment="1">
      <alignment horizontal="center"/>
    </xf>
    <xf numFmtId="4" fontId="19" fillId="0" borderId="0" xfId="0" applyNumberFormat="1" applyFont="1" applyAlignment="1">
      <alignment vertical="top" wrapText="1"/>
    </xf>
    <xf numFmtId="0" fontId="19" fillId="0" borderId="0" xfId="0" quotePrefix="1" applyFont="1"/>
    <xf numFmtId="0" fontId="49" fillId="0" borderId="0" xfId="0" applyFont="1" applyAlignment="1">
      <alignment horizontal="left"/>
    </xf>
    <xf numFmtId="0" fontId="19" fillId="0" borderId="4" xfId="0" applyFont="1" applyBorder="1" applyAlignment="1">
      <alignment horizontal="left"/>
    </xf>
    <xf numFmtId="0" fontId="19" fillId="0" borderId="0" xfId="0" quotePrefix="1" applyFont="1" applyAlignment="1">
      <alignment horizontal="left"/>
    </xf>
    <xf numFmtId="0" fontId="19" fillId="0" borderId="0" xfId="0" quotePrefix="1" applyFont="1" applyAlignment="1">
      <alignment horizontal="left" vertical="top"/>
    </xf>
    <xf numFmtId="0" fontId="49" fillId="0" borderId="0" xfId="1192" applyFont="1" applyAlignment="1">
      <alignment horizontal="left"/>
    </xf>
    <xf numFmtId="0" fontId="53" fillId="0" borderId="0" xfId="0" applyFont="1" applyAlignment="1">
      <alignment horizontal="center" vertical="center"/>
    </xf>
    <xf numFmtId="49" fontId="26" fillId="0" borderId="0" xfId="0" applyNumberFormat="1" applyFont="1" applyAlignment="1">
      <alignment horizontal="center" vertical="center"/>
    </xf>
    <xf numFmtId="49" fontId="19" fillId="0" borderId="0" xfId="0" applyNumberFormat="1" applyFont="1" applyAlignment="1">
      <alignment vertical="center"/>
    </xf>
    <xf numFmtId="4" fontId="19" fillId="0" borderId="0" xfId="0" applyNumberFormat="1" applyFont="1" applyAlignment="1">
      <alignment horizontal="center"/>
    </xf>
    <xf numFmtId="4" fontId="19" fillId="0" borderId="0" xfId="0" applyNumberFormat="1" applyFont="1"/>
    <xf numFmtId="10" fontId="19" fillId="0" borderId="0" xfId="4495" applyNumberFormat="1" applyFont="1"/>
    <xf numFmtId="10" fontId="123" fillId="0" borderId="0" xfId="4496" applyNumberFormat="1" applyFont="1" applyAlignment="1">
      <alignment horizontal="center" vertical="top" wrapText="1"/>
    </xf>
    <xf numFmtId="10" fontId="123" fillId="0" borderId="64" xfId="4496" applyNumberFormat="1" applyFont="1" applyBorder="1" applyAlignment="1">
      <alignment horizontal="center" vertical="top" wrapText="1"/>
    </xf>
    <xf numFmtId="10" fontId="123"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9" fillId="0" borderId="0" xfId="1192" quotePrefix="1" applyNumberFormat="1" applyAlignment="1">
      <alignment horizontal="center"/>
    </xf>
    <xf numFmtId="0" fontId="123" fillId="0" borderId="0" xfId="4495" applyFont="1"/>
    <xf numFmtId="10" fontId="123" fillId="0" borderId="0" xfId="4495" applyNumberFormat="1" applyFont="1"/>
    <xf numFmtId="172" fontId="19" fillId="0" borderId="0" xfId="4495" applyNumberFormat="1" applyFont="1"/>
    <xf numFmtId="0" fontId="42" fillId="0" borderId="0" xfId="0" applyFont="1" applyAlignment="1">
      <alignment horizontal="center"/>
    </xf>
    <xf numFmtId="0" fontId="38" fillId="0" borderId="0" xfId="0" applyFont="1" applyAlignment="1">
      <alignment horizontal="left"/>
    </xf>
    <xf numFmtId="0" fontId="0" fillId="0" borderId="10" xfId="0" applyBorder="1" applyAlignment="1">
      <alignment horizontal="left"/>
    </xf>
    <xf numFmtId="1" fontId="19" fillId="0" borderId="0" xfId="1192" applyNumberFormat="1" applyAlignment="1">
      <alignment horizontal="center"/>
    </xf>
    <xf numFmtId="0" fontId="121" fillId="0" borderId="63" xfId="4495" applyBorder="1"/>
    <xf numFmtId="0" fontId="55" fillId="0" borderId="0" xfId="271" applyFont="1" applyAlignment="1">
      <alignment vertical="top"/>
    </xf>
    <xf numFmtId="0" fontId="26" fillId="0" borderId="11" xfId="0" applyFont="1" applyBorder="1" applyAlignment="1">
      <alignment horizontal="right" vertical="top" wrapText="1"/>
    </xf>
    <xf numFmtId="0" fontId="28" fillId="0" borderId="11" xfId="271" applyBorder="1" applyAlignment="1" applyProtection="1">
      <alignment horizontal="right" vertical="top" wrapText="1"/>
      <protection locked="0"/>
    </xf>
    <xf numFmtId="0" fontId="19" fillId="0" borderId="54" xfId="4495" applyFont="1" applyBorder="1" applyAlignment="1">
      <alignment vertical="top"/>
    </xf>
    <xf numFmtId="9" fontId="28" fillId="0" borderId="0" xfId="0" applyNumberFormat="1" applyFont="1"/>
    <xf numFmtId="0" fontId="19" fillId="0" borderId="16" xfId="569" applyBorder="1" applyAlignment="1">
      <alignment horizontal="center"/>
    </xf>
    <xf numFmtId="164" fontId="19" fillId="0" borderId="57" xfId="4495" applyNumberFormat="1" applyFont="1" applyBorder="1" applyAlignment="1">
      <alignment vertical="top" wrapText="1"/>
    </xf>
    <xf numFmtId="164" fontId="19" fillId="0" borderId="58" xfId="4495" applyNumberFormat="1" applyFont="1" applyBorder="1" applyAlignment="1">
      <alignment vertical="top" wrapText="1"/>
    </xf>
    <xf numFmtId="164" fontId="19" fillId="0" borderId="59" xfId="4495" applyNumberFormat="1" applyFont="1" applyBorder="1" applyAlignment="1">
      <alignment vertical="top" wrapText="1"/>
    </xf>
    <xf numFmtId="0" fontId="26" fillId="0" borderId="0" xfId="1192" applyFont="1" applyAlignment="1">
      <alignment horizontal="left" vertical="top" wrapText="1"/>
    </xf>
    <xf numFmtId="0" fontId="19" fillId="0" borderId="16" xfId="569" applyBorder="1"/>
    <xf numFmtId="0" fontId="19" fillId="0" borderId="4" xfId="569" applyBorder="1"/>
    <xf numFmtId="0" fontId="26" fillId="0" borderId="4" xfId="569" applyFont="1" applyBorder="1"/>
    <xf numFmtId="49" fontId="19" fillId="0" borderId="4" xfId="569" applyNumberFormat="1" applyBorder="1"/>
    <xf numFmtId="0" fontId="149" fillId="0" borderId="0" xfId="0" applyFont="1"/>
    <xf numFmtId="0" fontId="19" fillId="0" borderId="0" xfId="0" applyFont="1" applyAlignment="1">
      <alignment horizontal="right"/>
    </xf>
    <xf numFmtId="1" fontId="19" fillId="0" borderId="0" xfId="0" applyNumberFormat="1" applyFont="1" applyAlignment="1">
      <alignment horizontal="center"/>
    </xf>
    <xf numFmtId="0" fontId="26" fillId="0" borderId="0" xfId="0" applyFont="1" applyAlignment="1">
      <alignment horizontal="left" vertical="center"/>
    </xf>
    <xf numFmtId="0" fontId="19" fillId="0" borderId="0" xfId="0" applyFont="1" applyAlignment="1">
      <alignment horizontal="left" vertical="center"/>
    </xf>
    <xf numFmtId="0" fontId="26" fillId="0" borderId="0" xfId="569" applyFont="1" applyAlignment="1">
      <alignment vertical="top"/>
    </xf>
    <xf numFmtId="0" fontId="20" fillId="0" borderId="0" xfId="244" applyAlignment="1"/>
    <xf numFmtId="0" fontId="26" fillId="0" borderId="0" xfId="0" applyFont="1" applyAlignment="1">
      <alignment vertical="top" wrapText="1"/>
    </xf>
    <xf numFmtId="49" fontId="26" fillId="0" borderId="0" xfId="0" applyNumberFormat="1" applyFont="1"/>
    <xf numFmtId="49" fontId="26" fillId="0" borderId="0" xfId="0" applyNumberFormat="1" applyFont="1" applyAlignment="1">
      <alignment vertical="top"/>
    </xf>
    <xf numFmtId="0" fontId="42" fillId="0" borderId="11" xfId="0" applyFont="1" applyBorder="1"/>
    <xf numFmtId="175" fontId="19" fillId="0" borderId="0" xfId="543" applyNumberFormat="1" applyAlignment="1">
      <alignment vertical="center"/>
    </xf>
    <xf numFmtId="0" fontId="99" fillId="43" borderId="6" xfId="4496" applyFont="1" applyFill="1" applyBorder="1" applyAlignment="1" applyProtection="1">
      <alignment horizontal="center"/>
      <protection locked="0"/>
    </xf>
    <xf numFmtId="0" fontId="99" fillId="0" borderId="0" xfId="4496" applyFont="1"/>
    <xf numFmtId="0" fontId="99" fillId="0" borderId="0" xfId="4496" applyFont="1" applyAlignment="1">
      <alignment wrapText="1"/>
    </xf>
    <xf numFmtId="0" fontId="137" fillId="0" borderId="0" xfId="4496" applyFont="1"/>
    <xf numFmtId="181" fontId="138" fillId="0" borderId="0" xfId="4498" applyNumberFormat="1" applyFont="1" applyBorder="1" applyProtection="1"/>
    <xf numFmtId="0" fontId="139" fillId="0" borderId="0" xfId="4496" applyFont="1" applyAlignment="1">
      <alignment vertical="center" wrapText="1"/>
    </xf>
    <xf numFmtId="49" fontId="99" fillId="0" borderId="0" xfId="4496" applyNumberFormat="1" applyFont="1" applyAlignment="1">
      <alignment horizontal="center"/>
    </xf>
    <xf numFmtId="182" fontId="99" fillId="0" borderId="6" xfId="4496" applyNumberFormat="1" applyFont="1" applyBorder="1"/>
    <xf numFmtId="0" fontId="99" fillId="0" borderId="0" xfId="4496" applyFont="1" applyAlignment="1">
      <alignment vertical="center"/>
    </xf>
    <xf numFmtId="182" fontId="99" fillId="0" borderId="0" xfId="4496" applyNumberFormat="1" applyFont="1" applyAlignment="1">
      <alignment vertical="center"/>
    </xf>
    <xf numFmtId="175" fontId="99" fillId="0" borderId="0" xfId="4499" applyNumberFormat="1" applyFont="1" applyFill="1" applyBorder="1" applyAlignment="1" applyProtection="1">
      <alignment horizontal="left" vertical="center"/>
    </xf>
    <xf numFmtId="9" fontId="99" fillId="0" borderId="0" xfId="4499" applyFont="1" applyFill="1" applyBorder="1" applyAlignment="1" applyProtection="1">
      <alignment vertical="center"/>
    </xf>
    <xf numFmtId="183" fontId="99" fillId="0" borderId="0" xfId="4496" applyNumberFormat="1" applyFont="1" applyAlignment="1">
      <alignment vertical="center" wrapText="1"/>
    </xf>
    <xf numFmtId="9" fontId="99" fillId="0" borderId="0" xfId="4499" applyFont="1" applyBorder="1" applyAlignment="1" applyProtection="1">
      <alignment vertical="center"/>
    </xf>
    <xf numFmtId="164" fontId="99" fillId="0" borderId="0" xfId="4496" applyNumberFormat="1" applyFont="1" applyAlignment="1">
      <alignment vertical="center" wrapText="1"/>
    </xf>
    <xf numFmtId="0" fontId="99" fillId="0" borderId="0" xfId="4496" applyFont="1" applyAlignment="1">
      <alignment horizontal="center" vertical="center"/>
    </xf>
    <xf numFmtId="182" fontId="99" fillId="0" borderId="11" xfId="8721" applyNumberFormat="1" applyFont="1" applyBorder="1" applyProtection="1"/>
    <xf numFmtId="182" fontId="99" fillId="0" borderId="11" xfId="4496" applyNumberFormat="1" applyFont="1" applyBorder="1"/>
    <xf numFmtId="164" fontId="99" fillId="0" borderId="0" xfId="4496" applyNumberFormat="1" applyFont="1" applyAlignment="1">
      <alignment wrapText="1"/>
    </xf>
    <xf numFmtId="49" fontId="99" fillId="0" borderId="0" xfId="4496" applyNumberFormat="1" applyFont="1" applyAlignment="1">
      <alignment horizontal="left"/>
    </xf>
    <xf numFmtId="0" fontId="140" fillId="0" borderId="0" xfId="4496" applyFont="1"/>
    <xf numFmtId="9" fontId="99" fillId="0" borderId="11" xfId="4494" applyFont="1" applyFill="1" applyBorder="1" applyAlignment="1" applyProtection="1">
      <alignment horizontal="right"/>
    </xf>
    <xf numFmtId="1" fontId="99" fillId="0" borderId="0" xfId="4496" applyNumberFormat="1" applyFont="1"/>
    <xf numFmtId="0" fontId="137" fillId="45" borderId="3" xfId="4496" applyFont="1" applyFill="1" applyBorder="1" applyAlignment="1">
      <alignment horizontal="left" indent="1"/>
    </xf>
    <xf numFmtId="0" fontId="99" fillId="45" borderId="4" xfId="4496" applyFont="1" applyFill="1" applyBorder="1"/>
    <xf numFmtId="2" fontId="99" fillId="45" borderId="5" xfId="4496" applyNumberFormat="1" applyFont="1" applyFill="1" applyBorder="1"/>
    <xf numFmtId="181" fontId="99" fillId="0" borderId="0" xfId="4496" applyNumberFormat="1" applyFont="1"/>
    <xf numFmtId="165" fontId="138" fillId="0" borderId="0" xfId="4499" applyNumberFormat="1" applyFont="1" applyFill="1" applyBorder="1" applyProtection="1"/>
    <xf numFmtId="9" fontId="99" fillId="0" borderId="0" xfId="4494" applyFont="1" applyFill="1" applyProtection="1"/>
    <xf numFmtId="0" fontId="99" fillId="0" borderId="11" xfId="4496" applyFont="1" applyBorder="1" applyAlignment="1">
      <alignment horizontal="center"/>
    </xf>
    <xf numFmtId="2" fontId="99" fillId="0" borderId="11" xfId="4496" applyNumberFormat="1" applyFont="1" applyBorder="1" applyAlignment="1">
      <alignment horizontal="center"/>
    </xf>
    <xf numFmtId="0" fontId="99" fillId="0" borderId="0" xfId="4496" applyFont="1" applyAlignment="1">
      <alignment vertical="top" wrapText="1"/>
    </xf>
    <xf numFmtId="0" fontId="99" fillId="0" borderId="11" xfId="4496" applyFont="1" applyBorder="1" applyAlignment="1">
      <alignment horizontal="center" vertical="top" wrapText="1"/>
    </xf>
    <xf numFmtId="182" fontId="99" fillId="0" borderId="0" xfId="8721" applyNumberFormat="1" applyFont="1" applyBorder="1" applyProtection="1"/>
    <xf numFmtId="0" fontId="99" fillId="0" borderId="0" xfId="4496" applyFont="1" applyAlignment="1">
      <alignment horizontal="left" indent="1"/>
    </xf>
    <xf numFmtId="182" fontId="99" fillId="0" borderId="0" xfId="4496" applyNumberFormat="1" applyFont="1"/>
    <xf numFmtId="184" fontId="99" fillId="0" borderId="0" xfId="4496" applyNumberFormat="1" applyFont="1"/>
    <xf numFmtId="0" fontId="99" fillId="0" borderId="0" xfId="4496" applyFont="1" applyAlignment="1">
      <alignment horizontal="left"/>
    </xf>
    <xf numFmtId="0" fontId="99" fillId="0" borderId="0" xfId="4496" applyFont="1" applyAlignment="1">
      <alignment horizontal="center"/>
    </xf>
    <xf numFmtId="3" fontId="24" fillId="0" borderId="11" xfId="271" applyNumberFormat="1" applyFont="1" applyBorder="1" applyAlignment="1">
      <alignment horizontal="center"/>
    </xf>
    <xf numFmtId="3" fontId="24" fillId="43" borderId="11" xfId="271" applyNumberFormat="1" applyFont="1" applyFill="1" applyBorder="1" applyProtection="1">
      <protection locked="0"/>
    </xf>
    <xf numFmtId="0" fontId="99" fillId="0" borderId="0" xfId="4496" applyFont="1" applyAlignment="1">
      <alignment horizontal="right"/>
    </xf>
    <xf numFmtId="168" fontId="28" fillId="0" borderId="0" xfId="0" applyNumberFormat="1" applyFont="1"/>
    <xf numFmtId="0" fontId="99" fillId="0" borderId="15" xfId="4496" applyFont="1" applyBorder="1" applyAlignment="1">
      <alignment horizontal="center" vertical="top" wrapText="1"/>
    </xf>
    <xf numFmtId="2" fontId="99" fillId="0" borderId="15" xfId="4496" applyNumberFormat="1" applyFont="1" applyBorder="1" applyAlignment="1">
      <alignment horizontal="center"/>
    </xf>
    <xf numFmtId="0" fontId="99" fillId="0" borderId="15" xfId="4496" applyFont="1" applyBorder="1" applyAlignment="1">
      <alignment horizontal="center"/>
    </xf>
    <xf numFmtId="0" fontId="137" fillId="0" borderId="68" xfId="4496" applyFont="1" applyBorder="1" applyAlignment="1">
      <alignment horizontal="center" vertical="top" wrapText="1"/>
    </xf>
    <xf numFmtId="0" fontId="137" fillId="0" borderId="68" xfId="4496" applyFont="1" applyBorder="1" applyAlignment="1">
      <alignment horizontal="center"/>
    </xf>
    <xf numFmtId="0" fontId="151" fillId="0" borderId="0" xfId="4496" applyFont="1" applyAlignment="1">
      <alignment horizontal="right" vertical="center"/>
    </xf>
    <xf numFmtId="175" fontId="99" fillId="0" borderId="0" xfId="4499" applyNumberFormat="1" applyFont="1" applyFill="1" applyBorder="1" applyAlignment="1" applyProtection="1">
      <alignment horizontal="right" vertical="center"/>
    </xf>
    <xf numFmtId="0" fontId="99" fillId="0" borderId="66" xfId="4496" applyFont="1" applyBorder="1" applyAlignment="1">
      <alignment vertical="center"/>
    </xf>
    <xf numFmtId="0" fontId="99" fillId="0" borderId="41" xfId="4496" applyFont="1" applyBorder="1" applyAlignment="1">
      <alignment vertical="center"/>
    </xf>
    <xf numFmtId="182" fontId="99" fillId="0" borderId="73" xfId="4496" applyNumberFormat="1" applyFont="1" applyBorder="1" applyAlignment="1">
      <alignment vertical="center"/>
    </xf>
    <xf numFmtId="175" fontId="99" fillId="0" borderId="42" xfId="4499" applyNumberFormat="1" applyFont="1" applyFill="1" applyBorder="1" applyAlignment="1" applyProtection="1">
      <alignment horizontal="left" vertical="center"/>
    </xf>
    <xf numFmtId="0" fontId="99" fillId="0" borderId="42" xfId="4496" applyFont="1" applyBorder="1" applyAlignment="1">
      <alignment vertical="center"/>
    </xf>
    <xf numFmtId="0" fontId="99" fillId="0" borderId="44" xfId="4496" applyFont="1" applyBorder="1" applyAlignment="1">
      <alignment vertical="center"/>
    </xf>
    <xf numFmtId="49" fontId="99" fillId="0" borderId="0" xfId="4496" applyNumberFormat="1" applyFont="1" applyAlignment="1">
      <alignment horizontal="center" vertical="center"/>
    </xf>
    <xf numFmtId="0" fontId="99" fillId="0" borderId="65" xfId="4496" applyFont="1" applyBorder="1" applyAlignment="1">
      <alignment vertical="center"/>
    </xf>
    <xf numFmtId="0" fontId="99" fillId="0" borderId="29" xfId="4496" applyFont="1" applyBorder="1" applyAlignment="1">
      <alignment vertical="center"/>
    </xf>
    <xf numFmtId="0" fontId="99" fillId="0" borderId="29" xfId="4496" applyFont="1" applyBorder="1" applyAlignment="1">
      <alignment horizontal="right" vertical="center"/>
    </xf>
    <xf numFmtId="5" fontId="99" fillId="0" borderId="29" xfId="4496" applyNumberFormat="1" applyFont="1" applyBorder="1" applyAlignment="1">
      <alignment vertical="center"/>
    </xf>
    <xf numFmtId="0" fontId="99" fillId="0" borderId="31" xfId="4496" applyFont="1" applyBorder="1" applyAlignment="1">
      <alignment vertical="center"/>
    </xf>
    <xf numFmtId="175" fontId="137" fillId="0" borderId="42" xfId="4494" applyNumberFormat="1" applyFont="1" applyFill="1" applyBorder="1" applyAlignment="1" applyProtection="1">
      <alignment horizontal="center" vertical="center"/>
    </xf>
    <xf numFmtId="0" fontId="137" fillId="0" borderId="29" xfId="4496" applyFont="1" applyBorder="1" applyAlignment="1">
      <alignment vertical="center"/>
    </xf>
    <xf numFmtId="0" fontId="137" fillId="0" borderId="0" xfId="4496" applyFont="1" applyAlignment="1">
      <alignment vertical="center"/>
    </xf>
    <xf numFmtId="0" fontId="137" fillId="0" borderId="42" xfId="4496" applyFont="1" applyBorder="1" applyAlignment="1">
      <alignment vertical="center"/>
    </xf>
    <xf numFmtId="9" fontId="137" fillId="0" borderId="42" xfId="4499" applyFont="1" applyFill="1" applyBorder="1" applyAlignment="1" applyProtection="1">
      <alignment vertical="center"/>
    </xf>
    <xf numFmtId="182" fontId="137" fillId="0" borderId="68" xfId="8721" applyNumberFormat="1" applyFont="1" applyBorder="1" applyProtection="1"/>
    <xf numFmtId="182" fontId="137" fillId="0" borderId="68" xfId="4496" applyNumberFormat="1" applyFont="1" applyBorder="1"/>
    <xf numFmtId="0" fontId="151" fillId="0" borderId="0" xfId="4496" applyFont="1" applyAlignment="1">
      <alignment horizontal="right"/>
    </xf>
    <xf numFmtId="0" fontId="99" fillId="0" borderId="0" xfId="4496" applyFont="1" applyAlignment="1">
      <alignment horizontal="right" vertical="top" wrapText="1" indent="1"/>
    </xf>
    <xf numFmtId="182" fontId="99" fillId="0" borderId="6" xfId="8721" applyNumberFormat="1" applyFont="1" applyBorder="1" applyAlignment="1" applyProtection="1">
      <alignment horizontal="center"/>
    </xf>
    <xf numFmtId="0" fontId="99" fillId="0" borderId="0" xfId="4496" applyFont="1" applyAlignment="1">
      <alignment horizontal="right" indent="1"/>
    </xf>
    <xf numFmtId="0" fontId="99" fillId="0" borderId="0" xfId="4496" applyFont="1" applyAlignment="1">
      <alignment horizontal="right" vertical="top"/>
    </xf>
    <xf numFmtId="0" fontId="137" fillId="0" borderId="0" xfId="4496" applyFont="1" applyAlignment="1">
      <alignment horizontal="right"/>
    </xf>
    <xf numFmtId="182" fontId="137" fillId="0" borderId="0" xfId="8721" applyNumberFormat="1" applyFont="1" applyBorder="1" applyAlignment="1" applyProtection="1">
      <alignment horizontal="center"/>
    </xf>
    <xf numFmtId="10" fontId="99" fillId="0" borderId="0" xfId="4494" applyNumberFormat="1" applyFont="1" applyBorder="1" applyAlignment="1" applyProtection="1">
      <alignment horizontal="center"/>
    </xf>
    <xf numFmtId="184" fontId="99" fillId="0" borderId="6" xfId="4496" applyNumberFormat="1" applyFont="1" applyBorder="1"/>
    <xf numFmtId="0" fontId="137" fillId="0" borderId="0" xfId="4496" applyFont="1" applyAlignment="1">
      <alignment horizontal="right" vertical="top"/>
    </xf>
    <xf numFmtId="182" fontId="137" fillId="0" borderId="0" xfId="4496" applyNumberFormat="1" applyFont="1"/>
    <xf numFmtId="182" fontId="99" fillId="0" borderId="6" xfId="8721" applyNumberFormat="1" applyFont="1" applyBorder="1" applyProtection="1"/>
    <xf numFmtId="184" fontId="99" fillId="0" borderId="0" xfId="4496" applyNumberFormat="1" applyFont="1" applyAlignment="1">
      <alignment horizontal="center"/>
    </xf>
    <xf numFmtId="0" fontId="99" fillId="0" borderId="6" xfId="4496" applyFont="1" applyBorder="1" applyAlignment="1">
      <alignment horizontal="right" vertical="top" wrapText="1" indent="1"/>
    </xf>
    <xf numFmtId="0" fontId="99" fillId="0" borderId="67" xfId="4496" applyFont="1" applyBorder="1" applyAlignment="1">
      <alignment horizontal="right" indent="1"/>
    </xf>
    <xf numFmtId="0" fontId="99" fillId="0" borderId="72" xfId="4496" applyFont="1" applyBorder="1" applyAlignment="1">
      <alignment horizontal="right" indent="1"/>
    </xf>
    <xf numFmtId="0" fontId="99" fillId="0" borderId="72" xfId="4496" quotePrefix="1" applyFont="1" applyBorder="1" applyAlignment="1">
      <alignment horizontal="right" indent="1"/>
    </xf>
    <xf numFmtId="0" fontId="99" fillId="0" borderId="69" xfId="4496" applyFont="1" applyBorder="1" applyAlignment="1">
      <alignment horizontal="right" indent="1"/>
    </xf>
    <xf numFmtId="182" fontId="99" fillId="0" borderId="71" xfId="4496" applyNumberFormat="1" applyFont="1" applyBorder="1"/>
    <xf numFmtId="182" fontId="99" fillId="0" borderId="76" xfId="4496" applyNumberFormat="1" applyFont="1" applyBorder="1"/>
    <xf numFmtId="182" fontId="99" fillId="0" borderId="77" xfId="4496" applyNumberFormat="1" applyFont="1" applyBorder="1"/>
    <xf numFmtId="175" fontId="26" fillId="0" borderId="0" xfId="543" applyNumberFormat="1" applyFont="1" applyAlignment="1">
      <alignment vertical="center"/>
    </xf>
    <xf numFmtId="10" fontId="137" fillId="0" borderId="0" xfId="4494" applyNumberFormat="1" applyFont="1" applyProtection="1"/>
    <xf numFmtId="0" fontId="26" fillId="0" borderId="0" xfId="1192" applyFont="1" applyAlignment="1">
      <alignment horizontal="left" indent="1"/>
    </xf>
    <xf numFmtId="168" fontId="99" fillId="0" borderId="11" xfId="4499" applyNumberFormat="1" applyFont="1" applyFill="1" applyBorder="1" applyAlignment="1" applyProtection="1">
      <alignment horizontal="left" vertical="center" indent="1"/>
    </xf>
    <xf numFmtId="168" fontId="137" fillId="0" borderId="68" xfId="4499" applyNumberFormat="1" applyFont="1" applyFill="1" applyBorder="1" applyAlignment="1" applyProtection="1">
      <alignment horizontal="left" vertical="center" indent="1"/>
    </xf>
    <xf numFmtId="182" fontId="99" fillId="0" borderId="13" xfId="4496" applyNumberFormat="1" applyFont="1" applyBorder="1"/>
    <xf numFmtId="182" fontId="99" fillId="0" borderId="70" xfId="4496" applyNumberFormat="1" applyFont="1" applyBorder="1"/>
    <xf numFmtId="0" fontId="37" fillId="0" borderId="0" xfId="4495" applyFont="1" applyAlignment="1">
      <alignment vertical="center"/>
    </xf>
    <xf numFmtId="0" fontId="123" fillId="0" borderId="0" xfId="4496" applyFont="1" applyAlignment="1">
      <alignment vertical="center" wrapText="1"/>
    </xf>
    <xf numFmtId="0" fontId="24" fillId="43" borderId="0" xfId="1192" applyFont="1" applyFill="1"/>
    <xf numFmtId="3" fontId="70" fillId="43" borderId="6" xfId="1192" applyNumberFormat="1" applyFont="1" applyFill="1" applyBorder="1"/>
    <xf numFmtId="0" fontId="153" fillId="0" borderId="0" xfId="0" applyFont="1"/>
    <xf numFmtId="0" fontId="24" fillId="0" borderId="11" xfId="253" applyFont="1" applyBorder="1" applyAlignment="1" applyProtection="1">
      <alignment horizontal="center" wrapText="1"/>
      <protection locked="0"/>
    </xf>
    <xf numFmtId="0" fontId="154" fillId="0" borderId="0" xfId="0" applyFont="1"/>
    <xf numFmtId="0" fontId="155" fillId="0" borderId="0" xfId="0" applyFont="1" applyAlignment="1">
      <alignment horizontal="center"/>
    </xf>
    <xf numFmtId="0" fontId="55" fillId="5" borderId="11" xfId="0" applyFont="1" applyFill="1" applyBorder="1" applyAlignment="1" applyProtection="1">
      <alignment horizontal="right" vertical="top" wrapText="1"/>
      <protection locked="0"/>
    </xf>
    <xf numFmtId="0" fontId="19" fillId="43" borderId="3" xfId="569" applyFill="1" applyBorder="1"/>
    <xf numFmtId="0" fontId="158" fillId="0" borderId="0" xfId="0" applyFont="1" applyAlignment="1">
      <alignment horizontal="right"/>
    </xf>
    <xf numFmtId="1" fontId="27" fillId="0" borderId="0" xfId="4495" applyNumberFormat="1" applyFont="1"/>
    <xf numFmtId="0" fontId="26" fillId="0" borderId="4" xfId="569" applyFont="1" applyBorder="1" applyAlignment="1">
      <alignment horizontal="center"/>
    </xf>
    <xf numFmtId="43" fontId="26" fillId="0" borderId="0" xfId="4503" applyFont="1" applyAlignment="1" applyProtection="1">
      <alignment horizontal="center"/>
    </xf>
    <xf numFmtId="0" fontId="26" fillId="0" borderId="0" xfId="569" applyFont="1" applyAlignment="1">
      <alignment horizontal="center" vertical="center"/>
    </xf>
    <xf numFmtId="0" fontId="26" fillId="0" borderId="16" xfId="569" applyFont="1" applyBorder="1" applyAlignment="1">
      <alignment horizontal="center"/>
    </xf>
    <xf numFmtId="49" fontId="26" fillId="0" borderId="4" xfId="569" applyNumberFormat="1" applyFont="1" applyBorder="1" applyAlignment="1">
      <alignment horizontal="center"/>
    </xf>
    <xf numFmtId="4" fontId="26" fillId="0" borderId="0" xfId="569" applyNumberFormat="1" applyFont="1" applyAlignment="1">
      <alignment horizontal="center"/>
    </xf>
    <xf numFmtId="0" fontId="19" fillId="0" borderId="0" xfId="569" applyAlignment="1">
      <alignment horizontal="center" wrapText="1"/>
    </xf>
    <xf numFmtId="0" fontId="19" fillId="0" borderId="0" xfId="0" applyFont="1" applyAlignment="1">
      <alignment vertical="center" wrapText="1"/>
    </xf>
    <xf numFmtId="3" fontId="24" fillId="43" borderId="11" xfId="271" applyNumberFormat="1" applyFont="1" applyFill="1" applyBorder="1" applyAlignment="1" applyProtection="1">
      <alignment horizontal="left"/>
      <protection locked="0"/>
    </xf>
    <xf numFmtId="0" fontId="99" fillId="43" borderId="6" xfId="4496" applyFont="1" applyFill="1" applyBorder="1" applyProtection="1">
      <protection locked="0"/>
    </xf>
    <xf numFmtId="1" fontId="99" fillId="0" borderId="0" xfId="4496" applyNumberFormat="1" applyFont="1" applyProtection="1">
      <protection locked="0"/>
    </xf>
    <xf numFmtId="182" fontId="163" fillId="0" borderId="11" xfId="4496" applyNumberFormat="1" applyFont="1" applyBorder="1"/>
    <xf numFmtId="44" fontId="99" fillId="0" borderId="0" xfId="4496" applyNumberFormat="1" applyFont="1"/>
    <xf numFmtId="182" fontId="24" fillId="0" borderId="11" xfId="4496" applyNumberFormat="1" applyFont="1" applyBorder="1"/>
    <xf numFmtId="9" fontId="99" fillId="0" borderId="0" xfId="4494" applyFont="1"/>
    <xf numFmtId="182" fontId="99" fillId="43" borderId="6" xfId="8721" applyNumberFormat="1" applyFont="1" applyFill="1" applyBorder="1" applyProtection="1">
      <protection locked="0"/>
    </xf>
    <xf numFmtId="0" fontId="19" fillId="0" borderId="0" xfId="4495" applyFont="1" applyAlignment="1">
      <alignment wrapText="1"/>
    </xf>
    <xf numFmtId="168" fontId="175" fillId="48" borderId="79" xfId="700" applyNumberFormat="1" applyFont="1" applyFill="1" applyBorder="1" applyAlignment="1" applyProtection="1">
      <protection locked="0"/>
    </xf>
    <xf numFmtId="3" fontId="47" fillId="10" borderId="0" xfId="543" applyNumberFormat="1" applyFont="1" applyFill="1" applyAlignment="1">
      <alignment vertical="center" wrapText="1"/>
    </xf>
    <xf numFmtId="0" fontId="182" fillId="0" borderId="0" xfId="543" applyFont="1" applyAlignment="1">
      <alignment horizontal="left" vertical="center"/>
    </xf>
    <xf numFmtId="0" fontId="183" fillId="0" borderId="0" xfId="543" applyFont="1" applyAlignment="1">
      <alignment horizontal="right" vertical="top" wrapText="1"/>
    </xf>
    <xf numFmtId="168" fontId="183" fillId="0" borderId="0" xfId="543" applyNumberFormat="1" applyFont="1" applyAlignment="1">
      <alignment horizontal="center" vertical="center"/>
    </xf>
    <xf numFmtId="0" fontId="184" fillId="0" borderId="0" xfId="543" applyFont="1" applyAlignment="1">
      <alignment horizontal="left" vertical="center"/>
    </xf>
    <xf numFmtId="0" fontId="184" fillId="0" borderId="0" xfId="543" applyFont="1" applyAlignment="1">
      <alignment horizontal="right" vertical="top" wrapText="1"/>
    </xf>
    <xf numFmtId="168" fontId="183" fillId="0" borderId="104" xfId="543" applyNumberFormat="1" applyFont="1" applyBorder="1" applyAlignment="1">
      <alignment horizontal="center" vertical="center"/>
    </xf>
    <xf numFmtId="0" fontId="184" fillId="0" borderId="106" xfId="543" applyFont="1" applyBorder="1" applyAlignment="1">
      <alignment horizontal="right" vertical="top" wrapText="1"/>
    </xf>
    <xf numFmtId="0" fontId="26" fillId="0" borderId="0" xfId="4495" applyFont="1" applyAlignment="1">
      <alignment wrapText="1"/>
    </xf>
    <xf numFmtId="182" fontId="19" fillId="0" borderId="0" xfId="700" applyNumberFormat="1" applyFont="1"/>
    <xf numFmtId="9" fontId="19" fillId="0" borderId="0" xfId="1022" applyFont="1"/>
    <xf numFmtId="168" fontId="19"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3" fillId="52" borderId="113" xfId="0" applyFont="1" applyFill="1" applyBorder="1"/>
    <xf numFmtId="0" fontId="123" fillId="53" borderId="113" xfId="0" applyFont="1" applyFill="1" applyBorder="1"/>
    <xf numFmtId="1" fontId="0" fillId="0" borderId="0" xfId="0" applyNumberFormat="1"/>
    <xf numFmtId="0" fontId="20"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20" fillId="0" borderId="0" xfId="244" applyAlignment="1">
      <alignment horizontal="left" vertical="top"/>
    </xf>
    <xf numFmtId="9" fontId="19" fillId="0" borderId="0" xfId="0" applyNumberFormat="1" applyFont="1"/>
    <xf numFmtId="185" fontId="169" fillId="0" borderId="0" xfId="698" applyNumberFormat="1" applyFont="1"/>
    <xf numFmtId="0" fontId="186" fillId="0" borderId="0" xfId="0" applyFont="1" applyAlignment="1">
      <alignment horizontal="center"/>
    </xf>
    <xf numFmtId="0" fontId="19" fillId="0" borderId="0" xfId="569" quotePrefix="1"/>
    <xf numFmtId="168" fontId="156" fillId="0" borderId="0" xfId="0" applyNumberFormat="1" applyFont="1" applyAlignment="1">
      <alignment vertical="center" wrapText="1"/>
    </xf>
    <xf numFmtId="168" fontId="187" fillId="0" borderId="0" xfId="0" applyNumberFormat="1" applyFont="1" applyAlignment="1">
      <alignment horizontal="center" vertical="center" wrapText="1"/>
    </xf>
    <xf numFmtId="0" fontId="0" fillId="0" borderId="0" xfId="0" applyAlignment="1">
      <alignment vertical="center"/>
    </xf>
    <xf numFmtId="0" fontId="26" fillId="0" borderId="0" xfId="4495" applyFont="1" applyAlignment="1">
      <alignment horizontal="left" vertical="center"/>
    </xf>
    <xf numFmtId="0" fontId="26" fillId="0" borderId="0" xfId="4495" applyFont="1" applyAlignment="1">
      <alignment vertical="center"/>
    </xf>
    <xf numFmtId="0" fontId="123" fillId="0" borderId="58" xfId="4496" applyFont="1" applyBorder="1" applyAlignment="1">
      <alignment vertical="center"/>
    </xf>
    <xf numFmtId="0" fontId="26" fillId="0" borderId="5" xfId="4495" applyFont="1" applyBorder="1"/>
    <xf numFmtId="182" fontId="99" fillId="0" borderId="6" xfId="4496" applyNumberFormat="1" applyFont="1" applyBorder="1" applyAlignment="1">
      <alignment vertical="center"/>
    </xf>
    <xf numFmtId="1" fontId="99" fillId="0" borderId="0" xfId="4496" applyNumberFormat="1" applyFont="1" applyAlignment="1">
      <alignment horizontal="right" vertical="top" wrapText="1" indent="1"/>
    </xf>
    <xf numFmtId="3" fontId="99" fillId="43" borderId="6" xfId="4496" applyNumberFormat="1" applyFont="1" applyFill="1" applyBorder="1" applyAlignment="1" applyProtection="1">
      <alignment horizontal="center"/>
      <protection locked="0"/>
    </xf>
    <xf numFmtId="0" fontId="3" fillId="0" borderId="0" xfId="8736"/>
    <xf numFmtId="0" fontId="169" fillId="0" borderId="0" xfId="8736" applyFont="1"/>
    <xf numFmtId="0" fontId="104" fillId="0" borderId="0" xfId="8736" applyFont="1"/>
    <xf numFmtId="0" fontId="3" fillId="47" borderId="66" xfId="8736" applyFill="1" applyBorder="1"/>
    <xf numFmtId="0" fontId="3" fillId="47" borderId="0" xfId="8736" applyFill="1"/>
    <xf numFmtId="0" fontId="103" fillId="47" borderId="0" xfId="8736" applyFont="1" applyFill="1"/>
    <xf numFmtId="9" fontId="3" fillId="44" borderId="3" xfId="1022" applyFont="1" applyFill="1" applyBorder="1" applyAlignment="1">
      <alignment horizontal="centerContinuous"/>
    </xf>
    <xf numFmtId="9" fontId="3" fillId="44" borderId="4" xfId="1022" applyFont="1" applyFill="1" applyBorder="1" applyAlignment="1">
      <alignment horizontal="centerContinuous"/>
    </xf>
    <xf numFmtId="9" fontId="3" fillId="44" borderId="5" xfId="1022" applyFont="1" applyFill="1" applyBorder="1" applyAlignment="1">
      <alignment horizontal="centerContinuous"/>
    </xf>
    <xf numFmtId="0" fontId="103" fillId="47" borderId="41" xfId="8736" applyFont="1" applyFill="1" applyBorder="1" applyAlignment="1">
      <alignment horizontal="center"/>
    </xf>
    <xf numFmtId="182" fontId="174" fillId="47" borderId="0" xfId="8737" applyNumberFormat="1" applyFont="1" applyFill="1" applyBorder="1" applyAlignment="1"/>
    <xf numFmtId="0" fontId="3" fillId="47" borderId="41" xfId="8736" applyFill="1" applyBorder="1"/>
    <xf numFmtId="0" fontId="104" fillId="47" borderId="0" xfId="8736" applyFont="1" applyFill="1"/>
    <xf numFmtId="0" fontId="178" fillId="47" borderId="0" xfId="8736" applyFont="1" applyFill="1"/>
    <xf numFmtId="0" fontId="103" fillId="47" borderId="41" xfId="8736" applyFont="1" applyFill="1" applyBorder="1"/>
    <xf numFmtId="0" fontId="103" fillId="0" borderId="0" xfId="8736" applyFont="1"/>
    <xf numFmtId="0" fontId="166" fillId="0" borderId="0" xfId="8736" applyFont="1"/>
    <xf numFmtId="0" fontId="103" fillId="54" borderId="100" xfId="8736" applyFont="1" applyFill="1" applyBorder="1"/>
    <xf numFmtId="0" fontId="3" fillId="53" borderId="99" xfId="8736" applyFill="1" applyBorder="1"/>
    <xf numFmtId="0" fontId="3" fillId="52" borderId="99" xfId="8736" applyFill="1" applyBorder="1"/>
    <xf numFmtId="0" fontId="103" fillId="45" borderId="65" xfId="8736" applyFont="1" applyFill="1" applyBorder="1"/>
    <xf numFmtId="0" fontId="3" fillId="45" borderId="80" xfId="8736" applyFill="1" applyBorder="1"/>
    <xf numFmtId="0" fontId="3" fillId="45" borderId="79" xfId="8736" applyFill="1" applyBorder="1"/>
    <xf numFmtId="0" fontId="3" fillId="45" borderId="78" xfId="8736" applyFill="1" applyBorder="1"/>
    <xf numFmtId="0" fontId="103" fillId="45" borderId="0" xfId="8736" applyFont="1" applyFill="1"/>
    <xf numFmtId="0" fontId="103" fillId="45" borderId="12" xfId="8736" applyFont="1" applyFill="1" applyBorder="1"/>
    <xf numFmtId="0" fontId="103" fillId="45" borderId="29" xfId="8736" applyFont="1" applyFill="1" applyBorder="1"/>
    <xf numFmtId="0" fontId="103" fillId="45" borderId="80" xfId="8736" applyFont="1" applyFill="1" applyBorder="1"/>
    <xf numFmtId="0" fontId="103" fillId="45" borderId="79" xfId="8736" applyFont="1" applyFill="1" applyBorder="1"/>
    <xf numFmtId="0" fontId="103" fillId="45" borderId="78" xfId="8736" applyFont="1" applyFill="1" applyBorder="1"/>
    <xf numFmtId="0" fontId="103" fillId="45" borderId="93" xfId="8736" applyFont="1" applyFill="1" applyBorder="1"/>
    <xf numFmtId="0" fontId="103" fillId="45" borderId="6" xfId="8736" applyFont="1" applyFill="1" applyBorder="1"/>
    <xf numFmtId="0" fontId="103" fillId="45" borderId="10" xfId="8736" applyFont="1" applyFill="1" applyBorder="1"/>
    <xf numFmtId="0" fontId="169" fillId="44" borderId="0" xfId="8736" applyFont="1" applyFill="1"/>
    <xf numFmtId="10" fontId="169" fillId="44" borderId="0" xfId="1022" applyNumberFormat="1" applyFont="1" applyFill="1"/>
    <xf numFmtId="0" fontId="3" fillId="45" borderId="29" xfId="8736" applyFill="1" applyBorder="1"/>
    <xf numFmtId="0" fontId="3" fillId="45" borderId="31" xfId="8736" applyFill="1" applyBorder="1"/>
    <xf numFmtId="0" fontId="103" fillId="45" borderId="92" xfId="8736" applyFont="1" applyFill="1" applyBorder="1"/>
    <xf numFmtId="0" fontId="103" fillId="45" borderId="74" xfId="8736" applyFont="1" applyFill="1" applyBorder="1"/>
    <xf numFmtId="0" fontId="180" fillId="47" borderId="0" xfId="8736" applyFont="1" applyFill="1"/>
    <xf numFmtId="0" fontId="103" fillId="45" borderId="31" xfId="8736" applyFont="1" applyFill="1" applyBorder="1"/>
    <xf numFmtId="0" fontId="3" fillId="47" borderId="0" xfId="8736" applyFill="1" applyAlignment="1">
      <alignment horizontal="left"/>
    </xf>
    <xf numFmtId="0" fontId="172" fillId="51" borderId="11" xfId="8736" applyFont="1" applyFill="1" applyBorder="1"/>
    <xf numFmtId="0" fontId="172" fillId="51" borderId="76" xfId="8736" applyFont="1" applyFill="1" applyBorder="1"/>
    <xf numFmtId="0" fontId="173" fillId="51" borderId="11" xfId="8736" applyFont="1" applyFill="1" applyBorder="1" applyAlignment="1">
      <alignment horizontal="center"/>
    </xf>
    <xf numFmtId="0" fontId="173" fillId="51" borderId="76" xfId="8736" applyFont="1" applyFill="1" applyBorder="1" applyAlignment="1">
      <alignment horizontal="center"/>
    </xf>
    <xf numFmtId="0" fontId="3" fillId="48" borderId="66" xfId="8736" applyFill="1" applyBorder="1"/>
    <xf numFmtId="0" fontId="3" fillId="48" borderId="0" xfId="8736" applyFill="1"/>
    <xf numFmtId="0" fontId="3" fillId="48" borderId="78" xfId="8736" applyFill="1" applyBorder="1"/>
    <xf numFmtId="0" fontId="103" fillId="47" borderId="66" xfId="8736" applyFont="1" applyFill="1" applyBorder="1"/>
    <xf numFmtId="49" fontId="103" fillId="47" borderId="66" xfId="8736" applyNumberFormat="1" applyFont="1" applyFill="1" applyBorder="1" applyAlignment="1">
      <alignment horizontal="right" vertical="top"/>
    </xf>
    <xf numFmtId="0" fontId="3" fillId="47" borderId="73" xfId="8736" applyFill="1" applyBorder="1"/>
    <xf numFmtId="0" fontId="3" fillId="47" borderId="42" xfId="8736" applyFill="1" applyBorder="1"/>
    <xf numFmtId="0" fontId="3" fillId="47" borderId="44" xfId="8736" applyFill="1" applyBorder="1"/>
    <xf numFmtId="0" fontId="3" fillId="44" borderId="66" xfId="8736" applyFill="1" applyBorder="1"/>
    <xf numFmtId="0" fontId="3" fillId="44" borderId="0" xfId="8736" applyFill="1"/>
    <xf numFmtId="0" fontId="3" fillId="44" borderId="41" xfId="8736" applyFill="1" applyBorder="1"/>
    <xf numFmtId="0" fontId="3" fillId="44" borderId="0" xfId="8736" applyFill="1" applyAlignment="1">
      <alignment horizontal="left"/>
    </xf>
    <xf numFmtId="0" fontId="3" fillId="44" borderId="73" xfId="8736" applyFill="1" applyBorder="1"/>
    <xf numFmtId="0" fontId="3" fillId="44" borderId="42" xfId="8736" applyFill="1" applyBorder="1"/>
    <xf numFmtId="0" fontId="3" fillId="44" borderId="44" xfId="8736" applyFill="1" applyBorder="1"/>
    <xf numFmtId="0" fontId="164" fillId="0" borderId="0" xfId="8736" applyFont="1"/>
    <xf numFmtId="49" fontId="19" fillId="0" borderId="0" xfId="1192" applyNumberFormat="1" applyAlignment="1">
      <alignment horizontal="left" vertical="top" wrapText="1"/>
    </xf>
    <xf numFmtId="0" fontId="0" fillId="5" borderId="6" xfId="0" applyFill="1" applyBorder="1" applyProtection="1">
      <protection locked="0"/>
    </xf>
    <xf numFmtId="0" fontId="27" fillId="0" borderId="0" xfId="0" applyFont="1" applyAlignment="1">
      <alignment horizontal="left" vertical="top" wrapText="1"/>
    </xf>
    <xf numFmtId="0" fontId="26" fillId="0" borderId="0" xfId="9602" applyFont="1" applyAlignment="1">
      <alignment vertical="top"/>
    </xf>
    <xf numFmtId="0" fontId="19" fillId="0" borderId="0" xfId="1192" applyAlignment="1">
      <alignment horizontal="left" wrapText="1"/>
    </xf>
    <xf numFmtId="49" fontId="0" fillId="0" borderId="0" xfId="0" applyNumberFormat="1"/>
    <xf numFmtId="49" fontId="19" fillId="0" borderId="0" xfId="1192" applyNumberFormat="1"/>
    <xf numFmtId="0" fontId="27" fillId="0" borderId="114" xfId="0" applyFont="1" applyBorder="1"/>
    <xf numFmtId="0" fontId="26" fillId="0" borderId="114" xfId="0" applyFont="1" applyBorder="1"/>
    <xf numFmtId="0" fontId="27" fillId="0" borderId="114" xfId="0" applyFont="1" applyBorder="1" applyAlignment="1">
      <alignment horizontal="left" vertical="top"/>
    </xf>
    <xf numFmtId="0" fontId="19" fillId="0" borderId="114" xfId="0" applyFont="1" applyBorder="1" applyAlignment="1">
      <alignment horizontal="left" vertical="top"/>
    </xf>
    <xf numFmtId="0" fontId="26" fillId="0" borderId="114" xfId="0" applyFont="1" applyBorder="1" applyAlignment="1">
      <alignment horizontal="right"/>
    </xf>
    <xf numFmtId="0" fontId="19" fillId="0" borderId="114" xfId="0" applyFont="1" applyBorder="1" applyAlignment="1">
      <alignment horizontal="center"/>
    </xf>
    <xf numFmtId="0" fontId="27" fillId="0" borderId="8" xfId="0" applyFont="1" applyBorder="1"/>
    <xf numFmtId="49" fontId="27" fillId="0" borderId="0" xfId="0" applyNumberFormat="1" applyFont="1" applyAlignment="1">
      <alignment vertical="top"/>
    </xf>
    <xf numFmtId="2" fontId="19" fillId="0" borderId="2" xfId="0" applyNumberFormat="1" applyFont="1" applyBorder="1" applyAlignment="1">
      <alignment horizontal="left"/>
    </xf>
    <xf numFmtId="0" fontId="0" fillId="0" borderId="2" xfId="0" applyBorder="1" applyAlignment="1">
      <alignment horizontal="left"/>
    </xf>
    <xf numFmtId="2" fontId="19" fillId="0" borderId="0" xfId="0" applyNumberFormat="1" applyFont="1" applyAlignment="1">
      <alignment horizontal="left"/>
    </xf>
    <xf numFmtId="0" fontId="35" fillId="0" borderId="0" xfId="0" applyFont="1"/>
    <xf numFmtId="0" fontId="27" fillId="0" borderId="16" xfId="0" applyFont="1" applyBorder="1" applyAlignment="1">
      <alignment horizontal="center"/>
    </xf>
    <xf numFmtId="0" fontId="27" fillId="0" borderId="16" xfId="0" applyFont="1" applyBorder="1"/>
    <xf numFmtId="0" fontId="27" fillId="0" borderId="16" xfId="0" applyFont="1" applyBorder="1" applyAlignment="1">
      <alignment horizontal="left" vertical="top"/>
    </xf>
    <xf numFmtId="0" fontId="19" fillId="0" borderId="16" xfId="0" applyFont="1" applyBorder="1" applyAlignment="1">
      <alignment horizontal="left" vertical="top"/>
    </xf>
    <xf numFmtId="0" fontId="34" fillId="0" borderId="0" xfId="0" applyFont="1" applyAlignment="1">
      <alignment vertical="center" wrapText="1"/>
    </xf>
    <xf numFmtId="0" fontId="34" fillId="0" borderId="0" xfId="0" applyFont="1" applyAlignment="1">
      <alignment vertical="center"/>
    </xf>
    <xf numFmtId="0" fontId="34" fillId="0" borderId="0" xfId="0" applyFont="1" applyAlignment="1">
      <alignment horizontal="left" vertical="center" indent="1"/>
    </xf>
    <xf numFmtId="166" fontId="28" fillId="5" borderId="4" xfId="0" applyNumberFormat="1" applyFont="1" applyFill="1" applyBorder="1" applyAlignment="1" applyProtection="1">
      <alignment horizontal="left"/>
      <protection locked="0"/>
    </xf>
    <xf numFmtId="0" fontId="0" fillId="5" borderId="6" xfId="0" applyFill="1" applyBorder="1" applyAlignment="1" applyProtection="1">
      <alignment horizontal="left"/>
      <protection locked="0"/>
    </xf>
    <xf numFmtId="0" fontId="28" fillId="5" borderId="4" xfId="0" applyFont="1" applyFill="1" applyBorder="1" applyAlignment="1" applyProtection="1">
      <alignment horizontal="left"/>
      <protection locked="0"/>
    </xf>
    <xf numFmtId="0" fontId="19" fillId="5" borderId="6" xfId="0" applyFont="1" applyFill="1" applyBorder="1" applyAlignment="1" applyProtection="1">
      <alignment horizontal="left"/>
      <protection locked="0"/>
    </xf>
    <xf numFmtId="0" fontId="28" fillId="5" borderId="6" xfId="0" applyFont="1" applyFill="1" applyBorder="1" applyAlignment="1" applyProtection="1">
      <alignment horizontal="left"/>
      <protection locked="0"/>
    </xf>
    <xf numFmtId="166" fontId="28" fillId="5" borderId="6" xfId="271" applyNumberFormat="1" applyFill="1" applyBorder="1" applyAlignment="1" applyProtection="1">
      <alignment horizontal="left"/>
      <protection locked="0"/>
    </xf>
    <xf numFmtId="0" fontId="19" fillId="5" borderId="6" xfId="244" applyFont="1" applyFill="1" applyBorder="1" applyAlignment="1" applyProtection="1">
      <alignment horizontal="left"/>
      <protection locked="0"/>
    </xf>
    <xf numFmtId="168" fontId="26" fillId="0" borderId="3" xfId="543" applyNumberFormat="1" applyFont="1" applyBorder="1" applyAlignment="1">
      <alignment horizontal="center" vertical="center"/>
    </xf>
    <xf numFmtId="168" fontId="26" fillId="0" borderId="4" xfId="543" applyNumberFormat="1" applyFont="1" applyBorder="1" applyAlignment="1">
      <alignment horizontal="center" vertical="center"/>
    </xf>
    <xf numFmtId="168" fontId="26" fillId="0" borderId="5" xfId="543" applyNumberFormat="1" applyFont="1" applyBorder="1" applyAlignment="1">
      <alignment horizontal="center" vertical="center"/>
    </xf>
    <xf numFmtId="0" fontId="0" fillId="5" borderId="6" xfId="0" applyFill="1" applyBorder="1" applyAlignment="1" applyProtection="1">
      <alignment horizontal="center"/>
      <protection locked="0"/>
    </xf>
    <xf numFmtId="0" fontId="28" fillId="0" borderId="0" xfId="543" applyFont="1" applyAlignment="1">
      <alignment horizontal="center"/>
    </xf>
    <xf numFmtId="0" fontId="19" fillId="0" borderId="0" xfId="0" applyFont="1" applyAlignment="1">
      <alignment vertical="center" wrapText="1"/>
    </xf>
    <xf numFmtId="0" fontId="0" fillId="0" borderId="0" xfId="0" applyAlignment="1">
      <alignment horizontal="center"/>
    </xf>
    <xf numFmtId="0" fontId="19" fillId="0" borderId="0" xfId="543" applyAlignment="1">
      <alignment wrapText="1"/>
    </xf>
    <xf numFmtId="0" fontId="19" fillId="0" borderId="0" xfId="0" applyFont="1" applyAlignment="1">
      <alignment vertical="top" wrapText="1"/>
    </xf>
    <xf numFmtId="0" fontId="26" fillId="0" borderId="0" xfId="0" applyFont="1" applyAlignment="1">
      <alignment horizontal="center"/>
    </xf>
    <xf numFmtId="0" fontId="159" fillId="0" borderId="8" xfId="543" applyFont="1" applyBorder="1" applyAlignment="1">
      <alignment horizontal="center" wrapText="1"/>
    </xf>
    <xf numFmtId="0" fontId="159" fillId="0" borderId="0" xfId="543" applyFont="1" applyAlignment="1">
      <alignment horizontal="center" wrapText="1"/>
    </xf>
    <xf numFmtId="0" fontId="159" fillId="0" borderId="12" xfId="543" applyFont="1" applyBorder="1" applyAlignment="1">
      <alignment horizontal="center" wrapText="1"/>
    </xf>
    <xf numFmtId="0" fontId="159" fillId="0" borderId="9" xfId="543" applyFont="1" applyBorder="1" applyAlignment="1">
      <alignment horizontal="center" wrapText="1"/>
    </xf>
    <xf numFmtId="0" fontId="159" fillId="0" borderId="6" xfId="543" applyFont="1" applyBorder="1" applyAlignment="1">
      <alignment horizontal="center" wrapText="1"/>
    </xf>
    <xf numFmtId="0" fontId="159" fillId="0" borderId="10" xfId="543" applyFont="1" applyBorder="1" applyAlignment="1">
      <alignment horizontal="center" wrapText="1"/>
    </xf>
    <xf numFmtId="0" fontId="159" fillId="0" borderId="8" xfId="543" applyFont="1" applyBorder="1" applyAlignment="1">
      <alignment horizontal="center" vertical="top" wrapText="1"/>
    </xf>
    <xf numFmtId="0" fontId="159" fillId="0" borderId="0" xfId="543" applyFont="1" applyAlignment="1">
      <alignment horizontal="center" vertical="top" wrapText="1"/>
    </xf>
    <xf numFmtId="0" fontId="159" fillId="0" borderId="12" xfId="543" applyFont="1" applyBorder="1" applyAlignment="1">
      <alignment horizontal="center" vertical="top" wrapText="1"/>
    </xf>
    <xf numFmtId="0" fontId="159" fillId="0" borderId="9" xfId="543" applyFont="1" applyBorder="1" applyAlignment="1">
      <alignment horizontal="center" vertical="top" wrapText="1"/>
    </xf>
    <xf numFmtId="0" fontId="159" fillId="0" borderId="6" xfId="543" applyFont="1" applyBorder="1" applyAlignment="1">
      <alignment horizontal="center" vertical="top" wrapText="1"/>
    </xf>
    <xf numFmtId="0" fontId="159" fillId="0" borderId="10" xfId="543" applyFont="1" applyBorder="1" applyAlignment="1">
      <alignment horizontal="center" vertical="top" wrapText="1"/>
    </xf>
    <xf numFmtId="0" fontId="156" fillId="0" borderId="0" xfId="0" applyFont="1" applyAlignment="1">
      <alignment horizontal="center" vertical="center" wrapText="1"/>
    </xf>
    <xf numFmtId="1" fontId="28" fillId="5" borderId="3" xfId="0" applyNumberFormat="1" applyFont="1" applyFill="1" applyBorder="1" applyAlignment="1" applyProtection="1">
      <alignment horizontal="center"/>
      <protection locked="0"/>
    </xf>
    <xf numFmtId="1" fontId="28" fillId="5" borderId="4" xfId="0" applyNumberFormat="1" applyFont="1" applyFill="1" applyBorder="1" applyAlignment="1" applyProtection="1">
      <alignment horizontal="center"/>
      <protection locked="0"/>
    </xf>
    <xf numFmtId="1" fontId="28"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0" fontId="28" fillId="5" borderId="3" xfId="0" applyFont="1" applyFill="1" applyBorder="1" applyAlignment="1" applyProtection="1">
      <alignment horizontal="center"/>
      <protection locked="0"/>
    </xf>
    <xf numFmtId="0" fontId="28" fillId="5" borderId="4" xfId="0" applyFont="1" applyFill="1" applyBorder="1" applyAlignment="1" applyProtection="1">
      <alignment horizontal="center"/>
      <protection locked="0"/>
    </xf>
    <xf numFmtId="0" fontId="28" fillId="5" borderId="5" xfId="0" applyFont="1" applyFill="1" applyBorder="1" applyAlignment="1" applyProtection="1">
      <alignment horizontal="center"/>
      <protection locked="0"/>
    </xf>
    <xf numFmtId="168" fontId="19" fillId="0" borderId="1" xfId="543" applyNumberFormat="1" applyBorder="1" applyAlignment="1">
      <alignment horizontal="center" vertical="center"/>
    </xf>
    <xf numFmtId="168" fontId="19" fillId="0" borderId="2" xfId="543" applyNumberFormat="1" applyBorder="1" applyAlignment="1">
      <alignment horizontal="center" vertical="center"/>
    </xf>
    <xf numFmtId="168" fontId="19" fillId="0" borderId="7" xfId="543" applyNumberFormat="1" applyBorder="1" applyAlignment="1">
      <alignment horizontal="center" vertical="center"/>
    </xf>
    <xf numFmtId="168" fontId="19" fillId="0" borderId="8" xfId="543" applyNumberFormat="1" applyBorder="1" applyAlignment="1">
      <alignment horizontal="center" vertical="center"/>
    </xf>
    <xf numFmtId="168" fontId="19" fillId="0" borderId="0" xfId="543" applyNumberFormat="1" applyAlignment="1">
      <alignment horizontal="center" vertical="center"/>
    </xf>
    <xf numFmtId="168" fontId="19" fillId="0" borderId="12" xfId="543" applyNumberFormat="1" applyBorder="1" applyAlignment="1">
      <alignment horizontal="center" vertical="center"/>
    </xf>
    <xf numFmtId="168" fontId="19" fillId="0" borderId="9" xfId="543" applyNumberFormat="1" applyBorder="1" applyAlignment="1">
      <alignment horizontal="center" vertical="center"/>
    </xf>
    <xf numFmtId="168" fontId="19" fillId="0" borderId="6" xfId="543" applyNumberFormat="1" applyBorder="1" applyAlignment="1">
      <alignment horizontal="center" vertical="center"/>
    </xf>
    <xf numFmtId="168" fontId="19" fillId="0" borderId="10" xfId="543" applyNumberFormat="1" applyBorder="1" applyAlignment="1">
      <alignment horizontal="center" vertical="center"/>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19" fillId="2" borderId="3" xfId="543" applyFill="1" applyBorder="1" applyAlignment="1">
      <alignment horizontal="center"/>
    </xf>
    <xf numFmtId="0" fontId="19" fillId="2" borderId="4" xfId="543" applyFill="1" applyBorder="1" applyAlignment="1">
      <alignment horizontal="center"/>
    </xf>
    <xf numFmtId="0" fontId="19" fillId="2" borderId="5" xfId="543" applyFill="1" applyBorder="1" applyAlignment="1">
      <alignment horizontal="center"/>
    </xf>
    <xf numFmtId="0" fontId="55" fillId="5" borderId="3" xfId="0" applyFont="1" applyFill="1" applyBorder="1" applyAlignment="1" applyProtection="1">
      <alignment horizontal="right"/>
      <protection locked="0"/>
    </xf>
    <xf numFmtId="0" fontId="55" fillId="5" borderId="4" xfId="0" applyFont="1" applyFill="1" applyBorder="1" applyAlignment="1" applyProtection="1">
      <alignment horizontal="right"/>
      <protection locked="0"/>
    </xf>
    <xf numFmtId="0" fontId="55" fillId="5" borderId="5" xfId="0" applyFont="1" applyFill="1" applyBorder="1" applyAlignment="1" applyProtection="1">
      <alignment horizontal="right"/>
      <protection locked="0"/>
    </xf>
    <xf numFmtId="168" fontId="19" fillId="5" borderId="3" xfId="0" applyNumberFormat="1" applyFont="1" applyFill="1" applyBorder="1" applyAlignment="1" applyProtection="1">
      <alignment horizontal="right"/>
      <protection locked="0"/>
    </xf>
    <xf numFmtId="168" fontId="19" fillId="5" borderId="4" xfId="0" applyNumberFormat="1" applyFont="1" applyFill="1" applyBorder="1" applyAlignment="1" applyProtection="1">
      <alignment horizontal="right"/>
      <protection locked="0"/>
    </xf>
    <xf numFmtId="168" fontId="19" fillId="5" borderId="5" xfId="0" applyNumberFormat="1" applyFont="1" applyFill="1" applyBorder="1" applyAlignment="1" applyProtection="1">
      <alignment horizontal="right"/>
      <protection locked="0"/>
    </xf>
    <xf numFmtId="182" fontId="27" fillId="43" borderId="11" xfId="8721" applyNumberFormat="1" applyFont="1" applyFill="1" applyBorder="1" applyAlignment="1" applyProtection="1">
      <alignment horizontal="center" vertical="center" wrapText="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46" fillId="0" borderId="8" xfId="543" applyFont="1" applyBorder="1" applyAlignment="1">
      <alignment horizontal="center" vertical="center" wrapText="1"/>
    </xf>
    <xf numFmtId="0" fontId="46" fillId="0" borderId="0" xfId="543" applyFont="1" applyAlignment="1">
      <alignment horizontal="center" vertical="center" wrapText="1"/>
    </xf>
    <xf numFmtId="0" fontId="46" fillId="0" borderId="12" xfId="543" applyFont="1" applyBorder="1" applyAlignment="1">
      <alignment horizontal="center" vertical="center" wrapText="1"/>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26" fillId="0" borderId="8" xfId="0" applyFont="1" applyBorder="1" applyAlignment="1">
      <alignment horizontal="center" wrapText="1"/>
    </xf>
    <xf numFmtId="0" fontId="26" fillId="0" borderId="0" xfId="0" applyFont="1" applyAlignment="1">
      <alignment horizontal="center" wrapText="1"/>
    </xf>
    <xf numFmtId="0" fontId="26" fillId="0" borderId="12" xfId="0" applyFont="1" applyBorder="1" applyAlignment="1">
      <alignment horizontal="center" wrapText="1"/>
    </xf>
    <xf numFmtId="0" fontId="26" fillId="0" borderId="9" xfId="0" applyFont="1" applyBorder="1" applyAlignment="1">
      <alignment horizontal="center" wrapText="1"/>
    </xf>
    <xf numFmtId="0" fontId="26" fillId="0" borderId="6" xfId="0" applyFont="1" applyBorder="1" applyAlignment="1">
      <alignment horizontal="center" wrapText="1"/>
    </xf>
    <xf numFmtId="0" fontId="26" fillId="0" borderId="10" xfId="0" applyFont="1" applyBorder="1" applyAlignment="1">
      <alignment horizontal="center" wrapText="1"/>
    </xf>
    <xf numFmtId="0" fontId="19" fillId="0" borderId="0" xfId="0" applyFont="1" applyAlignment="1">
      <alignment horizontal="left" wrapText="1"/>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168" fontId="28" fillId="5" borderId="3" xfId="0" applyNumberFormat="1" applyFont="1" applyFill="1" applyBorder="1" applyAlignment="1" applyProtection="1">
      <alignment horizontal="center"/>
      <protection locked="0"/>
    </xf>
    <xf numFmtId="168" fontId="28" fillId="5" borderId="4" xfId="0" applyNumberFormat="1" applyFont="1" applyFill="1" applyBorder="1" applyAlignment="1" applyProtection="1">
      <alignment horizontal="center"/>
      <protection locked="0"/>
    </xf>
    <xf numFmtId="168" fontId="28" fillId="5" borderId="5" xfId="0" applyNumberFormat="1" applyFont="1" applyFill="1" applyBorder="1" applyAlignment="1" applyProtection="1">
      <alignment horizontal="center"/>
      <protection locked="0"/>
    </xf>
    <xf numFmtId="1" fontId="19" fillId="0" borderId="3" xfId="0" applyNumberFormat="1" applyFont="1" applyBorder="1" applyAlignment="1">
      <alignment horizontal="center"/>
    </xf>
    <xf numFmtId="1" fontId="28" fillId="0" borderId="4" xfId="0" applyNumberFormat="1" applyFont="1" applyBorder="1" applyAlignment="1">
      <alignment horizontal="center"/>
    </xf>
    <xf numFmtId="1" fontId="28" fillId="0" borderId="5" xfId="0" applyNumberFormat="1" applyFont="1" applyBorder="1" applyAlignment="1">
      <alignment horizontal="center"/>
    </xf>
    <xf numFmtId="0" fontId="28" fillId="5" borderId="6" xfId="271" applyFill="1" applyBorder="1" applyProtection="1">
      <protection locked="0"/>
    </xf>
    <xf numFmtId="164" fontId="27" fillId="5" borderId="3" xfId="0" applyNumberFormat="1" applyFont="1" applyFill="1" applyBorder="1" applyAlignment="1" applyProtection="1">
      <alignment horizontal="left"/>
      <protection locked="0"/>
    </xf>
    <xf numFmtId="164" fontId="38" fillId="5" borderId="4" xfId="0" applyNumberFormat="1" applyFont="1" applyFill="1" applyBorder="1" applyAlignment="1" applyProtection="1">
      <alignment horizontal="left"/>
      <protection locked="0"/>
    </xf>
    <xf numFmtId="164" fontId="38" fillId="5" borderId="5" xfId="0" applyNumberFormat="1" applyFont="1" applyFill="1" applyBorder="1" applyAlignment="1" applyProtection="1">
      <alignment horizontal="left"/>
      <protection locked="0"/>
    </xf>
    <xf numFmtId="0" fontId="19" fillId="0" borderId="3" xfId="0" applyFont="1" applyBorder="1"/>
    <xf numFmtId="0" fontId="19" fillId="0" borderId="4" xfId="0" applyFont="1" applyBorder="1"/>
    <xf numFmtId="0" fontId="19" fillId="0" borderId="5" xfId="0" applyFont="1" applyBorder="1"/>
    <xf numFmtId="9" fontId="28" fillId="5" borderId="3" xfId="0" applyNumberFormat="1" applyFont="1" applyFill="1" applyBorder="1" applyAlignment="1" applyProtection="1">
      <alignment horizontal="center"/>
      <protection locked="0"/>
    </xf>
    <xf numFmtId="9" fontId="28" fillId="5" borderId="4" xfId="0" applyNumberFormat="1" applyFont="1" applyFill="1" applyBorder="1" applyAlignment="1" applyProtection="1">
      <alignment horizontal="center"/>
      <protection locked="0"/>
    </xf>
    <xf numFmtId="9" fontId="28" fillId="5" borderId="5" xfId="0" applyNumberFormat="1" applyFont="1" applyFill="1" applyBorder="1" applyAlignment="1" applyProtection="1">
      <alignment horizontal="center"/>
      <protection locked="0"/>
    </xf>
    <xf numFmtId="0" fontId="0" fillId="0" borderId="3" xfId="0" applyBorder="1"/>
    <xf numFmtId="0" fontId="0" fillId="0" borderId="4" xfId="0" applyBorder="1"/>
    <xf numFmtId="0" fontId="0" fillId="0" borderId="5" xfId="0" applyBorder="1"/>
    <xf numFmtId="0" fontId="40" fillId="0" borderId="3" xfId="543" applyFont="1" applyBorder="1" applyAlignment="1">
      <alignment horizontal="center"/>
    </xf>
    <xf numFmtId="0" fontId="40" fillId="0" borderId="4" xfId="543" applyFont="1" applyBorder="1" applyAlignment="1">
      <alignment horizontal="center"/>
    </xf>
    <xf numFmtId="0" fontId="40" fillId="0" borderId="5" xfId="543" applyFont="1" applyBorder="1" applyAlignment="1">
      <alignment horizontal="center"/>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6" fontId="19" fillId="5" borderId="4" xfId="0" applyNumberFormat="1" applyFont="1" applyFill="1" applyBorder="1" applyAlignment="1" applyProtection="1">
      <alignment horizontal="left"/>
      <protection locked="0"/>
    </xf>
    <xf numFmtId="166" fontId="28" fillId="5" borderId="4" xfId="0" applyNumberFormat="1" applyFont="1" applyFill="1" applyBorder="1" applyAlignment="1" applyProtection="1">
      <alignment horizontal="left"/>
      <protection locked="0"/>
    </xf>
    <xf numFmtId="0" fontId="19" fillId="5" borderId="6" xfId="0" applyFont="1" applyFill="1" applyBorder="1" applyAlignment="1" applyProtection="1">
      <alignment horizontal="left"/>
      <protection locked="0"/>
    </xf>
    <xf numFmtId="0" fontId="0" fillId="5" borderId="6" xfId="0" applyFill="1" applyBorder="1" applyAlignment="1" applyProtection="1">
      <alignment horizontal="left"/>
      <protection locked="0"/>
    </xf>
    <xf numFmtId="168" fontId="28" fillId="0" borderId="3" xfId="0" applyNumberFormat="1" applyFont="1" applyBorder="1" applyAlignment="1">
      <alignment horizontal="center"/>
    </xf>
    <xf numFmtId="168" fontId="28" fillId="0" borderId="4" xfId="0" applyNumberFormat="1" applyFont="1" applyBorder="1" applyAlignment="1">
      <alignment horizontal="center"/>
    </xf>
    <xf numFmtId="168" fontId="28" fillId="0" borderId="5" xfId="0" applyNumberFormat="1" applyFont="1" applyBorder="1" applyAlignment="1">
      <alignment horizontal="center"/>
    </xf>
    <xf numFmtId="165" fontId="28" fillId="0" borderId="1" xfId="0" applyNumberFormat="1" applyFont="1" applyBorder="1" applyAlignment="1">
      <alignment horizontal="right"/>
    </xf>
    <xf numFmtId="165" fontId="28" fillId="0" borderId="2" xfId="0" applyNumberFormat="1" applyFont="1" applyBorder="1" applyAlignment="1">
      <alignment horizontal="right"/>
    </xf>
    <xf numFmtId="165" fontId="28" fillId="0" borderId="7" xfId="0" applyNumberFormat="1" applyFont="1" applyBorder="1" applyAlignment="1">
      <alignment horizontal="right"/>
    </xf>
    <xf numFmtId="0" fontId="19"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1" fontId="28" fillId="5" borderId="11" xfId="0" applyNumberFormat="1" applyFont="1" applyFill="1" applyBorder="1" applyAlignment="1" applyProtection="1">
      <alignment horizontal="center"/>
      <protection locked="0"/>
    </xf>
    <xf numFmtId="0" fontId="28" fillId="0" borderId="11" xfId="0" applyFont="1" applyBorder="1" applyAlignment="1">
      <alignment horizontal="center" vertical="top" wrapText="1"/>
    </xf>
    <xf numFmtId="0" fontId="19" fillId="5" borderId="3" xfId="0" applyFont="1" applyFill="1" applyBorder="1" applyAlignment="1" applyProtection="1">
      <alignment horizontal="left"/>
      <protection locked="0"/>
    </xf>
    <xf numFmtId="0" fontId="19" fillId="5" borderId="4" xfId="0" applyFont="1" applyFill="1" applyBorder="1" applyAlignment="1" applyProtection="1">
      <alignment horizontal="left"/>
      <protection locked="0"/>
    </xf>
    <xf numFmtId="0" fontId="19" fillId="5" borderId="5" xfId="0" applyFont="1" applyFill="1" applyBorder="1" applyAlignment="1" applyProtection="1">
      <alignment horizontal="left"/>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168" fontId="19" fillId="43" borderId="3" xfId="0" applyNumberFormat="1" applyFont="1" applyFill="1" applyBorder="1" applyAlignment="1" applyProtection="1">
      <alignment horizontal="center" vertical="center"/>
      <protection locked="0"/>
    </xf>
    <xf numFmtId="168" fontId="19" fillId="43" borderId="4" xfId="0" applyNumberFormat="1" applyFont="1" applyFill="1" applyBorder="1" applyAlignment="1" applyProtection="1">
      <alignment horizontal="center" vertical="center"/>
      <protection locked="0"/>
    </xf>
    <xf numFmtId="168" fontId="19" fillId="43" borderId="5" xfId="0" applyNumberFormat="1" applyFont="1" applyFill="1" applyBorder="1" applyAlignment="1" applyProtection="1">
      <alignment horizontal="center" vertical="center"/>
      <protection locked="0"/>
    </xf>
    <xf numFmtId="0" fontId="0" fillId="5" borderId="4" xfId="0" applyFill="1" applyBorder="1" applyAlignment="1" applyProtection="1">
      <alignment horizontal="left"/>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0" fontId="26" fillId="0" borderId="11" xfId="0" applyFont="1" applyBorder="1" applyAlignment="1">
      <alignment horizontal="center" vertical="center" wrapText="1"/>
    </xf>
    <xf numFmtId="0" fontId="19" fillId="5" borderId="11" xfId="0" applyFont="1" applyFill="1" applyBorder="1" applyAlignment="1" applyProtection="1">
      <alignment vertical="center" wrapText="1"/>
      <protection locked="0"/>
    </xf>
    <xf numFmtId="0" fontId="28" fillId="5" borderId="4" xfId="0" applyFont="1" applyFill="1" applyBorder="1" applyAlignment="1" applyProtection="1">
      <alignment horizontal="left"/>
      <protection locked="0"/>
    </xf>
    <xf numFmtId="0" fontId="25" fillId="3" borderId="0" xfId="0" applyFont="1" applyFill="1" applyAlignment="1">
      <alignment horizontal="center" vertical="center" wrapText="1"/>
    </xf>
    <xf numFmtId="0" fontId="0" fillId="0" borderId="6" xfId="0" applyBorder="1" applyAlignment="1">
      <alignment horizontal="left"/>
    </xf>
    <xf numFmtId="0" fontId="0" fillId="43" borderId="4" xfId="0" applyFill="1" applyBorder="1" applyAlignment="1" applyProtection="1">
      <alignment horizontal="center"/>
      <protection locked="0"/>
    </xf>
    <xf numFmtId="0" fontId="52" fillId="0" borderId="0" xfId="0" applyFont="1" applyAlignment="1">
      <alignment horizontal="center"/>
    </xf>
    <xf numFmtId="0" fontId="19" fillId="0" borderId="0" xfId="0" applyFont="1" applyAlignment="1">
      <alignment horizontal="center"/>
    </xf>
    <xf numFmtId="0" fontId="34" fillId="0" borderId="0" xfId="0" applyFont="1" applyAlignment="1">
      <alignment horizontal="center"/>
    </xf>
    <xf numFmtId="0" fontId="19" fillId="0" borderId="0" xfId="0" applyFont="1" applyAlignment="1">
      <alignment wrapText="1"/>
    </xf>
    <xf numFmtId="0" fontId="19" fillId="0" borderId="0" xfId="0" applyFont="1" applyAlignment="1">
      <alignment horizontal="center" vertical="top"/>
    </xf>
    <xf numFmtId="0" fontId="19" fillId="0" borderId="0" xfId="0" applyFont="1" applyAlignment="1">
      <alignment horizontal="left" vertical="top" wrapText="1"/>
    </xf>
    <xf numFmtId="0" fontId="28" fillId="0" borderId="0" xfId="0" applyFont="1" applyAlignment="1">
      <alignment horizontal="left" vertical="top" wrapText="1"/>
    </xf>
    <xf numFmtId="0" fontId="28" fillId="5" borderId="6" xfId="0" applyFont="1" applyFill="1" applyBorder="1" applyAlignment="1" applyProtection="1">
      <alignment horizontal="left"/>
      <protection locked="0"/>
    </xf>
    <xf numFmtId="168" fontId="28" fillId="0" borderId="6" xfId="0" applyNumberFormat="1" applyFont="1" applyBorder="1" applyAlignment="1">
      <alignment horizontal="center"/>
    </xf>
    <xf numFmtId="0" fontId="19" fillId="5" borderId="6" xfId="0" applyFont="1" applyFill="1" applyBorder="1" applyAlignment="1" applyProtection="1">
      <alignment horizontal="left" wrapText="1"/>
      <protection locked="0"/>
    </xf>
    <xf numFmtId="0" fontId="27" fillId="0" borderId="0" xfId="0" applyFont="1" applyAlignment="1">
      <alignment horizontal="center"/>
    </xf>
    <xf numFmtId="0" fontId="25" fillId="3" borderId="0" xfId="0" applyFont="1" applyFill="1" applyAlignment="1">
      <alignment horizontal="center" vertical="center"/>
    </xf>
    <xf numFmtId="166" fontId="19" fillId="5" borderId="6" xfId="0" applyNumberFormat="1" applyFont="1" applyFill="1" applyBorder="1" applyAlignment="1" applyProtection="1">
      <alignment horizontal="left"/>
      <protection locked="0"/>
    </xf>
    <xf numFmtId="166" fontId="28" fillId="5" borderId="6" xfId="0" applyNumberFormat="1" applyFont="1" applyFill="1" applyBorder="1" applyAlignment="1" applyProtection="1">
      <alignment horizontal="left"/>
      <protection locked="0"/>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8" fillId="5" borderId="4" xfId="0" applyFont="1" applyFill="1" applyBorder="1" applyAlignment="1" applyProtection="1">
      <alignment wrapText="1"/>
      <protection locked="0"/>
    </xf>
    <xf numFmtId="0" fontId="26" fillId="0" borderId="2"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0" xfId="0" applyFont="1" applyAlignment="1">
      <alignment horizontal="center" vertical="center" wrapText="1"/>
    </xf>
    <xf numFmtId="0" fontId="26" fillId="0" borderId="12"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10" xfId="0" applyFont="1" applyBorder="1" applyAlignment="1">
      <alignment horizontal="center" vertical="center" wrapText="1"/>
    </xf>
    <xf numFmtId="175" fontId="19" fillId="43" borderId="3" xfId="0" applyNumberFormat="1" applyFont="1" applyFill="1" applyBorder="1" applyAlignment="1" applyProtection="1">
      <alignment horizontal="center"/>
      <protection locked="0"/>
    </xf>
    <xf numFmtId="175" fontId="19" fillId="43" borderId="4" xfId="0" applyNumberFormat="1" applyFont="1" applyFill="1" applyBorder="1" applyAlignment="1" applyProtection="1">
      <alignment horizontal="center"/>
      <protection locked="0"/>
    </xf>
    <xf numFmtId="175" fontId="19" fillId="43" borderId="5" xfId="0" applyNumberFormat="1" applyFont="1" applyFill="1" applyBorder="1" applyAlignment="1" applyProtection="1">
      <alignment horizontal="center"/>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1" fontId="28" fillId="5" borderId="3" xfId="0" applyNumberFormat="1" applyFont="1" applyFill="1" applyBorder="1" applyAlignment="1" applyProtection="1">
      <alignment horizontal="right" vertical="top"/>
      <protection locked="0"/>
    </xf>
    <xf numFmtId="1" fontId="28" fillId="5" borderId="4" xfId="0" applyNumberFormat="1" applyFont="1" applyFill="1" applyBorder="1" applyAlignment="1" applyProtection="1">
      <alignment horizontal="right" vertical="top"/>
      <protection locked="0"/>
    </xf>
    <xf numFmtId="1" fontId="28" fillId="5" borderId="5" xfId="0" applyNumberFormat="1" applyFont="1" applyFill="1" applyBorder="1" applyAlignment="1" applyProtection="1">
      <alignment horizontal="right" vertical="top"/>
      <protection locked="0"/>
    </xf>
    <xf numFmtId="180" fontId="27" fillId="43" borderId="3" xfId="0" applyNumberFormat="1" applyFont="1" applyFill="1" applyBorder="1" applyAlignment="1" applyProtection="1">
      <alignment horizontal="center" vertical="center"/>
      <protection locked="0"/>
    </xf>
    <xf numFmtId="180" fontId="27" fillId="43" borderId="4" xfId="0" applyNumberFormat="1" applyFont="1" applyFill="1" applyBorder="1" applyAlignment="1" applyProtection="1">
      <alignment horizontal="center" vertical="center"/>
      <protection locked="0"/>
    </xf>
    <xf numFmtId="180" fontId="27" fillId="43" borderId="5" xfId="0" applyNumberFormat="1" applyFont="1" applyFill="1" applyBorder="1" applyAlignment="1" applyProtection="1">
      <alignment horizontal="center" vertical="center"/>
      <protection locked="0"/>
    </xf>
    <xf numFmtId="0" fontId="28" fillId="5" borderId="9" xfId="0" applyFont="1" applyFill="1" applyBorder="1" applyAlignment="1" applyProtection="1">
      <alignment horizontal="center"/>
      <protection locked="0"/>
    </xf>
    <xf numFmtId="0" fontId="28" fillId="5" borderId="6" xfId="0" applyFont="1" applyFill="1" applyBorder="1" applyAlignment="1" applyProtection="1">
      <alignment horizontal="center"/>
      <protection locked="0"/>
    </xf>
    <xf numFmtId="0" fontId="56" fillId="0" borderId="1" xfId="0" applyFont="1" applyBorder="1" applyAlignment="1">
      <alignment horizontal="center" vertical="center" wrapText="1"/>
    </xf>
    <xf numFmtId="0" fontId="56" fillId="0" borderId="2" xfId="0" applyFont="1" applyBorder="1" applyAlignment="1">
      <alignment horizontal="center" vertical="center" wrapText="1"/>
    </xf>
    <xf numFmtId="0" fontId="56" fillId="0" borderId="7" xfId="0" applyFont="1" applyBorder="1" applyAlignment="1">
      <alignment horizontal="center" vertical="center" wrapText="1"/>
    </xf>
    <xf numFmtId="0" fontId="56" fillId="0" borderId="8" xfId="0" applyFont="1" applyBorder="1" applyAlignment="1">
      <alignment horizontal="center" vertical="center" wrapText="1"/>
    </xf>
    <xf numFmtId="0" fontId="56" fillId="0" borderId="0" xfId="0" applyFont="1" applyAlignment="1">
      <alignment horizontal="center" vertical="center" wrapText="1"/>
    </xf>
    <xf numFmtId="0" fontId="56" fillId="0" borderId="12" xfId="0" applyFont="1" applyBorder="1" applyAlignment="1">
      <alignment horizontal="center" vertical="center" wrapText="1"/>
    </xf>
    <xf numFmtId="0" fontId="56" fillId="0" borderId="9" xfId="0" applyFont="1" applyBorder="1" applyAlignment="1">
      <alignment horizontal="center" vertical="center" wrapText="1"/>
    </xf>
    <xf numFmtId="0" fontId="56" fillId="0" borderId="6" xfId="0" applyFont="1" applyBorder="1" applyAlignment="1">
      <alignment horizontal="center" vertical="center" wrapText="1"/>
    </xf>
    <xf numFmtId="0" fontId="56" fillId="0" borderId="10" xfId="0" applyFont="1" applyBorder="1" applyAlignment="1">
      <alignment horizontal="center" vertical="center" wrapText="1"/>
    </xf>
    <xf numFmtId="0" fontId="0" fillId="0" borderId="12" xfId="0" applyBorder="1" applyAlignment="1">
      <alignment horizontal="center"/>
    </xf>
    <xf numFmtId="180" fontId="0" fillId="0" borderId="6" xfId="0" applyNumberFormat="1" applyBorder="1" applyAlignment="1">
      <alignment horizontal="center"/>
    </xf>
    <xf numFmtId="14" fontId="28" fillId="5" borderId="4" xfId="0" applyNumberFormat="1" applyFont="1" applyFill="1" applyBorder="1" applyAlignment="1" applyProtection="1">
      <alignment horizontal="right"/>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175" fontId="19" fillId="43" borderId="3" xfId="0" applyNumberFormat="1" applyFont="1" applyFill="1" applyBorder="1" applyAlignment="1" applyProtection="1">
      <alignment horizontal="center" vertical="center"/>
      <protection locked="0"/>
    </xf>
    <xf numFmtId="175" fontId="19" fillId="43" borderId="4" xfId="0" applyNumberFormat="1" applyFont="1" applyFill="1" applyBorder="1" applyAlignment="1" applyProtection="1">
      <alignment horizontal="center" vertical="center"/>
      <protection locked="0"/>
    </xf>
    <xf numFmtId="175" fontId="19" fillId="43" borderId="5" xfId="0" applyNumberFormat="1" applyFont="1" applyFill="1" applyBorder="1" applyAlignment="1" applyProtection="1">
      <alignment horizontal="center" vertical="center"/>
      <protection locked="0"/>
    </xf>
    <xf numFmtId="168" fontId="28" fillId="5" borderId="3" xfId="0" applyNumberFormat="1" applyFont="1" applyFill="1" applyBorder="1" applyAlignment="1" applyProtection="1">
      <alignment horizontal="left" vertical="top"/>
      <protection locked="0"/>
    </xf>
    <xf numFmtId="168" fontId="28" fillId="5" borderId="4" xfId="0" applyNumberFormat="1" applyFont="1" applyFill="1" applyBorder="1" applyAlignment="1" applyProtection="1">
      <alignment horizontal="left" vertical="top"/>
      <protection locked="0"/>
    </xf>
    <xf numFmtId="168" fontId="28" fillId="5" borderId="5" xfId="0" applyNumberFormat="1" applyFont="1" applyFill="1" applyBorder="1" applyAlignment="1" applyProtection="1">
      <alignment horizontal="left" vertical="top"/>
      <protection locked="0"/>
    </xf>
    <xf numFmtId="0" fontId="19" fillId="5" borderId="11" xfId="0" applyFont="1" applyFill="1" applyBorder="1" applyAlignment="1" applyProtection="1">
      <alignment horizontal="left" vertical="center" wrapText="1"/>
      <protection locked="0"/>
    </xf>
    <xf numFmtId="178" fontId="28" fillId="5" borderId="4" xfId="0" applyNumberFormat="1" applyFont="1" applyFill="1" applyBorder="1" applyAlignment="1" applyProtection="1">
      <alignment horizontal="right"/>
      <protection locked="0"/>
    </xf>
    <xf numFmtId="0" fontId="27" fillId="43" borderId="6" xfId="0" applyFont="1" applyFill="1" applyBorder="1" applyAlignment="1" applyProtection="1">
      <alignment horizontal="left"/>
      <protection locked="0"/>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26" fillId="0" borderId="3" xfId="0" applyFont="1" applyBorder="1" applyAlignment="1">
      <alignment horizontal="center"/>
    </xf>
    <xf numFmtId="0" fontId="26" fillId="0" borderId="4" xfId="0" applyFont="1" applyBorder="1" applyAlignment="1">
      <alignment horizontal="center"/>
    </xf>
    <xf numFmtId="0" fontId="26" fillId="0" borderId="5" xfId="0" applyFont="1" applyBorder="1" applyAlignment="1">
      <alignment horizontal="center"/>
    </xf>
    <xf numFmtId="0" fontId="28" fillId="0" borderId="3" xfId="0" applyFont="1" applyBorder="1" applyAlignment="1">
      <alignment horizontal="center"/>
    </xf>
    <xf numFmtId="0" fontId="28" fillId="0" borderId="5" xfId="0" applyFont="1" applyBorder="1" applyAlignment="1">
      <alignment horizontal="center"/>
    </xf>
    <xf numFmtId="0" fontId="0" fillId="0" borderId="11" xfId="0" applyBorder="1" applyAlignment="1">
      <alignment horizontal="center"/>
    </xf>
    <xf numFmtId="0" fontId="26" fillId="0" borderId="3" xfId="0" applyFont="1" applyBorder="1" applyAlignment="1">
      <alignment horizontal="right"/>
    </xf>
    <xf numFmtId="0" fontId="26" fillId="0" borderId="4" xfId="0" applyFont="1" applyBorder="1" applyAlignment="1">
      <alignment horizontal="right"/>
    </xf>
    <xf numFmtId="0" fontId="26" fillId="0" borderId="5" xfId="0" applyFont="1" applyBorder="1" applyAlignment="1">
      <alignment horizontal="right"/>
    </xf>
    <xf numFmtId="0" fontId="28" fillId="2" borderId="11" xfId="0" applyFont="1" applyFill="1" applyBorder="1" applyAlignment="1">
      <alignment horizontal="center"/>
    </xf>
    <xf numFmtId="0" fontId="28" fillId="0" borderId="1" xfId="0" applyFont="1" applyBorder="1" applyAlignment="1">
      <alignment horizontal="center" vertical="top" wrapText="1"/>
    </xf>
    <xf numFmtId="0" fontId="28" fillId="0" borderId="2" xfId="0" applyFont="1" applyBorder="1" applyAlignment="1">
      <alignment horizontal="center" vertical="top" wrapText="1"/>
    </xf>
    <xf numFmtId="0" fontId="28" fillId="0" borderId="7" xfId="0" applyFont="1" applyBorder="1" applyAlignment="1">
      <alignment horizontal="center" vertical="top" wrapText="1"/>
    </xf>
    <xf numFmtId="0" fontId="28" fillId="0" borderId="8" xfId="0" applyFont="1" applyBorder="1" applyAlignment="1">
      <alignment horizontal="center" vertical="top" wrapText="1"/>
    </xf>
    <xf numFmtId="0" fontId="28" fillId="0" borderId="0" xfId="0" applyFont="1" applyAlignment="1">
      <alignment horizontal="center" vertical="top" wrapText="1"/>
    </xf>
    <xf numFmtId="0" fontId="28" fillId="0" borderId="12" xfId="0" applyFont="1" applyBorder="1" applyAlignment="1">
      <alignment horizontal="center" vertical="top" wrapText="1"/>
    </xf>
    <xf numFmtId="0" fontId="28" fillId="0" borderId="9" xfId="0" applyFont="1" applyBorder="1" applyAlignment="1">
      <alignment horizontal="center" vertical="top" wrapText="1"/>
    </xf>
    <xf numFmtId="0" fontId="28" fillId="0" borderId="6" xfId="0" applyFont="1" applyBorder="1" applyAlignment="1">
      <alignment horizontal="center" vertical="top" wrapText="1"/>
    </xf>
    <xf numFmtId="0" fontId="28" fillId="0" borderId="10" xfId="0" applyFont="1" applyBorder="1" applyAlignment="1">
      <alignment horizontal="center" vertical="top" wrapText="1"/>
    </xf>
    <xf numFmtId="0" fontId="28" fillId="45" borderId="11" xfId="0" applyFont="1" applyFill="1" applyBorder="1" applyAlignment="1">
      <alignment horizontal="center"/>
    </xf>
    <xf numFmtId="0" fontId="19" fillId="0" borderId="11" xfId="543" applyBorder="1" applyAlignment="1">
      <alignment horizontal="center"/>
    </xf>
    <xf numFmtId="0" fontId="28" fillId="45" borderId="3" xfId="0" applyFont="1" applyFill="1" applyBorder="1" applyAlignment="1">
      <alignment horizontal="center"/>
    </xf>
    <xf numFmtId="0" fontId="28" fillId="45" borderId="4" xfId="0" applyFont="1" applyFill="1" applyBorder="1" applyAlignment="1">
      <alignment horizontal="center"/>
    </xf>
    <xf numFmtId="0" fontId="28" fillId="45" borderId="5" xfId="0" applyFont="1" applyFill="1" applyBorder="1" applyAlignment="1">
      <alignment horizontal="center"/>
    </xf>
    <xf numFmtId="0" fontId="19" fillId="0" borderId="11" xfId="0" applyFont="1" applyBorder="1" applyAlignment="1">
      <alignment horizontal="center"/>
    </xf>
    <xf numFmtId="0" fontId="19" fillId="0" borderId="3" xfId="0" applyFont="1" applyBorder="1" applyAlignment="1">
      <alignment horizontal="center"/>
    </xf>
    <xf numFmtId="0" fontId="19" fillId="0" borderId="4" xfId="0" applyFont="1" applyBorder="1" applyAlignment="1">
      <alignment horizontal="center"/>
    </xf>
    <xf numFmtId="0" fontId="19" fillId="0" borderId="5" xfId="0" applyFont="1" applyBorder="1" applyAlignment="1">
      <alignment horizontal="center"/>
    </xf>
    <xf numFmtId="0" fontId="42" fillId="0" borderId="3" xfId="0" applyFont="1" applyBorder="1" applyAlignment="1">
      <alignment horizontal="center"/>
    </xf>
    <xf numFmtId="0" fontId="42" fillId="0" borderId="4" xfId="0" applyFont="1" applyBorder="1" applyAlignment="1">
      <alignment horizontal="center"/>
    </xf>
    <xf numFmtId="0" fontId="42" fillId="0" borderId="5" xfId="0" applyFont="1" applyBorder="1" applyAlignment="1">
      <alignment horizontal="center"/>
    </xf>
    <xf numFmtId="0" fontId="39" fillId="0" borderId="4" xfId="543" applyFont="1" applyBorder="1" applyAlignment="1">
      <alignment horizontal="right" vertical="top" wrapText="1"/>
    </xf>
    <xf numFmtId="0" fontId="39" fillId="0" borderId="5" xfId="543" applyFont="1" applyBorder="1" applyAlignment="1">
      <alignment horizontal="right" vertical="top" wrapText="1"/>
    </xf>
    <xf numFmtId="0" fontId="26" fillId="0" borderId="8" xfId="543" applyFont="1" applyBorder="1" applyAlignment="1">
      <alignment horizontal="left" vertical="center" wrapText="1"/>
    </xf>
    <xf numFmtId="0" fontId="26" fillId="0" borderId="0" xfId="543" applyFont="1" applyAlignment="1">
      <alignment horizontal="left" vertical="center" wrapText="1"/>
    </xf>
    <xf numFmtId="0" fontId="26" fillId="0" borderId="12" xfId="543" applyFont="1" applyBorder="1" applyAlignment="1">
      <alignment horizontal="left" vertical="center" wrapText="1"/>
    </xf>
    <xf numFmtId="0" fontId="19" fillId="0" borderId="8" xfId="543" applyBorder="1" applyAlignment="1">
      <alignment horizontal="left" vertical="top" wrapText="1"/>
    </xf>
    <xf numFmtId="0" fontId="19" fillId="0" borderId="0" xfId="543" applyAlignment="1">
      <alignment horizontal="left" vertical="top" wrapText="1"/>
    </xf>
    <xf numFmtId="0" fontId="19" fillId="0" borderId="12" xfId="543" applyBorder="1" applyAlignment="1">
      <alignment horizontal="left" vertical="top" wrapText="1"/>
    </xf>
    <xf numFmtId="0" fontId="27" fillId="0" borderId="3" xfId="543" applyFont="1" applyBorder="1" applyAlignment="1">
      <alignment horizontal="center"/>
    </xf>
    <xf numFmtId="0" fontId="27" fillId="0" borderId="5" xfId="543" applyFont="1" applyBorder="1" applyAlignment="1">
      <alignment horizontal="center"/>
    </xf>
    <xf numFmtId="1" fontId="27" fillId="0" borderId="3" xfId="543" applyNumberFormat="1" applyFont="1" applyBorder="1" applyAlignment="1">
      <alignment horizontal="center"/>
    </xf>
    <xf numFmtId="1" fontId="27" fillId="0" borderId="5" xfId="543" applyNumberFormat="1" applyFont="1" applyBorder="1" applyAlignment="1">
      <alignment horizontal="center"/>
    </xf>
    <xf numFmtId="0" fontId="38" fillId="0" borderId="3" xfId="543" applyFont="1" applyBorder="1" applyAlignment="1">
      <alignment horizontal="center"/>
    </xf>
    <xf numFmtId="0" fontId="38" fillId="0" borderId="5" xfId="543" applyFont="1" applyBorder="1" applyAlignment="1">
      <alignment horizontal="center"/>
    </xf>
    <xf numFmtId="0" fontId="38" fillId="5" borderId="3" xfId="543" applyFont="1" applyFill="1" applyBorder="1" applyAlignment="1" applyProtection="1">
      <alignment horizontal="center"/>
      <protection locked="0"/>
    </xf>
    <xf numFmtId="0" fontId="38" fillId="5" borderId="5" xfId="543" applyFont="1" applyFill="1" applyBorder="1" applyAlignment="1" applyProtection="1">
      <alignment horizontal="center"/>
      <protection locked="0"/>
    </xf>
    <xf numFmtId="168" fontId="19" fillId="0" borderId="11" xfId="543" applyNumberFormat="1" applyBorder="1" applyAlignment="1">
      <alignment horizontal="center"/>
    </xf>
    <xf numFmtId="168" fontId="19" fillId="10" borderId="3" xfId="543" applyNumberFormat="1" applyFill="1" applyBorder="1" applyAlignment="1">
      <alignment horizontal="center"/>
    </xf>
    <xf numFmtId="168" fontId="19" fillId="10" borderId="4" xfId="543" applyNumberFormat="1" applyFill="1" applyBorder="1" applyAlignment="1">
      <alignment horizontal="center"/>
    </xf>
    <xf numFmtId="168" fontId="19" fillId="10" borderId="5" xfId="543" applyNumberFormat="1" applyFill="1" applyBorder="1" applyAlignment="1">
      <alignment horizontal="center"/>
    </xf>
    <xf numFmtId="0" fontId="27" fillId="5" borderId="3" xfId="0" applyFont="1" applyFill="1" applyBorder="1" applyAlignment="1" applyProtection="1">
      <alignment horizontal="left"/>
      <protection locked="0"/>
    </xf>
    <xf numFmtId="0" fontId="27" fillId="5" borderId="4" xfId="0" applyFont="1" applyFill="1" applyBorder="1" applyAlignment="1" applyProtection="1">
      <alignment horizontal="left"/>
      <protection locked="0"/>
    </xf>
    <xf numFmtId="0" fontId="27" fillId="5" borderId="5" xfId="0" applyFont="1" applyFill="1" applyBorder="1" applyAlignment="1" applyProtection="1">
      <alignment horizontal="left"/>
      <protection locked="0"/>
    </xf>
    <xf numFmtId="0" fontId="26" fillId="0" borderId="1" xfId="543" applyFont="1" applyBorder="1" applyAlignment="1">
      <alignment horizontal="left" vertical="center" wrapText="1"/>
    </xf>
    <xf numFmtId="0" fontId="26" fillId="0" borderId="2" xfId="543" applyFont="1" applyBorder="1" applyAlignment="1">
      <alignment horizontal="left" vertical="center" wrapText="1"/>
    </xf>
    <xf numFmtId="0" fontId="26" fillId="0" borderId="7" xfId="543" applyFont="1" applyBorder="1" applyAlignment="1">
      <alignment horizontal="left" vertical="center" wrapText="1"/>
    </xf>
    <xf numFmtId="0" fontId="19" fillId="0" borderId="9" xfId="543" applyBorder="1" applyAlignment="1">
      <alignment horizontal="left" vertical="top" wrapText="1"/>
    </xf>
    <xf numFmtId="0" fontId="19" fillId="0" borderId="6" xfId="543" applyBorder="1" applyAlignment="1">
      <alignment horizontal="left" vertical="top" wrapText="1"/>
    </xf>
    <xf numFmtId="0" fontId="19" fillId="0" borderId="10" xfId="543" applyBorder="1" applyAlignment="1">
      <alignment horizontal="left" vertical="top" wrapText="1"/>
    </xf>
    <xf numFmtId="0" fontId="19" fillId="0" borderId="8" xfId="0" applyFont="1" applyBorder="1" applyAlignment="1">
      <alignment horizontal="left" wrapText="1"/>
    </xf>
    <xf numFmtId="0" fontId="19" fillId="0" borderId="12" xfId="0" applyFont="1" applyBorder="1" applyAlignment="1">
      <alignment horizontal="left" wrapText="1"/>
    </xf>
    <xf numFmtId="0" fontId="19" fillId="0" borderId="9" xfId="0" applyFont="1" applyBorder="1" applyAlignment="1">
      <alignment horizontal="left" wrapText="1"/>
    </xf>
    <xf numFmtId="0" fontId="19" fillId="0" borderId="6" xfId="0" applyFont="1" applyBorder="1" applyAlignment="1">
      <alignment horizontal="left" wrapText="1"/>
    </xf>
    <xf numFmtId="0" fontId="19" fillId="0" borderId="10" xfId="0" applyFont="1" applyBorder="1" applyAlignment="1">
      <alignment horizontal="left" wrapText="1"/>
    </xf>
    <xf numFmtId="0" fontId="27" fillId="5" borderId="3" xfId="543" applyFont="1"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38" fillId="5" borderId="9" xfId="543" applyFont="1" applyFill="1" applyBorder="1" applyAlignment="1" applyProtection="1">
      <alignment horizontal="center"/>
      <protection locked="0"/>
    </xf>
    <xf numFmtId="0" fontId="38" fillId="5" borderId="10" xfId="543" applyFont="1" applyFill="1" applyBorder="1" applyAlignment="1" applyProtection="1">
      <alignment horizontal="center"/>
      <protection locked="0"/>
    </xf>
    <xf numFmtId="0" fontId="26" fillId="0" borderId="1" xfId="0" applyFont="1" applyBorder="1" applyAlignment="1">
      <alignment horizontal="center" wrapText="1"/>
    </xf>
    <xf numFmtId="0" fontId="26" fillId="0" borderId="2" xfId="0" applyFont="1" applyBorder="1" applyAlignment="1">
      <alignment horizontal="center" wrapText="1"/>
    </xf>
    <xf numFmtId="168" fontId="19"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6" fillId="10" borderId="3" xfId="543" applyFont="1" applyFill="1" applyBorder="1" applyAlignment="1">
      <alignment horizontal="center"/>
    </xf>
    <xf numFmtId="0" fontId="26" fillId="10" borderId="4" xfId="543" applyFont="1" applyFill="1" applyBorder="1" applyAlignment="1">
      <alignment horizontal="center"/>
    </xf>
    <xf numFmtId="0" fontId="26" fillId="10" borderId="5" xfId="543" applyFont="1" applyFill="1" applyBorder="1" applyAlignment="1">
      <alignment horizontal="center"/>
    </xf>
    <xf numFmtId="0" fontId="38" fillId="5" borderId="3" xfId="543" applyFont="1" applyFill="1" applyBorder="1" applyAlignment="1" applyProtection="1">
      <alignment horizontal="center" vertical="top"/>
      <protection locked="0"/>
    </xf>
    <xf numFmtId="0" fontId="38" fillId="5" borderId="5" xfId="543" applyFont="1" applyFill="1" applyBorder="1" applyAlignment="1" applyProtection="1">
      <alignment horizontal="center" vertical="top"/>
      <protection locked="0"/>
    </xf>
    <xf numFmtId="0" fontId="26" fillId="0" borderId="1" xfId="543" applyFont="1" applyBorder="1" applyAlignment="1">
      <alignment horizontal="left" vertical="top" wrapText="1"/>
    </xf>
    <xf numFmtId="0" fontId="26" fillId="0" borderId="2" xfId="543" applyFont="1" applyBorder="1" applyAlignment="1">
      <alignment horizontal="left" vertical="top" wrapText="1"/>
    </xf>
    <xf numFmtId="0" fontId="26" fillId="0" borderId="7" xfId="543" applyFont="1" applyBorder="1" applyAlignment="1">
      <alignment horizontal="left" vertical="top" wrapText="1"/>
    </xf>
    <xf numFmtId="0" fontId="26" fillId="0" borderId="8" xfId="543" applyFont="1" applyBorder="1" applyAlignment="1">
      <alignment horizontal="left" vertical="top" wrapText="1"/>
    </xf>
    <xf numFmtId="0" fontId="26" fillId="0" borderId="0" xfId="543" applyFont="1" applyAlignment="1">
      <alignment horizontal="left" vertical="top" wrapText="1"/>
    </xf>
    <xf numFmtId="0" fontId="26" fillId="0" borderId="12" xfId="543" applyFont="1" applyBorder="1" applyAlignment="1">
      <alignment horizontal="left" vertical="top" wrapText="1"/>
    </xf>
    <xf numFmtId="1" fontId="19" fillId="0" borderId="3" xfId="543" applyNumberFormat="1" applyBorder="1" applyAlignment="1">
      <alignment horizontal="center"/>
    </xf>
    <xf numFmtId="1" fontId="19" fillId="0" borderId="4" xfId="543" applyNumberFormat="1" applyBorder="1" applyAlignment="1">
      <alignment horizontal="center"/>
    </xf>
    <xf numFmtId="1" fontId="19" fillId="0" borderId="5" xfId="543" applyNumberFormat="1" applyBorder="1" applyAlignment="1">
      <alignment horizontal="center"/>
    </xf>
    <xf numFmtId="0" fontId="152" fillId="0" borderId="8" xfId="543" applyFont="1" applyBorder="1" applyAlignment="1">
      <alignment horizontal="center" vertical="center" wrapText="1"/>
    </xf>
    <xf numFmtId="0" fontId="152" fillId="0" borderId="0" xfId="543" applyFont="1" applyAlignment="1">
      <alignment horizontal="center" vertical="center" wrapText="1"/>
    </xf>
    <xf numFmtId="0" fontId="152" fillId="0" borderId="12" xfId="543" applyFont="1" applyBorder="1" applyAlignment="1">
      <alignment horizontal="center" vertical="center" wrapText="1"/>
    </xf>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0" fontId="19" fillId="5" borderId="3" xfId="543" applyFill="1" applyBorder="1" applyAlignment="1" applyProtection="1">
      <alignment horizontal="left" vertical="top" wrapText="1"/>
      <protection locked="0"/>
    </xf>
    <xf numFmtId="0" fontId="28" fillId="5" borderId="4" xfId="543" applyFont="1" applyFill="1" applyBorder="1" applyAlignment="1" applyProtection="1">
      <alignment horizontal="left" vertical="top" wrapText="1"/>
      <protection locked="0"/>
    </xf>
    <xf numFmtId="0" fontId="28" fillId="5" borderId="5" xfId="543" applyFont="1" applyFill="1" applyBorder="1" applyAlignment="1" applyProtection="1">
      <alignment horizontal="left" vertical="top" wrapText="1"/>
      <protection locked="0"/>
    </xf>
    <xf numFmtId="0" fontId="19" fillId="0" borderId="3" xfId="543" applyBorder="1" applyAlignment="1">
      <alignment horizontal="center"/>
    </xf>
    <xf numFmtId="0" fontId="19" fillId="0" borderId="4" xfId="543" applyBorder="1" applyAlignment="1">
      <alignment horizontal="center"/>
    </xf>
    <xf numFmtId="0" fontId="19" fillId="0" borderId="5" xfId="543" applyBorder="1" applyAlignment="1">
      <alignment horizontal="center"/>
    </xf>
    <xf numFmtId="0" fontId="39" fillId="0" borderId="1" xfId="543" applyFont="1" applyBorder="1" applyAlignment="1">
      <alignment horizontal="right"/>
    </xf>
    <xf numFmtId="0" fontId="39" fillId="0" borderId="2" xfId="543" applyFont="1" applyBorder="1" applyAlignment="1">
      <alignment horizontal="right"/>
    </xf>
    <xf numFmtId="0" fontId="39" fillId="0" borderId="7" xfId="543" applyFont="1" applyBorder="1" applyAlignment="1">
      <alignment horizontal="right"/>
    </xf>
    <xf numFmtId="0" fontId="26" fillId="0" borderId="3" xfId="543" applyFont="1" applyBorder="1" applyAlignment="1">
      <alignment horizontal="right"/>
    </xf>
    <xf numFmtId="0" fontId="26" fillId="0" borderId="4" xfId="543" applyFont="1" applyBorder="1" applyAlignment="1">
      <alignment horizontal="right"/>
    </xf>
    <xf numFmtId="0" fontId="26" fillId="0" borderId="5" xfId="543" applyFont="1" applyBorder="1" applyAlignment="1">
      <alignment horizontal="right"/>
    </xf>
    <xf numFmtId="0" fontId="19" fillId="0" borderId="8" xfId="543" applyBorder="1" applyAlignment="1">
      <alignment horizontal="left" vertical="center" wrapText="1"/>
    </xf>
    <xf numFmtId="0" fontId="19" fillId="0" borderId="0" xfId="543" applyAlignment="1">
      <alignment horizontal="left" vertical="center" wrapText="1"/>
    </xf>
    <xf numFmtId="0" fontId="19" fillId="0" borderId="12" xfId="543" applyBorder="1" applyAlignment="1">
      <alignment horizontal="left" vertical="center" wrapText="1"/>
    </xf>
    <xf numFmtId="0" fontId="19" fillId="0" borderId="9" xfId="543" applyBorder="1" applyAlignment="1">
      <alignment horizontal="left" vertical="center" wrapText="1"/>
    </xf>
    <xf numFmtId="0" fontId="19" fillId="0" borderId="6" xfId="543" applyBorder="1" applyAlignment="1">
      <alignment horizontal="left" vertical="center" wrapText="1"/>
    </xf>
    <xf numFmtId="0" fontId="19" fillId="0" borderId="10" xfId="543" applyBorder="1" applyAlignment="1">
      <alignment horizontal="left" vertical="center" wrapText="1"/>
    </xf>
    <xf numFmtId="0" fontId="0" fillId="0" borderId="9" xfId="0" applyBorder="1" applyAlignment="1">
      <alignment horizontal="left"/>
    </xf>
    <xf numFmtId="165" fontId="26" fillId="0" borderId="3" xfId="271" applyNumberFormat="1" applyFont="1" applyBorder="1" applyAlignment="1">
      <alignment horizontal="center"/>
    </xf>
    <xf numFmtId="165" fontId="26" fillId="0" borderId="4" xfId="271" applyNumberFormat="1" applyFont="1" applyBorder="1" applyAlignment="1">
      <alignment horizontal="center"/>
    </xf>
    <xf numFmtId="165" fontId="26" fillId="0" borderId="5" xfId="271" applyNumberFormat="1" applyFont="1" applyBorder="1" applyAlignment="1">
      <alignment horizontal="center"/>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0" fontId="0" fillId="0" borderId="3" xfId="0" applyBorder="1" applyAlignment="1">
      <alignment horizontal="left"/>
    </xf>
    <xf numFmtId="0" fontId="0" fillId="0" borderId="4" xfId="0" applyBorder="1" applyAlignment="1">
      <alignment horizontal="left"/>
    </xf>
    <xf numFmtId="3" fontId="0" fillId="0" borderId="4" xfId="0" applyNumberFormat="1" applyBorder="1" applyAlignment="1">
      <alignment horizontal="right"/>
    </xf>
    <xf numFmtId="3" fontId="0" fillId="0" borderId="5" xfId="0" applyNumberFormat="1" applyBorder="1" applyAlignment="1">
      <alignment horizontal="right"/>
    </xf>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168" fontId="0" fillId="5" borderId="11" xfId="0" applyNumberFormat="1" applyFill="1" applyBorder="1" applyAlignment="1" applyProtection="1">
      <alignment horizontal="center"/>
      <protection locked="0"/>
    </xf>
    <xf numFmtId="168" fontId="0" fillId="5" borderId="11" xfId="0" applyNumberFormat="1" applyFill="1" applyBorder="1" applyAlignment="1" applyProtection="1">
      <alignment horizontal="right"/>
      <protection locked="0"/>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164" fontId="27" fillId="5" borderId="4" xfId="0" applyNumberFormat="1" applyFont="1" applyFill="1" applyBorder="1" applyAlignment="1" applyProtection="1">
      <alignment horizontal="left"/>
      <protection locked="0"/>
    </xf>
    <xf numFmtId="164" fontId="27" fillId="5" borderId="5" xfId="0" applyNumberFormat="1" applyFont="1" applyFill="1" applyBorder="1" applyAlignment="1" applyProtection="1">
      <alignment horizontal="left"/>
      <protection locked="0"/>
    </xf>
    <xf numFmtId="168" fontId="0" fillId="5" borderId="11" xfId="0" applyNumberFormat="1" applyFill="1" applyBorder="1" applyProtection="1">
      <protection locked="0"/>
    </xf>
    <xf numFmtId="14" fontId="19" fillId="5" borderId="3" xfId="0" applyNumberFormat="1" applyFont="1" applyFill="1" applyBorder="1" applyAlignment="1" applyProtection="1">
      <alignment horizontal="right"/>
      <protection locked="0"/>
    </xf>
    <xf numFmtId="168" fontId="19" fillId="5" borderId="3" xfId="0" applyNumberFormat="1" applyFont="1" applyFill="1" applyBorder="1" applyAlignment="1" applyProtection="1">
      <alignment horizontal="left"/>
      <protection locked="0"/>
    </xf>
    <xf numFmtId="168" fontId="19" fillId="5" borderId="4" xfId="0" applyNumberFormat="1" applyFont="1" applyFill="1" applyBorder="1" applyAlignment="1" applyProtection="1">
      <alignment horizontal="left"/>
      <protection locked="0"/>
    </xf>
    <xf numFmtId="168" fontId="19" fillId="5" borderId="5" xfId="0" applyNumberFormat="1" applyFont="1" applyFill="1" applyBorder="1" applyAlignment="1" applyProtection="1">
      <alignment horizontal="left"/>
      <protection locked="0"/>
    </xf>
    <xf numFmtId="0" fontId="19" fillId="0" borderId="0" xfId="543" applyAlignment="1">
      <alignment horizontal="center"/>
    </xf>
    <xf numFmtId="2" fontId="19" fillId="0" borderId="0" xfId="543" applyNumberFormat="1" applyAlignment="1">
      <alignment horizontal="center"/>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6" fillId="5" borderId="3" xfId="0" applyFont="1" applyFill="1" applyBorder="1" applyAlignment="1" applyProtection="1">
      <alignment horizontal="right"/>
      <protection locked="0"/>
    </xf>
    <xf numFmtId="0" fontId="26" fillId="5" borderId="4" xfId="0" applyFont="1" applyFill="1" applyBorder="1" applyAlignment="1" applyProtection="1">
      <alignment horizontal="right"/>
      <protection locked="0"/>
    </xf>
    <xf numFmtId="0" fontId="26" fillId="5" borderId="5" xfId="0" applyFont="1" applyFill="1" applyBorder="1" applyAlignment="1" applyProtection="1">
      <alignment horizontal="right"/>
      <protection locked="0"/>
    </xf>
    <xf numFmtId="168" fontId="0" fillId="0" borderId="11" xfId="0" applyNumberFormat="1" applyBorder="1" applyAlignment="1">
      <alignment horizontal="center"/>
    </xf>
    <xf numFmtId="0" fontId="26" fillId="0" borderId="6" xfId="0" applyFont="1" applyBorder="1" applyAlignment="1">
      <alignment horizontal="center"/>
    </xf>
    <xf numFmtId="9" fontId="19" fillId="5" borderId="3" xfId="0" applyNumberFormat="1" applyFont="1" applyFill="1" applyBorder="1" applyAlignment="1" applyProtection="1">
      <alignment horizontal="right"/>
      <protection locked="0"/>
    </xf>
    <xf numFmtId="0" fontId="26" fillId="0" borderId="7" xfId="0" applyFont="1" applyBorder="1" applyAlignment="1">
      <alignment horizontal="center" wrapText="1"/>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0" fontId="38" fillId="5" borderId="3" xfId="543" applyFont="1" applyFill="1" applyBorder="1" applyAlignment="1">
      <alignment horizontal="center"/>
    </xf>
    <xf numFmtId="0" fontId="38" fillId="5" borderId="4" xfId="543" applyFont="1" applyFill="1" applyBorder="1" applyAlignment="1">
      <alignment horizontal="center"/>
    </xf>
    <xf numFmtId="0" fontId="38" fillId="5" borderId="5" xfId="543" applyFont="1" applyFill="1" applyBorder="1" applyAlignment="1">
      <alignment horizontal="center"/>
    </xf>
    <xf numFmtId="49" fontId="19" fillId="5" borderId="3" xfId="543" applyNumberFormat="1" applyFill="1" applyBorder="1" applyAlignment="1">
      <alignment horizontal="center"/>
    </xf>
    <xf numFmtId="49" fontId="19" fillId="5" borderId="5" xfId="543" applyNumberFormat="1" applyFill="1" applyBorder="1" applyAlignment="1">
      <alignment horizontal="center"/>
    </xf>
    <xf numFmtId="0" fontId="19" fillId="0" borderId="1" xfId="0" applyFont="1" applyBorder="1" applyAlignment="1">
      <alignment horizontal="center" vertical="top" wrapText="1"/>
    </xf>
    <xf numFmtId="171" fontId="19" fillId="0" borderId="0" xfId="543" applyNumberFormat="1" applyAlignment="1">
      <alignment horizontal="center"/>
    </xf>
    <xf numFmtId="0" fontId="26" fillId="0" borderId="11" xfId="0" applyFont="1" applyBorder="1" applyAlignment="1">
      <alignment horizontal="center"/>
    </xf>
    <xf numFmtId="0" fontId="26" fillId="0" borderId="9" xfId="0" applyFont="1" applyBorder="1" applyAlignment="1">
      <alignment horizontal="right"/>
    </xf>
    <xf numFmtId="0" fontId="26" fillId="0" borderId="6" xfId="0" applyFont="1" applyBorder="1" applyAlignment="1">
      <alignment horizontal="right"/>
    </xf>
    <xf numFmtId="0" fontId="26" fillId="0" borderId="10" xfId="0" applyFont="1" applyBorder="1" applyAlignment="1">
      <alignment horizontal="right"/>
    </xf>
    <xf numFmtId="0" fontId="19" fillId="5" borderId="11" xfId="0" applyFont="1" applyFill="1" applyBorder="1" applyAlignment="1" applyProtection="1">
      <alignment horizontal="left" wrapText="1"/>
      <protection locked="0"/>
    </xf>
    <xf numFmtId="0" fontId="19" fillId="5" borderId="4" xfId="0" applyFont="1" applyFill="1" applyBorder="1" applyAlignment="1" applyProtection="1">
      <alignment wrapText="1"/>
      <protection locked="0"/>
    </xf>
    <xf numFmtId="175" fontId="0" fillId="5" borderId="4" xfId="0" applyNumberFormat="1" applyFill="1" applyBorder="1" applyAlignment="1" applyProtection="1">
      <alignment horizontal="left" vertical="center" wrapText="1"/>
      <protection locked="0"/>
    </xf>
    <xf numFmtId="0" fontId="26" fillId="0" borderId="1"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11" xfId="0" applyFont="1" applyBorder="1" applyAlignment="1">
      <alignment horizontal="center" vertical="center"/>
    </xf>
    <xf numFmtId="0" fontId="35" fillId="0" borderId="1" xfId="0" applyFont="1" applyBorder="1" applyAlignment="1">
      <alignment horizontal="center" vertical="center" wrapText="1"/>
    </xf>
    <xf numFmtId="0" fontId="35" fillId="0" borderId="2" xfId="0" applyFont="1" applyBorder="1" applyAlignment="1">
      <alignment horizontal="center" vertical="center" wrapText="1"/>
    </xf>
    <xf numFmtId="0" fontId="35" fillId="0" borderId="7" xfId="0" applyFont="1" applyBorder="1" applyAlignment="1">
      <alignment horizontal="center" vertical="center" wrapText="1"/>
    </xf>
    <xf numFmtId="0" fontId="35" fillId="0" borderId="8" xfId="0" applyFont="1" applyBorder="1" applyAlignment="1">
      <alignment horizontal="center" vertical="center" wrapText="1"/>
    </xf>
    <xf numFmtId="0" fontId="35" fillId="0" borderId="0" xfId="0" applyFont="1" applyAlignment="1">
      <alignment horizontal="center" vertical="center" wrapText="1"/>
    </xf>
    <xf numFmtId="0" fontId="35" fillId="0" borderId="12" xfId="0" applyFont="1" applyBorder="1" applyAlignment="1">
      <alignment horizontal="center" vertical="center" wrapText="1"/>
    </xf>
    <xf numFmtId="0" fontId="35" fillId="0" borderId="9" xfId="0" applyFont="1" applyBorder="1" applyAlignment="1">
      <alignment horizontal="center" vertical="center" wrapText="1"/>
    </xf>
    <xf numFmtId="0" fontId="35" fillId="0" borderId="6" xfId="0" applyFont="1" applyBorder="1" applyAlignment="1">
      <alignment horizontal="center" vertical="center" wrapText="1"/>
    </xf>
    <xf numFmtId="0" fontId="35" fillId="0" borderId="10" xfId="0" applyFont="1" applyBorder="1" applyAlignment="1">
      <alignment horizontal="center" vertical="center" wrapText="1"/>
    </xf>
    <xf numFmtId="14" fontId="0" fillId="5" borderId="6" xfId="0" applyNumberFormat="1" applyFill="1" applyBorder="1" applyAlignment="1" applyProtection="1">
      <alignment horizontal="center"/>
      <protection locked="0"/>
    </xf>
    <xf numFmtId="168" fontId="0" fillId="0" borderId="11" xfId="0" applyNumberFormat="1" applyBorder="1" applyAlignment="1">
      <alignment horizontal="right"/>
    </xf>
    <xf numFmtId="0" fontId="26" fillId="0" borderId="1" xfId="0" applyFont="1" applyBorder="1" applyAlignment="1">
      <alignment horizontal="center"/>
    </xf>
    <xf numFmtId="0" fontId="26" fillId="0" borderId="2" xfId="0" applyFont="1" applyBorder="1" applyAlignment="1">
      <alignment horizontal="center"/>
    </xf>
    <xf numFmtId="0" fontId="26" fillId="0" borderId="7" xfId="0" applyFont="1" applyBorder="1" applyAlignment="1">
      <alignment horizontal="center"/>
    </xf>
    <xf numFmtId="168" fontId="19" fillId="5" borderId="10" xfId="0" applyNumberFormat="1" applyFont="1" applyFill="1" applyBorder="1" applyAlignment="1" applyProtection="1">
      <alignment horizontal="right"/>
      <protection locked="0"/>
    </xf>
    <xf numFmtId="168" fontId="19" fillId="5" borderId="13" xfId="0" applyNumberFormat="1" applyFon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0" fontId="19" fillId="5" borderId="3" xfId="0" applyFont="1" applyFill="1" applyBorder="1" applyProtection="1">
      <protection locked="0"/>
    </xf>
    <xf numFmtId="0" fontId="28" fillId="0" borderId="4" xfId="0" applyFont="1" applyBorder="1" applyProtection="1">
      <protection locked="0"/>
    </xf>
    <xf numFmtId="0" fontId="28" fillId="0" borderId="5" xfId="0" applyFont="1" applyBorder="1" applyProtection="1">
      <protection locked="0"/>
    </xf>
    <xf numFmtId="14" fontId="0" fillId="5" borderId="3" xfId="0" quotePrefix="1" applyNumberFormat="1" applyFill="1" applyBorder="1" applyAlignment="1" applyProtection="1">
      <alignment horizontal="right"/>
      <protection locked="0"/>
    </xf>
    <xf numFmtId="0" fontId="28" fillId="0" borderId="3" xfId="0" applyFont="1" applyBorder="1" applyAlignment="1">
      <alignment horizontal="left"/>
    </xf>
    <xf numFmtId="0" fontId="26" fillId="0" borderId="2" xfId="0" applyFont="1" applyBorder="1" applyAlignment="1">
      <alignment horizontal="right"/>
    </xf>
    <xf numFmtId="0" fontId="26" fillId="0" borderId="7" xfId="0" applyFont="1" applyBorder="1" applyAlignment="1">
      <alignment horizontal="right"/>
    </xf>
    <xf numFmtId="9" fontId="19" fillId="0" borderId="0" xfId="543" applyNumberFormat="1" applyAlignment="1">
      <alignment horizontal="center" vertical="center"/>
    </xf>
    <xf numFmtId="171" fontId="19" fillId="0" borderId="0" xfId="543" applyNumberFormat="1" applyAlignment="1">
      <alignment horizontal="right"/>
    </xf>
    <xf numFmtId="168" fontId="0" fillId="0" borderId="3" xfId="0" applyNumberFormat="1" applyBorder="1"/>
    <xf numFmtId="168" fontId="0" fillId="0" borderId="4" xfId="0" applyNumberFormat="1" applyBorder="1"/>
    <xf numFmtId="168" fontId="0" fillId="0" borderId="5" xfId="0" applyNumberFormat="1" applyBorder="1"/>
    <xf numFmtId="168" fontId="0" fillId="0" borderId="11" xfId="0" applyNumberFormat="1" applyBorder="1"/>
    <xf numFmtId="0" fontId="26" fillId="0" borderId="0" xfId="0" applyFont="1" applyAlignment="1">
      <alignment horizontal="center" vertical="center"/>
    </xf>
    <xf numFmtId="0" fontId="28" fillId="0" borderId="11" xfId="0" applyFont="1" applyBorder="1" applyAlignment="1">
      <alignment horizontal="center"/>
    </xf>
    <xf numFmtId="0" fontId="26" fillId="5" borderId="11" xfId="0" applyFont="1" applyFill="1" applyBorder="1" applyAlignment="1" applyProtection="1">
      <alignment horizontal="center"/>
      <protection locked="0"/>
    </xf>
    <xf numFmtId="0" fontId="19"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68" fontId="156" fillId="0" borderId="0" xfId="0" applyNumberFormat="1" applyFont="1" applyAlignment="1">
      <alignment horizontal="center" vertical="center" wrapText="1"/>
    </xf>
    <xf numFmtId="0" fontId="28" fillId="0" borderId="4" xfId="0" applyFont="1" applyBorder="1" applyAlignment="1">
      <alignment horizontal="center"/>
    </xf>
    <xf numFmtId="0" fontId="28" fillId="5" borderId="11" xfId="0" applyFont="1" applyFill="1" applyBorder="1" applyAlignment="1" applyProtection="1">
      <alignment horizontal="center"/>
      <protection locked="0"/>
    </xf>
    <xf numFmtId="3" fontId="19" fillId="5" borderId="11" xfId="0" applyNumberFormat="1" applyFont="1" applyFill="1" applyBorder="1" applyAlignment="1" applyProtection="1">
      <alignment horizontal="center"/>
      <protection locked="0"/>
    </xf>
    <xf numFmtId="3" fontId="28" fillId="5" borderId="11" xfId="0" applyNumberFormat="1" applyFont="1" applyFill="1" applyBorder="1" applyAlignment="1" applyProtection="1">
      <alignment horizontal="center"/>
      <protection locked="0"/>
    </xf>
    <xf numFmtId="0" fontId="19" fillId="0" borderId="3" xfId="0" applyFont="1" applyBorder="1" applyAlignment="1">
      <alignment horizontal="left"/>
    </xf>
    <xf numFmtId="0" fontId="19" fillId="0" borderId="4" xfId="0" applyFont="1" applyBorder="1" applyAlignment="1">
      <alignment horizontal="left"/>
    </xf>
    <xf numFmtId="0" fontId="19" fillId="0" borderId="5" xfId="0" applyFont="1" applyBorder="1" applyAlignment="1">
      <alignment horizontal="left"/>
    </xf>
    <xf numFmtId="168" fontId="55" fillId="0" borderId="2" xfId="0" applyNumberFormat="1" applyFont="1" applyBorder="1" applyAlignment="1">
      <alignment horizontal="left" vertical="top" wrapText="1"/>
    </xf>
    <xf numFmtId="168" fontId="55"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68" fontId="28" fillId="0" borderId="11" xfId="0" applyNumberFormat="1" applyFont="1" applyBorder="1" applyAlignment="1">
      <alignment horizontal="center"/>
    </xf>
    <xf numFmtId="1" fontId="0" fillId="5" borderId="6" xfId="0" applyNumberFormat="1" applyFill="1" applyBorder="1" applyAlignment="1" applyProtection="1">
      <alignment horizontal="center"/>
      <protection locked="0"/>
    </xf>
    <xf numFmtId="0" fontId="0" fillId="5" borderId="4" xfId="0" applyFill="1" applyBorder="1" applyAlignment="1" applyProtection="1">
      <alignment horizontal="left" wrapText="1"/>
      <protection locked="0"/>
    </xf>
    <xf numFmtId="168" fontId="28" fillId="5" borderId="6" xfId="0" applyNumberFormat="1" applyFont="1" applyFill="1" applyBorder="1" applyAlignment="1" applyProtection="1">
      <alignment horizontal="right"/>
      <protection locked="0"/>
    </xf>
    <xf numFmtId="0" fontId="0" fillId="5" borderId="0" xfId="0" applyFill="1" applyAlignment="1" applyProtection="1">
      <alignment horizontal="left" vertical="top" wrapText="1"/>
      <protection locked="0"/>
    </xf>
    <xf numFmtId="2" fontId="0" fillId="0" borderId="6" xfId="0" applyNumberFormat="1" applyBorder="1" applyAlignment="1">
      <alignment horizontal="center"/>
    </xf>
    <xf numFmtId="0" fontId="26" fillId="0" borderId="9" xfId="0" applyFont="1" applyBorder="1" applyAlignment="1">
      <alignment horizontal="center"/>
    </xf>
    <xf numFmtId="0" fontId="0" fillId="43" borderId="6" xfId="0" applyFill="1" applyBorder="1" applyAlignment="1" applyProtection="1">
      <alignment horizontal="left"/>
      <protection locked="0"/>
    </xf>
    <xf numFmtId="1" fontId="28" fillId="5" borderId="6" xfId="0" applyNumberFormat="1" applyFont="1" applyFill="1" applyBorder="1" applyAlignment="1" applyProtection="1">
      <alignment horizontal="right"/>
      <protection locked="0"/>
    </xf>
    <xf numFmtId="49" fontId="0" fillId="5" borderId="6" xfId="0" applyNumberFormat="1" applyFill="1" applyBorder="1" applyAlignment="1" applyProtection="1">
      <alignment horizontal="center"/>
      <protection locked="0"/>
    </xf>
    <xf numFmtId="0" fontId="19" fillId="0" borderId="3" xfId="271" applyFont="1" applyBorder="1" applyAlignment="1">
      <alignment horizontal="left"/>
    </xf>
    <xf numFmtId="0" fontId="19" fillId="0" borderId="4" xfId="271" applyFont="1" applyBorder="1" applyAlignment="1">
      <alignment horizontal="left"/>
    </xf>
    <xf numFmtId="0" fontId="19" fillId="0" borderId="5" xfId="271" applyFont="1" applyBorder="1" applyAlignment="1">
      <alignment horizontal="left"/>
    </xf>
    <xf numFmtId="168" fontId="28" fillId="0" borderId="3" xfId="0" applyNumberFormat="1" applyFont="1" applyBorder="1" applyAlignment="1">
      <alignment horizontal="left" vertical="top"/>
    </xf>
    <xf numFmtId="168" fontId="28" fillId="0" borderId="4" xfId="0" applyNumberFormat="1" applyFont="1" applyBorder="1" applyAlignment="1">
      <alignment horizontal="left" vertical="top"/>
    </xf>
    <xf numFmtId="168" fontId="28" fillId="0" borderId="5" xfId="0" applyNumberFormat="1" applyFont="1" applyBorder="1" applyAlignment="1">
      <alignment horizontal="left" vertical="top"/>
    </xf>
    <xf numFmtId="10" fontId="28" fillId="5" borderId="4" xfId="0" applyNumberFormat="1" applyFont="1" applyFill="1" applyBorder="1" applyAlignment="1" applyProtection="1">
      <alignment horizontal="right"/>
      <protection locked="0"/>
    </xf>
    <xf numFmtId="0" fontId="27"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8" fillId="5" borderId="0" xfId="0" applyFont="1" applyFill="1" applyAlignment="1" applyProtection="1">
      <alignment horizontal="left" vertical="top" wrapText="1"/>
      <protection locked="0"/>
    </xf>
    <xf numFmtId="0" fontId="28" fillId="5" borderId="6" xfId="0" applyFont="1" applyFill="1" applyBorder="1" applyAlignment="1" applyProtection="1">
      <alignment horizontal="left" vertical="top" wrapText="1"/>
      <protection locked="0"/>
    </xf>
    <xf numFmtId="0" fontId="28" fillId="5" borderId="6" xfId="0" applyFont="1" applyFill="1" applyBorder="1" applyAlignment="1" applyProtection="1">
      <alignment horizontal="left" wrapText="1"/>
      <protection locked="0"/>
    </xf>
    <xf numFmtId="166" fontId="28" fillId="5" borderId="6" xfId="271" applyNumberFormat="1" applyFill="1" applyBorder="1" applyAlignment="1" applyProtection="1">
      <alignment horizontal="left"/>
      <protection locked="0"/>
    </xf>
    <xf numFmtId="166" fontId="28" fillId="5" borderId="4" xfId="271" applyNumberFormat="1" applyFill="1" applyBorder="1" applyAlignment="1" applyProtection="1">
      <alignment horizontal="left"/>
      <protection locked="0"/>
    </xf>
    <xf numFmtId="0" fontId="19" fillId="5" borderId="6" xfId="244" applyFont="1" applyFill="1" applyBorder="1" applyAlignment="1" applyProtection="1">
      <alignment horizontal="left"/>
      <protection locked="0"/>
    </xf>
    <xf numFmtId="0" fontId="0" fillId="43" borderId="6" xfId="0" applyFill="1" applyBorder="1" applyAlignment="1" applyProtection="1">
      <alignment horizontal="center"/>
      <protection locked="0"/>
    </xf>
    <xf numFmtId="0" fontId="28" fillId="0" borderId="6" xfId="0" applyFont="1" applyBorder="1" applyAlignment="1">
      <alignment horizontal="left"/>
    </xf>
    <xf numFmtId="166" fontId="0" fillId="5" borderId="6" xfId="0" applyNumberFormat="1" applyFill="1" applyBorder="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9" fillId="5" borderId="0" xfId="244" applyFont="1" applyFill="1" applyBorder="1" applyAlignment="1" applyProtection="1">
      <alignment horizontal="left"/>
      <protection locked="0"/>
    </xf>
    <xf numFmtId="0" fontId="0" fillId="0" borderId="0" xfId="0" applyAlignment="1">
      <alignment vertical="top" wrapText="1"/>
    </xf>
    <xf numFmtId="0" fontId="0" fillId="0" borderId="0" xfId="0" applyAlignment="1">
      <alignment wrapText="1"/>
    </xf>
    <xf numFmtId="0" fontId="19" fillId="0" borderId="0" xfId="271" applyFont="1" applyAlignment="1">
      <alignment horizontal="left" vertical="top" wrapText="1"/>
    </xf>
    <xf numFmtId="0" fontId="19" fillId="0" borderId="6" xfId="0" applyFont="1" applyBorder="1" applyAlignment="1" applyProtection="1">
      <alignment horizontal="center"/>
      <protection locked="0"/>
    </xf>
    <xf numFmtId="174" fontId="0" fillId="5" borderId="4" xfId="0" applyNumberFormat="1" applyFill="1" applyBorder="1" applyAlignment="1" applyProtection="1">
      <alignment horizontal="left"/>
      <protection locked="0"/>
    </xf>
    <xf numFmtId="0" fontId="28"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166" fontId="19" fillId="5" borderId="6" xfId="271" applyNumberFormat="1" applyFont="1" applyFill="1" applyBorder="1" applyAlignment="1" applyProtection="1">
      <alignment horizontal="left"/>
      <protection locked="0"/>
    </xf>
    <xf numFmtId="0" fontId="19" fillId="0" borderId="0" xfId="0" applyFont="1" applyAlignment="1" applyProtection="1">
      <alignment horizontal="left"/>
      <protection locked="0"/>
    </xf>
    <xf numFmtId="9" fontId="27" fillId="0" borderId="3" xfId="4494" applyFont="1" applyBorder="1" applyAlignment="1" applyProtection="1">
      <alignment horizontal="center"/>
    </xf>
    <xf numFmtId="9" fontId="27" fillId="0" borderId="5" xfId="4494" applyFont="1" applyBorder="1" applyAlignment="1" applyProtection="1">
      <alignment horizontal="center"/>
    </xf>
    <xf numFmtId="0" fontId="153" fillId="0" borderId="0" xfId="0" applyFont="1" applyAlignment="1" applyProtection="1">
      <alignment horizontal="left" vertical="top" wrapText="1"/>
      <protection locked="0"/>
    </xf>
    <xf numFmtId="0" fontId="19" fillId="0" borderId="6" xfId="0" applyFont="1" applyBorder="1" applyAlignment="1" applyProtection="1">
      <alignment horizontal="left"/>
      <protection locked="0"/>
    </xf>
    <xf numFmtId="0" fontId="20" fillId="0" borderId="0" xfId="244" applyFill="1" applyAlignment="1" applyProtection="1">
      <alignment horizontal="left"/>
      <protection locked="0"/>
    </xf>
    <xf numFmtId="168" fontId="19" fillId="0" borderId="6" xfId="0" applyNumberFormat="1" applyFont="1" applyBorder="1" applyAlignment="1">
      <alignment horizontal="center"/>
    </xf>
    <xf numFmtId="0" fontId="0" fillId="5" borderId="6" xfId="0" applyFill="1" applyBorder="1" applyProtection="1">
      <protection locked="0"/>
    </xf>
    <xf numFmtId="0" fontId="19" fillId="0" borderId="4" xfId="0" applyFont="1" applyBorder="1" applyAlignment="1" applyProtection="1">
      <alignment horizontal="left"/>
      <protection locked="0"/>
    </xf>
    <xf numFmtId="0" fontId="28" fillId="0" borderId="4" xfId="0" applyFont="1" applyBorder="1" applyAlignment="1" applyProtection="1">
      <alignment horizontal="left"/>
      <protection locked="0"/>
    </xf>
    <xf numFmtId="0" fontId="19" fillId="43" borderId="6" xfId="0" applyFont="1" applyFill="1" applyBorder="1" applyAlignment="1" applyProtection="1">
      <alignment vertical="center"/>
      <protection locked="0"/>
    </xf>
    <xf numFmtId="0" fontId="28" fillId="43" borderId="6" xfId="0" applyFont="1" applyFill="1" applyBorder="1" applyAlignment="1" applyProtection="1">
      <alignment horizontal="left"/>
      <protection locked="0"/>
    </xf>
    <xf numFmtId="0" fontId="19" fillId="0" borderId="6" xfId="0" applyFont="1" applyBorder="1" applyAlignment="1">
      <alignment horizontal="left"/>
    </xf>
    <xf numFmtId="0" fontId="28" fillId="5" borderId="4" xfId="0" applyFont="1" applyFill="1" applyBorder="1" applyAlignment="1" applyProtection="1">
      <alignment horizontal="right"/>
      <protection locked="0"/>
    </xf>
    <xf numFmtId="168" fontId="19" fillId="5" borderId="6" xfId="0" applyNumberFormat="1" applyFont="1" applyFill="1" applyBorder="1" applyAlignment="1" applyProtection="1">
      <alignment horizontal="right"/>
      <protection locked="0"/>
    </xf>
    <xf numFmtId="168" fontId="28" fillId="5" borderId="4" xfId="0" applyNumberFormat="1" applyFont="1" applyFill="1" applyBorder="1" applyAlignment="1" applyProtection="1">
      <alignment horizontal="right"/>
      <protection locked="0"/>
    </xf>
    <xf numFmtId="0" fontId="19" fillId="43" borderId="4" xfId="0" applyFont="1" applyFill="1" applyBorder="1" applyAlignment="1" applyProtection="1">
      <alignment horizontal="left" wrapText="1"/>
      <protection locked="0"/>
    </xf>
    <xf numFmtId="168" fontId="0" fillId="43" borderId="6" xfId="0" applyNumberFormat="1" applyFill="1" applyBorder="1" applyAlignment="1" applyProtection="1">
      <alignment horizontal="right"/>
      <protection locked="0"/>
    </xf>
    <xf numFmtId="3" fontId="0" fillId="0" borderId="6" xfId="0" applyNumberFormat="1" applyBorder="1" applyAlignment="1">
      <alignment horizontal="right"/>
    </xf>
    <xf numFmtId="2" fontId="0" fillId="5" borderId="6" xfId="0" applyNumberFormat="1" applyFill="1" applyBorder="1" applyAlignment="1" applyProtection="1">
      <alignment horizontal="center"/>
      <protection locked="0"/>
    </xf>
    <xf numFmtId="1" fontId="28" fillId="5" borderId="11" xfId="0" quotePrefix="1" applyNumberFormat="1" applyFont="1" applyFill="1" applyBorder="1" applyAlignment="1" applyProtection="1">
      <alignment horizontal="center"/>
      <protection locked="0"/>
    </xf>
    <xf numFmtId="0" fontId="19" fillId="43" borderId="6" xfId="0" applyFont="1" applyFill="1" applyBorder="1" applyAlignment="1" applyProtection="1">
      <alignment horizontal="left"/>
      <protection locked="0"/>
    </xf>
    <xf numFmtId="0" fontId="0" fillId="0" borderId="5" xfId="0" applyBorder="1" applyAlignment="1">
      <alignment horizontal="left"/>
    </xf>
    <xf numFmtId="0" fontId="0" fillId="5" borderId="4" xfId="0" applyFill="1" applyBorder="1" applyAlignment="1" applyProtection="1">
      <alignment horizontal="right"/>
      <protection locked="0"/>
    </xf>
    <xf numFmtId="0" fontId="38" fillId="5" borderId="6" xfId="0" applyFont="1" applyFill="1" applyBorder="1" applyAlignment="1" applyProtection="1">
      <alignment horizontal="left"/>
      <protection locked="0"/>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10" fontId="28" fillId="0" borderId="11" xfId="0" applyNumberFormat="1" applyFont="1" applyBorder="1" applyAlignment="1">
      <alignment horizontal="center"/>
    </xf>
    <xf numFmtId="0" fontId="0" fillId="0" borderId="6" xfId="0" applyBorder="1" applyAlignment="1">
      <alignment horizontal="center"/>
    </xf>
    <xf numFmtId="0" fontId="0" fillId="0" borderId="10" xfId="0" applyBorder="1" applyAlignment="1">
      <alignment horizontal="center"/>
    </xf>
    <xf numFmtId="168" fontId="19" fillId="0" borderId="3" xfId="0" applyNumberFormat="1" applyFont="1" applyBorder="1" applyAlignment="1">
      <alignment horizontal="left" vertical="top"/>
    </xf>
    <xf numFmtId="168" fontId="19" fillId="0" borderId="4" xfId="0" applyNumberFormat="1" applyFont="1" applyBorder="1" applyAlignment="1">
      <alignment horizontal="left" vertical="top"/>
    </xf>
    <xf numFmtId="168" fontId="19" fillId="0" borderId="5" xfId="0" applyNumberFormat="1" applyFont="1" applyBorder="1" applyAlignment="1">
      <alignment horizontal="left" vertical="top"/>
    </xf>
    <xf numFmtId="172" fontId="26" fillId="0" borderId="11" xfId="0" applyNumberFormat="1" applyFont="1" applyBorder="1" applyAlignment="1">
      <alignment horizontal="center" vertical="center" wrapText="1"/>
    </xf>
    <xf numFmtId="165" fontId="28" fillId="5" borderId="3" xfId="0" applyNumberFormat="1" applyFont="1" applyFill="1" applyBorder="1" applyAlignment="1" applyProtection="1">
      <alignment horizontal="center"/>
      <protection locked="0"/>
    </xf>
    <xf numFmtId="165" fontId="28" fillId="5" borderId="4" xfId="0" applyNumberFormat="1" applyFont="1" applyFill="1" applyBorder="1" applyAlignment="1" applyProtection="1">
      <alignment horizontal="center"/>
      <protection locked="0"/>
    </xf>
    <xf numFmtId="165" fontId="28"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43" borderId="10" xfId="0" applyFill="1" applyBorder="1" applyAlignment="1" applyProtection="1">
      <alignment horizontal="left"/>
      <protection locked="0"/>
    </xf>
    <xf numFmtId="0" fontId="19" fillId="5" borderId="3" xfId="0" applyFont="1"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0" fontId="26" fillId="0" borderId="10" xfId="0" applyFont="1" applyBorder="1" applyAlignment="1">
      <alignment horizontal="center"/>
    </xf>
    <xf numFmtId="3" fontId="28" fillId="0" borderId="11" xfId="0" applyNumberFormat="1" applyFont="1" applyBorder="1" applyAlignment="1">
      <alignment horizontal="center"/>
    </xf>
    <xf numFmtId="14" fontId="0" fillId="5" borderId="4" xfId="0" applyNumberFormat="1" applyFill="1" applyBorder="1" applyAlignment="1" applyProtection="1">
      <alignment horizontal="center"/>
      <protection locked="0"/>
    </xf>
    <xf numFmtId="168" fontId="184" fillId="0" borderId="105" xfId="543" applyNumberFormat="1" applyFont="1" applyBorder="1" applyAlignment="1">
      <alignment horizontal="right" vertical="center" wrapText="1"/>
    </xf>
    <xf numFmtId="175" fontId="184" fillId="0" borderId="107" xfId="543" applyNumberFormat="1" applyFont="1" applyBorder="1" applyAlignment="1">
      <alignment horizontal="center" vertical="center" wrapText="1"/>
    </xf>
    <xf numFmtId="175" fontId="184" fillId="0" borderId="108" xfId="543" applyNumberFormat="1" applyFont="1" applyBorder="1" applyAlignment="1">
      <alignment horizontal="center" vertical="center" wrapText="1"/>
    </xf>
    <xf numFmtId="175" fontId="184" fillId="0" borderId="109" xfId="543" applyNumberFormat="1" applyFont="1" applyBorder="1" applyAlignment="1">
      <alignment horizontal="center" vertical="center" wrapText="1"/>
    </xf>
    <xf numFmtId="0" fontId="183"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25" fillId="3" borderId="16" xfId="0" applyFont="1" applyFill="1" applyBorder="1" applyAlignment="1">
      <alignment horizontal="center" vertical="center" wrapText="1"/>
    </xf>
    <xf numFmtId="0" fontId="106" fillId="0" borderId="0" xfId="0" applyFont="1" applyAlignment="1">
      <alignment horizontal="left" vertical="top" wrapText="1"/>
    </xf>
    <xf numFmtId="0" fontId="20" fillId="0" borderId="0" xfId="244" applyAlignment="1">
      <alignment horizontal="left" vertical="top"/>
    </xf>
    <xf numFmtId="0" fontId="48" fillId="0" borderId="0" xfId="0" applyFont="1" applyAlignment="1">
      <alignment horizontal="left" vertical="top" wrapText="1"/>
    </xf>
    <xf numFmtId="0" fontId="114" fillId="0" borderId="0" xfId="0" applyFont="1" applyAlignment="1">
      <alignment horizontal="left" wrapText="1"/>
    </xf>
    <xf numFmtId="0" fontId="28" fillId="0" borderId="0" xfId="0" applyFont="1" applyAlignment="1">
      <alignment horizontal="left" wrapText="1"/>
    </xf>
    <xf numFmtId="0" fontId="20" fillId="0" borderId="0" xfId="244" applyAlignment="1" applyProtection="1">
      <alignment horizontal="left"/>
    </xf>
    <xf numFmtId="0" fontId="20" fillId="0" borderId="0" xfId="244"/>
    <xf numFmtId="0" fontId="0" fillId="0" borderId="0" xfId="0"/>
    <xf numFmtId="0" fontId="19" fillId="0" borderId="0" xfId="1192" applyAlignment="1">
      <alignment horizontal="left" vertical="top" wrapText="1"/>
    </xf>
    <xf numFmtId="0" fontId="26" fillId="0" borderId="0" xfId="0" applyFont="1" applyAlignment="1">
      <alignment horizontal="left" vertical="top" wrapText="1"/>
    </xf>
    <xf numFmtId="0" fontId="115" fillId="0" borderId="0" xfId="569" applyFont="1" applyAlignment="1">
      <alignment horizontal="center"/>
    </xf>
    <xf numFmtId="0" fontId="116" fillId="0" borderId="0" xfId="569" applyFont="1"/>
    <xf numFmtId="0" fontId="19" fillId="0" borderId="0" xfId="569" applyAlignment="1">
      <alignment wrapText="1"/>
    </xf>
    <xf numFmtId="0" fontId="26" fillId="0" borderId="0" xfId="569" applyFont="1" applyAlignment="1">
      <alignment wrapText="1"/>
    </xf>
    <xf numFmtId="0" fontId="34" fillId="0" borderId="0" xfId="569" applyFont="1" applyAlignment="1">
      <alignment horizontal="center"/>
    </xf>
    <xf numFmtId="0" fontId="19" fillId="0" borderId="0" xfId="569"/>
    <xf numFmtId="0" fontId="19" fillId="0" borderId="0" xfId="1192" applyAlignment="1">
      <alignment vertical="top" wrapText="1"/>
    </xf>
    <xf numFmtId="0" fontId="19" fillId="0" borderId="0" xfId="0" applyFont="1" applyAlignment="1">
      <alignment horizontal="left"/>
    </xf>
    <xf numFmtId="0" fontId="19" fillId="0" borderId="0" xfId="569" applyAlignment="1">
      <alignment vertical="top" wrapText="1"/>
    </xf>
    <xf numFmtId="0" fontId="19" fillId="0" borderId="0" xfId="0" applyFont="1" applyAlignment="1">
      <alignment horizontal="left" vertical="top"/>
    </xf>
    <xf numFmtId="0" fontId="37" fillId="0" borderId="0" xfId="0" applyFont="1" applyAlignment="1">
      <alignment horizontal="left"/>
    </xf>
    <xf numFmtId="49" fontId="19" fillId="0" borderId="0" xfId="0" applyNumberFormat="1" applyFont="1" applyAlignment="1">
      <alignment horizontal="left" vertical="top" wrapText="1"/>
    </xf>
    <xf numFmtId="49" fontId="19" fillId="0" borderId="0" xfId="1192" applyNumberFormat="1" applyAlignment="1">
      <alignment horizontal="left" vertical="top" wrapText="1"/>
    </xf>
    <xf numFmtId="0" fontId="26" fillId="0" borderId="4" xfId="0" applyFont="1" applyBorder="1" applyAlignment="1">
      <alignment horizontal="left"/>
    </xf>
    <xf numFmtId="4" fontId="37" fillId="0" borderId="0" xfId="0" applyNumberFormat="1" applyFont="1" applyAlignment="1">
      <alignment horizontal="left"/>
    </xf>
    <xf numFmtId="0" fontId="26" fillId="0" borderId="0" xfId="1192" applyFont="1" applyAlignment="1">
      <alignment horizontal="left" vertical="top" wrapText="1"/>
    </xf>
    <xf numFmtId="4" fontId="19" fillId="0" borderId="0" xfId="569" applyNumberFormat="1" applyAlignment="1">
      <alignment horizontal="left" vertical="top" wrapText="1"/>
    </xf>
    <xf numFmtId="4" fontId="19" fillId="0" borderId="0" xfId="569" applyNumberFormat="1" applyAlignment="1">
      <alignment horizontal="left"/>
    </xf>
    <xf numFmtId="0" fontId="37" fillId="0" borderId="0" xfId="569" applyFont="1" applyAlignment="1">
      <alignment horizontal="left" vertical="top"/>
    </xf>
    <xf numFmtId="4" fontId="19" fillId="0" borderId="0" xfId="0" applyNumberFormat="1" applyFont="1" applyAlignment="1">
      <alignment horizontal="left"/>
    </xf>
    <xf numFmtId="0" fontId="37" fillId="0" borderId="0" xfId="0" applyFont="1" applyAlignment="1">
      <alignment horizontal="left" vertical="top"/>
    </xf>
    <xf numFmtId="0" fontId="26" fillId="0" borderId="0" xfId="0" applyFont="1" applyAlignment="1">
      <alignment vertical="top" wrapText="1"/>
    </xf>
    <xf numFmtId="4" fontId="19" fillId="0" borderId="0" xfId="0" applyNumberFormat="1" applyFont="1" applyAlignment="1">
      <alignment horizontal="left" vertical="top" wrapText="1"/>
    </xf>
    <xf numFmtId="0" fontId="19" fillId="0" borderId="0" xfId="0" applyFont="1" applyAlignment="1">
      <alignment horizontal="left" vertical="center" wrapText="1"/>
    </xf>
    <xf numFmtId="0" fontId="19" fillId="0" borderId="0" xfId="569" applyAlignment="1">
      <alignment horizontal="left" wrapText="1"/>
    </xf>
    <xf numFmtId="0" fontId="20" fillId="0" borderId="0" xfId="244" applyFill="1" applyBorder="1" applyAlignment="1">
      <alignment horizontal="left" vertical="top" wrapText="1"/>
    </xf>
    <xf numFmtId="0" fontId="19" fillId="0" borderId="0" xfId="569" applyAlignment="1">
      <alignment horizontal="left" vertical="top" wrapText="1"/>
    </xf>
    <xf numFmtId="0" fontId="26" fillId="0" borderId="4" xfId="569" applyFont="1" applyBorder="1" applyAlignment="1">
      <alignment horizontal="left"/>
    </xf>
    <xf numFmtId="0" fontId="19" fillId="0" borderId="0" xfId="569" applyAlignment="1">
      <alignment horizontal="left"/>
    </xf>
    <xf numFmtId="0" fontId="37" fillId="0" borderId="0" xfId="569" applyFont="1" applyAlignment="1">
      <alignment horizontal="left"/>
    </xf>
    <xf numFmtId="0" fontId="26" fillId="0" borderId="4" xfId="569" applyFont="1" applyBorder="1" applyAlignment="1">
      <alignment horizontal="left" vertical="top"/>
    </xf>
    <xf numFmtId="0" fontId="20" fillId="0" borderId="0" xfId="244" quotePrefix="1" applyAlignment="1" applyProtection="1">
      <alignment horizontal="left"/>
    </xf>
    <xf numFmtId="0" fontId="19" fillId="0" borderId="0" xfId="569" applyAlignment="1">
      <alignment horizontal="left" vertical="top"/>
    </xf>
    <xf numFmtId="0" fontId="19" fillId="0" borderId="0" xfId="0" quotePrefix="1" applyFont="1" applyAlignment="1">
      <alignment horizontal="left" vertical="top"/>
    </xf>
    <xf numFmtId="0" fontId="37" fillId="0" borderId="0" xfId="0" applyFont="1" applyAlignment="1">
      <alignment horizontal="left" vertical="top" wrapText="1"/>
    </xf>
    <xf numFmtId="0" fontId="19" fillId="0" borderId="0" xfId="0" quotePrefix="1" applyFont="1" applyAlignment="1">
      <alignment horizontal="left" vertical="top" wrapText="1"/>
    </xf>
    <xf numFmtId="0" fontId="19" fillId="0" borderId="0" xfId="1192" applyAlignment="1">
      <alignment horizontal="left"/>
    </xf>
    <xf numFmtId="0" fontId="26" fillId="0" borderId="16" xfId="569" applyFont="1" applyBorder="1" applyAlignment="1">
      <alignment horizontal="left"/>
    </xf>
    <xf numFmtId="4" fontId="37" fillId="0" borderId="0" xfId="569" applyNumberFormat="1" applyFont="1" applyAlignment="1">
      <alignment horizontal="left" vertical="top" wrapText="1"/>
    </xf>
    <xf numFmtId="0" fontId="19" fillId="0" borderId="0" xfId="1192" applyAlignment="1" applyProtection="1">
      <alignment horizontal="left" vertical="top" wrapText="1"/>
      <protection locked="0"/>
    </xf>
    <xf numFmtId="0" fontId="0" fillId="0" borderId="0" xfId="0" applyAlignment="1">
      <alignment horizontal="left" vertical="top" wrapText="1"/>
    </xf>
    <xf numFmtId="0" fontId="37" fillId="0" borderId="0" xfId="1192" applyFont="1" applyAlignment="1">
      <alignment horizontal="left" vertical="top" wrapText="1"/>
    </xf>
    <xf numFmtId="4" fontId="19" fillId="0" borderId="0" xfId="1192" applyNumberFormat="1" applyAlignment="1">
      <alignment horizontal="left" vertical="top" wrapText="1"/>
    </xf>
    <xf numFmtId="4" fontId="37" fillId="0" borderId="0" xfId="0" applyNumberFormat="1" applyFont="1" applyAlignment="1">
      <alignment horizontal="left" vertical="top" wrapText="1"/>
    </xf>
    <xf numFmtId="0" fontId="26" fillId="0" borderId="4" xfId="0" applyFont="1" applyBorder="1" applyAlignment="1">
      <alignment horizontal="left" vertical="top"/>
    </xf>
    <xf numFmtId="0" fontId="37" fillId="0" borderId="0" xfId="569" applyFont="1" applyAlignment="1">
      <alignment horizontal="left" vertical="top" wrapText="1"/>
    </xf>
    <xf numFmtId="0" fontId="19" fillId="0" borderId="27" xfId="569" applyBorder="1" applyAlignment="1">
      <alignment horizontal="left"/>
    </xf>
    <xf numFmtId="0" fontId="26" fillId="0" borderId="0" xfId="569" applyFont="1" applyAlignment="1">
      <alignment horizontal="center"/>
    </xf>
    <xf numFmtId="0" fontId="20" fillId="0" borderId="0" xfId="244" applyNumberFormat="1" applyFill="1" applyAlignment="1" applyProtection="1">
      <alignment horizontal="left"/>
    </xf>
    <xf numFmtId="0" fontId="37" fillId="0" borderId="0" xfId="569" applyFont="1" applyAlignment="1">
      <alignment horizontal="left" wrapText="1"/>
    </xf>
    <xf numFmtId="0" fontId="37" fillId="0" borderId="0" xfId="569" applyFont="1" applyAlignment="1">
      <alignment horizontal="center" wrapText="1"/>
    </xf>
    <xf numFmtId="0" fontId="19" fillId="0" borderId="0" xfId="569" applyAlignment="1">
      <alignment horizontal="left" vertical="center" wrapText="1"/>
    </xf>
    <xf numFmtId="0" fontId="26" fillId="0" borderId="0" xfId="0" applyFont="1" applyAlignment="1">
      <alignment horizontal="left" vertical="top"/>
    </xf>
    <xf numFmtId="0" fontId="26" fillId="0" borderId="0" xfId="569" applyFont="1" applyAlignment="1">
      <alignment horizontal="left"/>
    </xf>
    <xf numFmtId="0" fontId="37" fillId="0" borderId="0" xfId="1192" applyFont="1" applyAlignment="1">
      <alignment horizontal="left"/>
    </xf>
    <xf numFmtId="0" fontId="20" fillId="0" borderId="0" xfId="244" applyAlignment="1" applyProtection="1">
      <alignment horizontal="left" vertical="top" wrapText="1"/>
    </xf>
    <xf numFmtId="0" fontId="37" fillId="0" borderId="0" xfId="569" applyFont="1" applyAlignment="1">
      <alignment horizontal="center"/>
    </xf>
    <xf numFmtId="0" fontId="60" fillId="2" borderId="3" xfId="0" applyFont="1" applyFill="1" applyBorder="1" applyAlignment="1">
      <alignment horizontal="center" vertical="top"/>
    </xf>
    <xf numFmtId="0" fontId="60" fillId="2" borderId="4" xfId="0" applyFont="1" applyFill="1" applyBorder="1" applyAlignment="1">
      <alignment horizontal="center" vertical="top"/>
    </xf>
    <xf numFmtId="0" fontId="60" fillId="2" borderId="5" xfId="0" applyFont="1" applyFill="1" applyBorder="1" applyAlignment="1">
      <alignment horizontal="center" vertical="top"/>
    </xf>
    <xf numFmtId="0" fontId="28" fillId="0" borderId="6" xfId="0" applyFont="1" applyBorder="1" applyAlignment="1">
      <alignment vertical="top" wrapText="1"/>
    </xf>
    <xf numFmtId="177" fontId="28" fillId="5" borderId="6" xfId="0" applyNumberFormat="1" applyFont="1" applyFill="1" applyBorder="1" applyAlignment="1" applyProtection="1">
      <alignment horizontal="left" vertical="top" wrapText="1"/>
      <protection locked="0"/>
    </xf>
    <xf numFmtId="0" fontId="28" fillId="0" borderId="2" xfId="0" applyFont="1" applyBorder="1" applyAlignment="1">
      <alignment vertical="top" wrapText="1"/>
    </xf>
    <xf numFmtId="0" fontId="55" fillId="0" borderId="0" xfId="0" applyFont="1" applyAlignment="1">
      <alignment vertical="top" wrapText="1"/>
    </xf>
    <xf numFmtId="0" fontId="28" fillId="0" borderId="2" xfId="0" applyFont="1" applyBorder="1" applyAlignment="1">
      <alignment horizontal="left" vertical="top" wrapText="1"/>
    </xf>
    <xf numFmtId="0" fontId="56" fillId="0" borderId="0" xfId="0" applyFont="1" applyAlignment="1">
      <alignment vertical="top" wrapText="1"/>
    </xf>
    <xf numFmtId="0" fontId="28" fillId="0" borderId="0" xfId="0" applyFont="1" applyAlignment="1">
      <alignment vertical="top" wrapText="1"/>
    </xf>
    <xf numFmtId="0" fontId="28" fillId="0" borderId="6" xfId="0" applyFont="1" applyBorder="1" applyAlignment="1">
      <alignment horizontal="right" vertical="top" wrapText="1"/>
    </xf>
    <xf numFmtId="0" fontId="56" fillId="0" borderId="0" xfId="569" applyFont="1" applyAlignment="1">
      <alignment vertical="top" wrapText="1"/>
    </xf>
    <xf numFmtId="0" fontId="19" fillId="0" borderId="0" xfId="569" applyAlignment="1">
      <alignment horizontal="right" vertical="top" wrapText="1"/>
    </xf>
    <xf numFmtId="0" fontId="25" fillId="3" borderId="3" xfId="0" applyFont="1" applyFill="1" applyBorder="1" applyAlignment="1">
      <alignment horizontal="left" vertical="top"/>
    </xf>
    <xf numFmtId="0" fontId="25" fillId="3" borderId="4" xfId="0" applyFont="1" applyFill="1" applyBorder="1" applyAlignment="1">
      <alignment horizontal="left" vertical="top"/>
    </xf>
    <xf numFmtId="0" fontId="25" fillId="3" borderId="5" xfId="0" applyFont="1" applyFill="1" applyBorder="1" applyAlignment="1">
      <alignment horizontal="left" vertical="top"/>
    </xf>
    <xf numFmtId="0" fontId="3" fillId="45" borderId="3" xfId="8736" applyFill="1" applyBorder="1" applyAlignment="1">
      <alignment horizontal="center"/>
    </xf>
    <xf numFmtId="0" fontId="3" fillId="45" borderId="4" xfId="8736" applyFill="1" applyBorder="1" applyAlignment="1">
      <alignment horizontal="center"/>
    </xf>
    <xf numFmtId="0" fontId="3" fillId="45" borderId="5" xfId="8736" applyFill="1" applyBorder="1" applyAlignment="1">
      <alignment horizontal="center"/>
    </xf>
    <xf numFmtId="0" fontId="169" fillId="44" borderId="80" xfId="8736" applyFont="1" applyFill="1" applyBorder="1" applyAlignment="1">
      <alignment horizontal="left"/>
    </xf>
    <xf numFmtId="0" fontId="169" fillId="44" borderId="79" xfId="8736" applyFont="1" applyFill="1" applyBorder="1" applyAlignment="1">
      <alignment horizontal="left"/>
    </xf>
    <xf numFmtId="0" fontId="169" fillId="44" borderId="78" xfId="8736" applyFont="1" applyFill="1" applyBorder="1" applyAlignment="1">
      <alignment horizontal="left"/>
    </xf>
    <xf numFmtId="0" fontId="170" fillId="45" borderId="11" xfId="8736" applyFont="1" applyFill="1" applyBorder="1" applyAlignment="1">
      <alignment horizontal="right"/>
    </xf>
    <xf numFmtId="1" fontId="169" fillId="48" borderId="11" xfId="8736" applyNumberFormat="1" applyFont="1" applyFill="1" applyBorder="1" applyAlignment="1" applyProtection="1">
      <alignment horizontal="center"/>
      <protection locked="0"/>
    </xf>
    <xf numFmtId="0" fontId="181" fillId="51" borderId="65" xfId="8736" applyFont="1" applyFill="1" applyBorder="1" applyAlignment="1">
      <alignment horizontal="center"/>
    </xf>
    <xf numFmtId="0" fontId="181" fillId="51" borderId="29" xfId="8736" applyFont="1" applyFill="1" applyBorder="1" applyAlignment="1">
      <alignment horizontal="center"/>
    </xf>
    <xf numFmtId="0" fontId="181" fillId="51" borderId="31" xfId="8736" applyFont="1" applyFill="1" applyBorder="1" applyAlignment="1">
      <alignment horizontal="center"/>
    </xf>
    <xf numFmtId="0" fontId="166" fillId="48" borderId="66" xfId="8736" applyFont="1" applyFill="1" applyBorder="1" applyAlignment="1">
      <alignment horizontal="center"/>
    </xf>
    <xf numFmtId="0" fontId="166" fillId="48" borderId="0" xfId="8736" applyFont="1" applyFill="1" applyAlignment="1">
      <alignment horizontal="center"/>
    </xf>
    <xf numFmtId="0" fontId="166" fillId="48" borderId="41" xfId="8736" applyFont="1" applyFill="1" applyBorder="1" applyAlignment="1">
      <alignment horizontal="center"/>
    </xf>
    <xf numFmtId="0" fontId="166" fillId="45" borderId="3" xfId="8736" applyFont="1" applyFill="1" applyBorder="1" applyAlignment="1">
      <alignment horizontal="center"/>
    </xf>
    <xf numFmtId="0" fontId="166" fillId="45" borderId="4" xfId="8736" applyFont="1" applyFill="1" applyBorder="1" applyAlignment="1">
      <alignment horizontal="center"/>
    </xf>
    <xf numFmtId="0" fontId="166" fillId="45" borderId="5" xfId="8736" applyFont="1" applyFill="1" applyBorder="1" applyAlignment="1">
      <alignment horizontal="center"/>
    </xf>
    <xf numFmtId="0" fontId="176" fillId="45" borderId="11" xfId="8736" applyFont="1" applyFill="1" applyBorder="1" applyAlignment="1">
      <alignment horizontal="right"/>
    </xf>
    <xf numFmtId="14" fontId="169" fillId="48" borderId="11" xfId="8736" applyNumberFormat="1" applyFont="1" applyFill="1" applyBorder="1" applyAlignment="1" applyProtection="1">
      <alignment horizontal="center"/>
      <protection locked="0"/>
    </xf>
    <xf numFmtId="0" fontId="169" fillId="48" borderId="11" xfId="8736" applyFont="1" applyFill="1" applyBorder="1" applyAlignment="1" applyProtection="1">
      <alignment horizontal="center"/>
      <protection locked="0"/>
    </xf>
    <xf numFmtId="0" fontId="3" fillId="44" borderId="80" xfId="8736" applyFill="1" applyBorder="1" applyAlignment="1">
      <alignment horizontal="center"/>
    </xf>
    <xf numFmtId="0" fontId="3" fillId="44" borderId="79" xfId="8736" applyFill="1" applyBorder="1" applyAlignment="1">
      <alignment horizontal="center"/>
    </xf>
    <xf numFmtId="0" fontId="3" fillId="44" borderId="78" xfId="8736" applyFill="1" applyBorder="1" applyAlignment="1">
      <alignment horizontal="center"/>
    </xf>
    <xf numFmtId="0" fontId="103" fillId="45" borderId="80" xfId="8736" applyFont="1" applyFill="1" applyBorder="1" applyAlignment="1">
      <alignment horizontal="center"/>
    </xf>
    <xf numFmtId="0" fontId="103" fillId="45" borderId="79" xfId="8736" applyFont="1" applyFill="1" applyBorder="1" applyAlignment="1">
      <alignment horizontal="center"/>
    </xf>
    <xf numFmtId="0" fontId="103" fillId="45" borderId="78" xfId="8736" applyFont="1" applyFill="1" applyBorder="1" applyAlignment="1">
      <alignment horizontal="center"/>
    </xf>
    <xf numFmtId="0" fontId="169" fillId="48" borderId="80" xfId="8736" applyFont="1" applyFill="1" applyBorder="1" applyAlignment="1" applyProtection="1">
      <alignment horizontal="center"/>
      <protection locked="0"/>
    </xf>
    <xf numFmtId="0" fontId="169" fillId="48" borderId="79" xfId="8736" applyFont="1" applyFill="1" applyBorder="1" applyAlignment="1" applyProtection="1">
      <alignment horizontal="center"/>
      <protection locked="0"/>
    </xf>
    <xf numFmtId="0" fontId="169" fillId="48" borderId="78" xfId="8736" applyFont="1" applyFill="1" applyBorder="1" applyAlignment="1" applyProtection="1">
      <alignment horizontal="center"/>
      <protection locked="0"/>
    </xf>
    <xf numFmtId="0" fontId="173" fillId="45" borderId="11" xfId="8736" applyFont="1" applyFill="1" applyBorder="1" applyAlignment="1">
      <alignment horizontal="right"/>
    </xf>
    <xf numFmtId="1" fontId="3" fillId="44" borderId="11" xfId="8736" applyNumberFormat="1" applyFill="1" applyBorder="1" applyAlignment="1">
      <alignment horizontal="center"/>
    </xf>
    <xf numFmtId="0" fontId="3" fillId="44" borderId="11" xfId="8736" applyFill="1" applyBorder="1" applyAlignment="1">
      <alignment horizontal="center"/>
    </xf>
    <xf numFmtId="0" fontId="170" fillId="45" borderId="11" xfId="8736" applyFont="1" applyFill="1" applyBorder="1" applyAlignment="1">
      <alignment horizontal="right" wrapText="1"/>
    </xf>
    <xf numFmtId="14" fontId="169" fillId="48" borderId="11" xfId="8736" applyNumberFormat="1" applyFont="1" applyFill="1" applyBorder="1" applyAlignment="1" applyProtection="1">
      <alignment horizontal="center" vertical="center"/>
      <protection locked="0"/>
    </xf>
    <xf numFmtId="0" fontId="169" fillId="48" borderId="11" xfId="8736" applyFont="1" applyFill="1" applyBorder="1" applyAlignment="1" applyProtection="1">
      <alignment horizontal="center" vertical="center"/>
      <protection locked="0"/>
    </xf>
    <xf numFmtId="168" fontId="174" fillId="44" borderId="11" xfId="8737" applyNumberFormat="1" applyFont="1" applyFill="1" applyBorder="1" applyAlignment="1" applyProtection="1">
      <alignment horizontal="left"/>
    </xf>
    <xf numFmtId="0" fontId="103" fillId="45" borderId="80" xfId="8736" applyFont="1" applyFill="1" applyBorder="1" applyAlignment="1">
      <alignment horizontal="right"/>
    </xf>
    <xf numFmtId="0" fontId="103" fillId="45" borderId="79" xfId="8736" applyFont="1" applyFill="1" applyBorder="1" applyAlignment="1">
      <alignment horizontal="right"/>
    </xf>
    <xf numFmtId="0" fontId="103" fillId="45" borderId="103" xfId="8736" applyFont="1" applyFill="1" applyBorder="1" applyAlignment="1">
      <alignment horizontal="right"/>
    </xf>
    <xf numFmtId="0" fontId="3" fillId="44" borderId="84" xfId="8736" applyFill="1" applyBorder="1" applyAlignment="1">
      <alignment horizontal="center"/>
    </xf>
    <xf numFmtId="0" fontId="3" fillId="44" borderId="102" xfId="8736" applyFill="1" applyBorder="1" applyAlignment="1">
      <alignment horizontal="center"/>
    </xf>
    <xf numFmtId="0" fontId="166" fillId="45" borderId="93" xfId="8736" applyFont="1" applyFill="1" applyBorder="1" applyAlignment="1">
      <alignment horizontal="center"/>
    </xf>
    <xf numFmtId="0" fontId="166" fillId="45" borderId="92" xfId="8736" applyFont="1" applyFill="1" applyBorder="1" applyAlignment="1">
      <alignment horizontal="center"/>
    </xf>
    <xf numFmtId="0" fontId="166" fillId="45" borderId="91" xfId="8736" applyFont="1" applyFill="1" applyBorder="1" applyAlignment="1">
      <alignment horizontal="center"/>
    </xf>
    <xf numFmtId="0" fontId="173" fillId="45" borderId="97" xfId="8736" applyFont="1" applyFill="1" applyBorder="1" applyAlignment="1">
      <alignment horizontal="center"/>
    </xf>
    <xf numFmtId="0" fontId="173" fillId="45" borderId="2" xfId="8736" applyFont="1" applyFill="1" applyBorder="1" applyAlignment="1">
      <alignment horizontal="center"/>
    </xf>
    <xf numFmtId="0" fontId="173" fillId="45" borderId="7" xfId="8736" applyFont="1" applyFill="1" applyBorder="1" applyAlignment="1">
      <alignment horizontal="center"/>
    </xf>
    <xf numFmtId="0" fontId="173" fillId="45" borderId="3" xfId="8736" applyFont="1" applyFill="1" applyBorder="1" applyAlignment="1">
      <alignment horizontal="center"/>
    </xf>
    <xf numFmtId="0" fontId="173" fillId="45" borderId="4" xfId="8736" applyFont="1" applyFill="1" applyBorder="1" applyAlignment="1">
      <alignment horizontal="center"/>
    </xf>
    <xf numFmtId="0" fontId="173" fillId="45" borderId="5" xfId="8736" applyFont="1" applyFill="1" applyBorder="1" applyAlignment="1">
      <alignment horizontal="center"/>
    </xf>
    <xf numFmtId="0" fontId="173" fillId="45" borderId="81" xfId="8736" applyFont="1" applyFill="1" applyBorder="1" applyAlignment="1">
      <alignment horizontal="center"/>
    </xf>
    <xf numFmtId="9" fontId="172" fillId="48" borderId="90" xfId="8736" applyNumberFormat="1" applyFont="1" applyFill="1" applyBorder="1" applyAlignment="1" applyProtection="1">
      <alignment horizontal="center"/>
      <protection locked="0"/>
    </xf>
    <xf numFmtId="9" fontId="172" fillId="48" borderId="4" xfId="8736" applyNumberFormat="1" applyFont="1" applyFill="1" applyBorder="1" applyAlignment="1" applyProtection="1">
      <alignment horizontal="center"/>
      <protection locked="0"/>
    </xf>
    <xf numFmtId="9" fontId="172" fillId="48" borderId="5" xfId="8736" applyNumberFormat="1" applyFont="1" applyFill="1" applyBorder="1" applyAlignment="1" applyProtection="1">
      <alignment horizontal="center"/>
      <protection locked="0"/>
    </xf>
    <xf numFmtId="0" fontId="172" fillId="44" borderId="3" xfId="8736" applyFont="1" applyFill="1" applyBorder="1" applyAlignment="1">
      <alignment horizontal="center"/>
    </xf>
    <xf numFmtId="0" fontId="172" fillId="44" borderId="4" xfId="8736" applyFont="1" applyFill="1" applyBorder="1" applyAlignment="1">
      <alignment horizontal="center"/>
    </xf>
    <xf numFmtId="0" fontId="172" fillId="44" borderId="5" xfId="8736" applyFont="1" applyFill="1" applyBorder="1" applyAlignment="1">
      <alignment horizontal="center"/>
    </xf>
    <xf numFmtId="10" fontId="173" fillId="44" borderId="3" xfId="8736" applyNumberFormat="1" applyFont="1" applyFill="1" applyBorder="1" applyAlignment="1">
      <alignment horizontal="center"/>
    </xf>
    <xf numFmtId="10" fontId="173" fillId="44" borderId="4" xfId="8736" applyNumberFormat="1" applyFont="1" applyFill="1" applyBorder="1" applyAlignment="1">
      <alignment horizontal="center"/>
    </xf>
    <xf numFmtId="10" fontId="173" fillId="44" borderId="81" xfId="8736" applyNumberFormat="1" applyFont="1" applyFill="1" applyBorder="1" applyAlignment="1">
      <alignment horizontal="center"/>
    </xf>
    <xf numFmtId="0" fontId="172" fillId="48" borderId="3" xfId="8736" applyFont="1" applyFill="1" applyBorder="1" applyAlignment="1" applyProtection="1">
      <alignment horizontal="center"/>
      <protection locked="0"/>
    </xf>
    <xf numFmtId="0" fontId="172" fillId="48" borderId="4" xfId="8736" applyFont="1" applyFill="1" applyBorder="1" applyAlignment="1" applyProtection="1">
      <alignment horizontal="center"/>
      <protection locked="0"/>
    </xf>
    <xf numFmtId="0" fontId="172" fillId="48" borderId="5" xfId="8736" applyFont="1" applyFill="1" applyBorder="1" applyAlignment="1" applyProtection="1">
      <alignment horizontal="center"/>
      <protection locked="0"/>
    </xf>
    <xf numFmtId="0" fontId="173" fillId="44" borderId="87" xfId="8736" applyFont="1" applyFill="1" applyBorder="1" applyAlignment="1">
      <alignment horizontal="center"/>
    </xf>
    <xf numFmtId="0" fontId="173" fillId="44" borderId="86" xfId="8736" applyFont="1" applyFill="1" applyBorder="1" applyAlignment="1">
      <alignment horizontal="center"/>
    </xf>
    <xf numFmtId="0" fontId="173" fillId="44" borderId="95" xfId="8736" applyFont="1" applyFill="1" applyBorder="1" applyAlignment="1">
      <alignment horizontal="center"/>
    </xf>
    <xf numFmtId="0" fontId="172" fillId="44" borderId="94"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10" fontId="173" fillId="44" borderId="94" xfId="8736" applyNumberFormat="1" applyFont="1" applyFill="1" applyBorder="1" applyAlignment="1">
      <alignment horizontal="center"/>
    </xf>
    <xf numFmtId="10" fontId="173" fillId="44" borderId="86" xfId="8736" applyNumberFormat="1" applyFont="1" applyFill="1" applyBorder="1" applyAlignment="1">
      <alignment horizontal="center"/>
    </xf>
    <xf numFmtId="10" fontId="173" fillId="44" borderId="85" xfId="8736" applyNumberFormat="1" applyFont="1" applyFill="1" applyBorder="1" applyAlignment="1">
      <alignment horizontal="center"/>
    </xf>
    <xf numFmtId="0" fontId="173" fillId="44" borderId="101" xfId="8736" applyFont="1" applyFill="1" applyBorder="1" applyAlignment="1">
      <alignment horizontal="center"/>
    </xf>
    <xf numFmtId="0" fontId="173" fillId="44" borderId="42" xfId="8736" applyFont="1" applyFill="1" applyBorder="1" applyAlignment="1">
      <alignment horizontal="center"/>
    </xf>
    <xf numFmtId="0" fontId="173" fillId="44" borderId="96" xfId="8736" applyFont="1" applyFill="1" applyBorder="1" applyAlignment="1">
      <alignment horizontal="center"/>
    </xf>
    <xf numFmtId="9" fontId="173" fillId="44" borderId="101" xfId="1022" applyFont="1" applyFill="1" applyBorder="1" applyAlignment="1">
      <alignment horizontal="center"/>
    </xf>
    <xf numFmtId="9" fontId="173" fillId="44" borderId="42" xfId="1022" applyFont="1" applyFill="1" applyBorder="1" applyAlignment="1">
      <alignment horizontal="center"/>
    </xf>
    <xf numFmtId="9" fontId="173" fillId="44" borderId="44" xfId="1022" applyFont="1" applyFill="1" applyBorder="1" applyAlignment="1">
      <alignment horizontal="center"/>
    </xf>
    <xf numFmtId="0" fontId="166" fillId="45" borderId="80" xfId="8736" applyFont="1" applyFill="1" applyBorder="1" applyAlignment="1">
      <alignment horizontal="center"/>
    </xf>
    <xf numFmtId="0" fontId="166" fillId="45" borderId="79" xfId="8736" applyFont="1" applyFill="1" applyBorder="1" applyAlignment="1">
      <alignment horizontal="center"/>
    </xf>
    <xf numFmtId="0" fontId="166" fillId="45" borderId="78" xfId="8736" applyFont="1" applyFill="1" applyBorder="1" applyAlignment="1">
      <alignment horizontal="center"/>
    </xf>
    <xf numFmtId="0" fontId="165" fillId="45" borderId="98" xfId="8736" applyFont="1" applyFill="1" applyBorder="1" applyAlignment="1">
      <alignment horizontal="center" vertical="center" wrapText="1"/>
    </xf>
    <xf numFmtId="0" fontId="165" fillId="45" borderId="13" xfId="8736" applyFont="1" applyFill="1" applyBorder="1" applyAlignment="1">
      <alignment horizontal="center" vertical="center"/>
    </xf>
    <xf numFmtId="0" fontId="165" fillId="45" borderId="72" xfId="8736" applyFont="1" applyFill="1" applyBorder="1" applyAlignment="1">
      <alignment horizontal="center" vertical="center"/>
    </xf>
    <xf numFmtId="0" fontId="165" fillId="45" borderId="11" xfId="8736" applyFont="1" applyFill="1" applyBorder="1" applyAlignment="1">
      <alignment horizontal="center" vertical="center"/>
    </xf>
    <xf numFmtId="0" fontId="173" fillId="45" borderId="13" xfId="8736" applyFont="1" applyFill="1" applyBorder="1" applyAlignment="1">
      <alignment horizontal="center" vertical="center" wrapText="1"/>
    </xf>
    <xf numFmtId="0" fontId="173" fillId="45" borderId="13" xfId="8736" applyFont="1" applyFill="1" applyBorder="1" applyAlignment="1">
      <alignment horizontal="center" vertical="center"/>
    </xf>
    <xf numFmtId="0" fontId="173" fillId="45" borderId="11" xfId="8736" applyFont="1" applyFill="1" applyBorder="1" applyAlignment="1">
      <alignment horizontal="center" vertical="center"/>
    </xf>
    <xf numFmtId="0" fontId="173" fillId="45" borderId="9" xfId="8736" applyFont="1" applyFill="1" applyBorder="1" applyAlignment="1">
      <alignment horizontal="center" vertical="center"/>
    </xf>
    <xf numFmtId="0" fontId="173" fillId="45" borderId="3" xfId="8736" applyFont="1" applyFill="1" applyBorder="1" applyAlignment="1">
      <alignment horizontal="center" vertic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5" fillId="45" borderId="65" xfId="8736" applyFont="1" applyFill="1" applyBorder="1" applyAlignment="1">
      <alignment horizontal="center" vertical="center" wrapText="1"/>
    </xf>
    <xf numFmtId="0" fontId="165" fillId="45" borderId="29" xfId="8736" applyFont="1" applyFill="1" applyBorder="1" applyAlignment="1">
      <alignment horizontal="center" vertical="center" wrapText="1"/>
    </xf>
    <xf numFmtId="0" fontId="165" fillId="45" borderId="31" xfId="8736" applyFont="1" applyFill="1" applyBorder="1" applyAlignment="1">
      <alignment horizontal="center" vertical="center" wrapText="1"/>
    </xf>
    <xf numFmtId="0" fontId="165" fillId="45" borderId="73" xfId="8736" applyFont="1" applyFill="1" applyBorder="1" applyAlignment="1">
      <alignment horizontal="center" vertical="center" wrapText="1"/>
    </xf>
    <xf numFmtId="0" fontId="165" fillId="45" borderId="42" xfId="8736" applyFont="1" applyFill="1" applyBorder="1" applyAlignment="1">
      <alignment horizontal="center" vertical="center" wrapText="1"/>
    </xf>
    <xf numFmtId="0" fontId="165" fillId="45" borderId="44" xfId="8736" applyFont="1" applyFill="1" applyBorder="1" applyAlignment="1">
      <alignment horizontal="center" vertical="center" wrapText="1"/>
    </xf>
    <xf numFmtId="9" fontId="173" fillId="48" borderId="13" xfId="8736" applyNumberFormat="1" applyFont="1" applyFill="1" applyBorder="1" applyAlignment="1" applyProtection="1">
      <alignment horizontal="center"/>
      <protection locked="0"/>
    </xf>
    <xf numFmtId="0" fontId="173" fillId="44" borderId="73" xfId="8736" applyFont="1" applyFill="1" applyBorder="1" applyAlignment="1">
      <alignment horizontal="center"/>
    </xf>
    <xf numFmtId="0" fontId="165" fillId="44" borderId="9" xfId="8736" applyFont="1" applyFill="1" applyBorder="1" applyAlignment="1">
      <alignment horizontal="center"/>
    </xf>
    <xf numFmtId="0" fontId="165" fillId="44" borderId="6" xfId="8736" applyFont="1" applyFill="1" applyBorder="1" applyAlignment="1">
      <alignment horizontal="center"/>
    </xf>
    <xf numFmtId="0" fontId="165" fillId="44" borderId="82" xfId="8736" applyFont="1" applyFill="1" applyBorder="1" applyAlignment="1">
      <alignment horizontal="center"/>
    </xf>
    <xf numFmtId="9" fontId="173" fillId="48" borderId="9" xfId="8736" applyNumberFormat="1" applyFont="1" applyFill="1" applyBorder="1" applyAlignment="1" applyProtection="1">
      <alignment horizontal="center"/>
      <protection locked="0"/>
    </xf>
    <xf numFmtId="9" fontId="173" fillId="48" borderId="6" xfId="8736" applyNumberFormat="1" applyFont="1" applyFill="1" applyBorder="1" applyAlignment="1" applyProtection="1">
      <alignment horizontal="center"/>
      <protection locked="0"/>
    </xf>
    <xf numFmtId="9" fontId="173" fillId="48" borderId="10" xfId="8736" applyNumberFormat="1" applyFont="1" applyFill="1" applyBorder="1" applyAlignment="1" applyProtection="1">
      <alignment horizontal="center"/>
      <protection locked="0"/>
    </xf>
    <xf numFmtId="9" fontId="165" fillId="48" borderId="9" xfId="8736" applyNumberFormat="1" applyFont="1" applyFill="1" applyBorder="1" applyAlignment="1" applyProtection="1">
      <alignment horizontal="center"/>
      <protection locked="0"/>
    </xf>
    <xf numFmtId="9" fontId="165" fillId="48" borderId="6" xfId="8736" applyNumberFormat="1" applyFont="1" applyFill="1" applyBorder="1" applyAlignment="1" applyProtection="1">
      <alignment horizontal="center"/>
      <protection locked="0"/>
    </xf>
    <xf numFmtId="9" fontId="165" fillId="48" borderId="10" xfId="8736" applyNumberFormat="1" applyFont="1" applyFill="1" applyBorder="1" applyAlignment="1" applyProtection="1">
      <alignment horizontal="center"/>
      <protection locked="0"/>
    </xf>
    <xf numFmtId="0" fontId="165" fillId="44" borderId="10" xfId="8736" applyFont="1" applyFill="1" applyBorder="1" applyAlignment="1">
      <alignment horizontal="center"/>
    </xf>
    <xf numFmtId="1" fontId="177" fillId="48" borderId="3" xfId="8736" applyNumberFormat="1" applyFont="1" applyFill="1" applyBorder="1" applyAlignment="1" applyProtection="1">
      <alignment horizontal="center"/>
      <protection locked="0"/>
    </xf>
    <xf numFmtId="1" fontId="177" fillId="48" borderId="4" xfId="8736" applyNumberFormat="1" applyFont="1" applyFill="1" applyBorder="1" applyAlignment="1" applyProtection="1">
      <alignment horizontal="center"/>
      <protection locked="0"/>
    </xf>
    <xf numFmtId="1" fontId="177" fillId="48" borderId="5" xfId="8736" applyNumberFormat="1" applyFont="1" applyFill="1" applyBorder="1" applyAlignment="1" applyProtection="1">
      <alignment horizontal="center"/>
      <protection locked="0"/>
    </xf>
    <xf numFmtId="1" fontId="165" fillId="44" borderId="3" xfId="8736" applyNumberFormat="1" applyFont="1" applyFill="1" applyBorder="1" applyAlignment="1">
      <alignment horizontal="center"/>
    </xf>
    <xf numFmtId="1" fontId="165" fillId="44" borderId="4" xfId="8736" applyNumberFormat="1" applyFont="1" applyFill="1" applyBorder="1" applyAlignment="1">
      <alignment horizontal="center"/>
    </xf>
    <xf numFmtId="1" fontId="165" fillId="44" borderId="5" xfId="8736" applyNumberFormat="1" applyFont="1" applyFill="1" applyBorder="1" applyAlignment="1">
      <alignment horizontal="center"/>
    </xf>
    <xf numFmtId="9" fontId="165" fillId="44" borderId="3" xfId="8738" applyFont="1" applyFill="1" applyBorder="1" applyAlignment="1">
      <alignment horizontal="center"/>
    </xf>
    <xf numFmtId="9" fontId="165" fillId="44" borderId="4" xfId="8738" applyFont="1" applyFill="1" applyBorder="1" applyAlignment="1">
      <alignment horizontal="center"/>
    </xf>
    <xf numFmtId="9" fontId="165" fillId="44" borderId="81" xfId="8738" applyFont="1" applyFill="1" applyBorder="1" applyAlignment="1">
      <alignment horizontal="center"/>
    </xf>
    <xf numFmtId="0" fontId="174" fillId="48" borderId="72" xfId="8736" applyFont="1" applyFill="1" applyBorder="1" applyAlignment="1" applyProtection="1">
      <alignment horizontal="right"/>
      <protection locked="0"/>
    </xf>
    <xf numFmtId="0" fontId="174" fillId="48" borderId="11" xfId="8736" applyFont="1" applyFill="1" applyBorder="1" applyAlignment="1" applyProtection="1">
      <alignment horizontal="right"/>
      <protection locked="0"/>
    </xf>
    <xf numFmtId="0" fontId="177" fillId="48" borderId="11" xfId="8736" applyFont="1" applyFill="1" applyBorder="1" applyAlignment="1" applyProtection="1">
      <alignment horizontal="center"/>
      <protection locked="0"/>
    </xf>
    <xf numFmtId="1" fontId="177" fillId="48" borderId="11" xfId="8736" applyNumberFormat="1" applyFont="1" applyFill="1" applyBorder="1" applyAlignment="1" applyProtection="1">
      <alignment horizontal="center"/>
      <protection locked="0"/>
    </xf>
    <xf numFmtId="0" fontId="172" fillId="48" borderId="72" xfId="8736" applyFont="1" applyFill="1" applyBorder="1" applyAlignment="1" applyProtection="1">
      <alignment horizontal="right"/>
      <protection locked="0"/>
    </xf>
    <xf numFmtId="0" fontId="172" fillId="48" borderId="11" xfId="8736" applyFont="1" applyFill="1" applyBorder="1" applyAlignment="1" applyProtection="1">
      <alignment horizontal="right"/>
      <protection locked="0"/>
    </xf>
    <xf numFmtId="0" fontId="172" fillId="48" borderId="69" xfId="8736" applyFont="1" applyFill="1" applyBorder="1" applyAlignment="1" applyProtection="1">
      <alignment horizontal="right"/>
      <protection locked="0"/>
    </xf>
    <xf numFmtId="0" fontId="172" fillId="48" borderId="70" xfId="8736" applyFont="1" applyFill="1" applyBorder="1" applyAlignment="1" applyProtection="1">
      <alignment horizontal="right"/>
      <protection locked="0"/>
    </xf>
    <xf numFmtId="0" fontId="177" fillId="48" borderId="70" xfId="8736" applyFont="1" applyFill="1" applyBorder="1" applyAlignment="1" applyProtection="1">
      <alignment horizontal="center"/>
      <protection locked="0"/>
    </xf>
    <xf numFmtId="1" fontId="177" fillId="48" borderId="70" xfId="8736" applyNumberFormat="1" applyFont="1" applyFill="1" applyBorder="1" applyAlignment="1" applyProtection="1">
      <alignment horizontal="center"/>
      <protection locked="0"/>
    </xf>
    <xf numFmtId="9" fontId="165" fillId="44" borderId="94" xfId="8738" applyFont="1" applyFill="1" applyBorder="1" applyAlignment="1">
      <alignment horizontal="center"/>
    </xf>
    <xf numFmtId="9" fontId="165" fillId="44" borderId="86" xfId="8738" applyFont="1" applyFill="1" applyBorder="1" applyAlignment="1">
      <alignment horizontal="center"/>
    </xf>
    <xf numFmtId="9" fontId="165" fillId="44" borderId="85" xfId="8738" applyFont="1" applyFill="1" applyBorder="1" applyAlignment="1">
      <alignment horizontal="center"/>
    </xf>
    <xf numFmtId="1" fontId="177" fillId="48" borderId="94" xfId="8736" applyNumberFormat="1" applyFont="1" applyFill="1" applyBorder="1" applyAlignment="1" applyProtection="1">
      <alignment horizontal="center"/>
      <protection locked="0"/>
    </xf>
    <xf numFmtId="1" fontId="177" fillId="48" borderId="86" xfId="8736" applyNumberFormat="1" applyFont="1" applyFill="1" applyBorder="1" applyAlignment="1" applyProtection="1">
      <alignment horizontal="center"/>
      <protection locked="0"/>
    </xf>
    <xf numFmtId="1" fontId="177" fillId="48" borderId="95" xfId="8736" applyNumberFormat="1" applyFont="1" applyFill="1" applyBorder="1" applyAlignment="1" applyProtection="1">
      <alignment horizontal="center"/>
      <protection locked="0"/>
    </xf>
    <xf numFmtId="0" fontId="166" fillId="45" borderId="67" xfId="8736" applyFont="1" applyFill="1" applyBorder="1" applyAlignment="1">
      <alignment horizontal="center"/>
    </xf>
    <xf numFmtId="0" fontId="166" fillId="45" borderId="68" xfId="8736" applyFont="1" applyFill="1" applyBorder="1" applyAlignment="1">
      <alignment horizontal="center"/>
    </xf>
    <xf numFmtId="0" fontId="166" fillId="45" borderId="71" xfId="8736" applyFont="1" applyFill="1" applyBorder="1" applyAlignment="1">
      <alignment horizontal="center"/>
    </xf>
    <xf numFmtId="0" fontId="173" fillId="45" borderId="72" xfId="8736" applyFont="1" applyFill="1" applyBorder="1" applyAlignment="1">
      <alignment horizontal="center"/>
    </xf>
    <xf numFmtId="0" fontId="173" fillId="45" borderId="11" xfId="8736" applyFont="1" applyFill="1" applyBorder="1" applyAlignment="1">
      <alignment horizontal="center"/>
    </xf>
    <xf numFmtId="0" fontId="165" fillId="45" borderId="11" xfId="8736" applyFont="1" applyFill="1" applyBorder="1" applyAlignment="1">
      <alignment horizontal="center" vertical="center" wrapText="1"/>
    </xf>
    <xf numFmtId="0" fontId="165" fillId="45" borderId="76" xfId="8736" applyFont="1" applyFill="1" applyBorder="1" applyAlignment="1">
      <alignment horizontal="center" vertical="center" wrapText="1"/>
    </xf>
    <xf numFmtId="0" fontId="172" fillId="48" borderId="11" xfId="8736" applyFont="1" applyFill="1" applyBorder="1" applyAlignment="1" applyProtection="1">
      <alignment horizontal="center"/>
      <protection locked="0"/>
    </xf>
    <xf numFmtId="168" fontId="172" fillId="48" borderId="11" xfId="8737" applyNumberFormat="1" applyFont="1" applyFill="1" applyBorder="1" applyAlignment="1" applyProtection="1">
      <alignment horizontal="center"/>
      <protection locked="0"/>
    </xf>
    <xf numFmtId="1" fontId="172" fillId="48" borderId="11" xfId="8736" applyNumberFormat="1" applyFont="1" applyFill="1" applyBorder="1" applyAlignment="1" applyProtection="1">
      <alignment horizontal="center"/>
      <protection locked="0"/>
    </xf>
    <xf numFmtId="0" fontId="172" fillId="48" borderId="11" xfId="700" applyNumberFormat="1" applyFont="1" applyFill="1" applyBorder="1" applyAlignment="1" applyProtection="1">
      <alignment horizontal="left"/>
      <protection locked="0"/>
    </xf>
    <xf numFmtId="0" fontId="172" fillId="48" borderId="76" xfId="700" applyNumberFormat="1" applyFont="1" applyFill="1" applyBorder="1" applyAlignment="1" applyProtection="1">
      <alignment horizontal="left"/>
      <protection locked="0"/>
    </xf>
    <xf numFmtId="0" fontId="166" fillId="45" borderId="65" xfId="8736" applyFont="1" applyFill="1" applyBorder="1" applyAlignment="1">
      <alignment horizontal="center"/>
    </xf>
    <xf numFmtId="0" fontId="166" fillId="45" borderId="29" xfId="8736" applyFont="1" applyFill="1" applyBorder="1" applyAlignment="1">
      <alignment horizontal="center"/>
    </xf>
    <xf numFmtId="0" fontId="166" fillId="45" borderId="31" xfId="8736" applyFont="1" applyFill="1" applyBorder="1" applyAlignment="1">
      <alignment horizontal="center"/>
    </xf>
    <xf numFmtId="0" fontId="172" fillId="44" borderId="72" xfId="8736" applyFont="1" applyFill="1" applyBorder="1" applyAlignment="1" applyProtection="1">
      <alignment horizontal="right"/>
      <protection locked="0"/>
    </xf>
    <xf numFmtId="0" fontId="172" fillId="44" borderId="11" xfId="8736" applyFont="1" applyFill="1" applyBorder="1" applyAlignment="1" applyProtection="1">
      <alignment horizontal="right"/>
      <protection locked="0"/>
    </xf>
    <xf numFmtId="0" fontId="172" fillId="44" borderId="76" xfId="8736" applyFont="1" applyFill="1" applyBorder="1" applyAlignment="1" applyProtection="1">
      <alignment horizontal="right"/>
      <protection locked="0"/>
    </xf>
    <xf numFmtId="0" fontId="172" fillId="48" borderId="5" xfId="8736" applyFont="1" applyFill="1" applyBorder="1" applyAlignment="1" applyProtection="1">
      <alignment horizontal="left"/>
      <protection locked="0"/>
    </xf>
    <xf numFmtId="0" fontId="172" fillId="48" borderId="11" xfId="8736" applyFont="1" applyFill="1" applyBorder="1" applyAlignment="1" applyProtection="1">
      <alignment horizontal="left"/>
      <protection locked="0"/>
    </xf>
    <xf numFmtId="0" fontId="172" fillId="48" borderId="76" xfId="8736" applyFont="1" applyFill="1" applyBorder="1" applyAlignment="1" applyProtection="1">
      <alignment horizontal="left"/>
      <protection locked="0"/>
    </xf>
    <xf numFmtId="0" fontId="173" fillId="45" borderId="69" xfId="8736" applyFont="1" applyFill="1" applyBorder="1" applyAlignment="1">
      <alignment horizontal="center"/>
    </xf>
    <xf numFmtId="0" fontId="173" fillId="45" borderId="70" xfId="8736" applyFont="1" applyFill="1" applyBorder="1" applyAlignment="1">
      <alignment horizontal="center"/>
    </xf>
    <xf numFmtId="168" fontId="173" fillId="45" borderId="70" xfId="8737" applyNumberFormat="1" applyFont="1" applyFill="1" applyBorder="1" applyAlignment="1">
      <alignment horizontal="center"/>
    </xf>
    <xf numFmtId="1" fontId="173" fillId="45" borderId="70" xfId="8737" applyNumberFormat="1" applyFont="1" applyFill="1" applyBorder="1" applyAlignment="1">
      <alignment horizontal="center"/>
    </xf>
    <xf numFmtId="0" fontId="173" fillId="45" borderId="70" xfId="8737" applyNumberFormat="1" applyFont="1" applyFill="1" applyBorder="1" applyAlignment="1">
      <alignment horizontal="center"/>
    </xf>
    <xf numFmtId="0" fontId="173" fillId="45" borderId="77" xfId="8737" applyNumberFormat="1" applyFont="1" applyFill="1" applyBorder="1" applyAlignment="1">
      <alignment horizontal="center"/>
    </xf>
    <xf numFmtId="0" fontId="169" fillId="48" borderId="74" xfId="8736" applyFont="1" applyFill="1" applyBorder="1" applyAlignment="1" applyProtection="1">
      <alignment horizontal="left"/>
      <protection locked="0"/>
    </xf>
    <xf numFmtId="0" fontId="169" fillId="48" borderId="68" xfId="8736" applyFont="1" applyFill="1" applyBorder="1" applyAlignment="1" applyProtection="1">
      <alignment horizontal="left"/>
      <protection locked="0"/>
    </xf>
    <xf numFmtId="0" fontId="169" fillId="48" borderId="71" xfId="8736" applyFont="1" applyFill="1" applyBorder="1" applyAlignment="1" applyProtection="1">
      <alignment horizontal="left"/>
      <protection locked="0"/>
    </xf>
    <xf numFmtId="0" fontId="166" fillId="45" borderId="72" xfId="8736" applyFont="1" applyFill="1" applyBorder="1" applyAlignment="1">
      <alignment horizontal="center"/>
    </xf>
    <xf numFmtId="0" fontId="166" fillId="45" borderId="11" xfId="8736" applyFont="1" applyFill="1" applyBorder="1" applyAlignment="1">
      <alignment horizontal="center"/>
    </xf>
    <xf numFmtId="0" fontId="166" fillId="45" borderId="81" xfId="8736" applyFont="1" applyFill="1" applyBorder="1" applyAlignment="1">
      <alignment horizontal="center"/>
    </xf>
    <xf numFmtId="0" fontId="103" fillId="45" borderId="69" xfId="8736" applyFont="1" applyFill="1" applyBorder="1" applyAlignment="1">
      <alignment horizontal="center"/>
    </xf>
    <xf numFmtId="0" fontId="103" fillId="45" borderId="70" xfId="8736" applyFont="1" applyFill="1" applyBorder="1" applyAlignment="1">
      <alignment horizontal="center"/>
    </xf>
    <xf numFmtId="0" fontId="172" fillId="44" borderId="69" xfId="8736" applyFont="1" applyFill="1" applyBorder="1" applyAlignment="1" applyProtection="1">
      <alignment horizontal="right"/>
      <protection locked="0"/>
    </xf>
    <xf numFmtId="0" fontId="172" fillId="44" borderId="70" xfId="8736" applyFont="1" applyFill="1" applyBorder="1" applyAlignment="1" applyProtection="1">
      <alignment horizontal="right"/>
      <protection locked="0"/>
    </xf>
    <xf numFmtId="0" fontId="172" fillId="44" borderId="77" xfId="8736" applyFont="1" applyFill="1" applyBorder="1" applyAlignment="1" applyProtection="1">
      <alignment horizontal="right"/>
      <protection locked="0"/>
    </xf>
    <xf numFmtId="0" fontId="172" fillId="48" borderId="95" xfId="8736" applyFont="1" applyFill="1" applyBorder="1" applyAlignment="1" applyProtection="1">
      <alignment horizontal="left"/>
      <protection locked="0"/>
    </xf>
    <xf numFmtId="0" fontId="172" fillId="48" borderId="70" xfId="8736" applyFont="1" applyFill="1" applyBorder="1" applyAlignment="1" applyProtection="1">
      <alignment horizontal="left"/>
      <protection locked="0"/>
    </xf>
    <xf numFmtId="0" fontId="172" fillId="48" borderId="77" xfId="8736" applyFont="1" applyFill="1" applyBorder="1" applyAlignment="1" applyProtection="1">
      <alignment horizontal="left"/>
      <protection locked="0"/>
    </xf>
    <xf numFmtId="168" fontId="174" fillId="48" borderId="11" xfId="700" applyNumberFormat="1" applyFont="1" applyFill="1" applyBorder="1" applyAlignment="1" applyProtection="1">
      <alignment horizontal="left"/>
      <protection locked="0"/>
    </xf>
    <xf numFmtId="168" fontId="174" fillId="48" borderId="76" xfId="700" applyNumberFormat="1" applyFont="1" applyFill="1" applyBorder="1" applyAlignment="1" applyProtection="1">
      <alignment horizontal="left"/>
      <protection locked="0"/>
    </xf>
    <xf numFmtId="0" fontId="172" fillId="48" borderId="68" xfId="8736" applyFont="1" applyFill="1" applyBorder="1" applyAlignment="1" applyProtection="1">
      <alignment horizontal="left"/>
      <protection locked="0"/>
    </xf>
    <xf numFmtId="0" fontId="172" fillId="48" borderId="71" xfId="8736" applyFont="1" applyFill="1" applyBorder="1" applyAlignment="1" applyProtection="1">
      <alignment horizontal="left"/>
      <protection locked="0"/>
    </xf>
    <xf numFmtId="0" fontId="166" fillId="45" borderId="69" xfId="8736" applyFont="1" applyFill="1" applyBorder="1" applyAlignment="1">
      <alignment horizontal="center"/>
    </xf>
    <xf numFmtId="0" fontId="166" fillId="45" borderId="70" xfId="8736" applyFont="1" applyFill="1" applyBorder="1" applyAlignment="1">
      <alignment horizontal="center"/>
    </xf>
    <xf numFmtId="0" fontId="103" fillId="45" borderId="67" xfId="8736" applyFont="1" applyFill="1" applyBorder="1" applyAlignment="1">
      <alignment horizontal="center"/>
    </xf>
    <xf numFmtId="0" fontId="103" fillId="45" borderId="68" xfId="8736" applyFont="1" applyFill="1" applyBorder="1" applyAlignment="1">
      <alignment horizontal="center"/>
    </xf>
    <xf numFmtId="0" fontId="166" fillId="45" borderId="98" xfId="8736" applyFont="1" applyFill="1" applyBorder="1" applyAlignment="1">
      <alignment horizontal="center"/>
    </xf>
    <xf numFmtId="0" fontId="166" fillId="45" borderId="13" xfId="8736" applyFont="1" applyFill="1" applyBorder="1" applyAlignment="1">
      <alignment horizontal="center"/>
    </xf>
    <xf numFmtId="0" fontId="172" fillId="48" borderId="72" xfId="8736" applyFont="1" applyFill="1" applyBorder="1" applyAlignment="1" applyProtection="1">
      <alignment horizontal="left" vertical="top"/>
      <protection locked="0"/>
    </xf>
    <xf numFmtId="0" fontId="172" fillId="48" borderId="11" xfId="8736" applyFont="1" applyFill="1" applyBorder="1" applyAlignment="1" applyProtection="1">
      <alignment horizontal="left" vertical="top"/>
      <protection locked="0"/>
    </xf>
    <xf numFmtId="0" fontId="172" fillId="48" borderId="76" xfId="8736" applyFont="1" applyFill="1" applyBorder="1" applyAlignment="1" applyProtection="1">
      <alignment horizontal="left" vertical="top"/>
      <protection locked="0"/>
    </xf>
    <xf numFmtId="0" fontId="172" fillId="48" borderId="69" xfId="8736" applyFont="1" applyFill="1" applyBorder="1" applyAlignment="1" applyProtection="1">
      <alignment horizontal="left" vertical="top"/>
      <protection locked="0"/>
    </xf>
    <xf numFmtId="0" fontId="172" fillId="48" borderId="70" xfId="8736" applyFont="1" applyFill="1" applyBorder="1" applyAlignment="1" applyProtection="1">
      <alignment horizontal="left" vertical="top"/>
      <protection locked="0"/>
    </xf>
    <xf numFmtId="0" fontId="172" fillId="48" borderId="77" xfId="8736" applyFont="1" applyFill="1" applyBorder="1" applyAlignment="1" applyProtection="1">
      <alignment horizontal="left" vertical="top"/>
      <protection locked="0"/>
    </xf>
    <xf numFmtId="0" fontId="172" fillId="48" borderId="72" xfId="8736" applyFont="1" applyFill="1" applyBorder="1" applyAlignment="1" applyProtection="1">
      <alignment horizontal="center"/>
      <protection locked="0"/>
    </xf>
    <xf numFmtId="0" fontId="166" fillId="45" borderId="89" xfId="8736" applyFont="1" applyFill="1" applyBorder="1" applyAlignment="1">
      <alignment horizontal="right"/>
    </xf>
    <xf numFmtId="0" fontId="166" fillId="45" borderId="43" xfId="8736" applyFont="1" applyFill="1" applyBorder="1" applyAlignment="1">
      <alignment horizontal="right"/>
    </xf>
    <xf numFmtId="168" fontId="166" fillId="45" borderId="43" xfId="8736" applyNumberFormat="1" applyFont="1" applyFill="1" applyBorder="1" applyAlignment="1">
      <alignment horizontal="left"/>
    </xf>
    <xf numFmtId="168" fontId="166" fillId="45" borderId="88" xfId="8736" applyNumberFormat="1" applyFont="1" applyFill="1" applyBorder="1" applyAlignment="1">
      <alignment horizontal="left"/>
    </xf>
    <xf numFmtId="0" fontId="3" fillId="48" borderId="9" xfId="8736" applyFill="1" applyBorder="1" applyAlignment="1" applyProtection="1">
      <alignment horizontal="center"/>
      <protection locked="0"/>
    </xf>
    <xf numFmtId="0" fontId="3" fillId="48" borderId="6" xfId="8736" applyFill="1" applyBorder="1" applyAlignment="1" applyProtection="1">
      <alignment horizontal="center"/>
      <protection locked="0"/>
    </xf>
    <xf numFmtId="0" fontId="3" fillId="48" borderId="82" xfId="8736" applyFill="1" applyBorder="1" applyAlignment="1" applyProtection="1">
      <alignment horizontal="center"/>
      <protection locked="0"/>
    </xf>
    <xf numFmtId="0" fontId="103" fillId="45" borderId="67" xfId="8736" applyFont="1" applyFill="1" applyBorder="1" applyAlignment="1">
      <alignment horizontal="center" wrapText="1"/>
    </xf>
    <xf numFmtId="0" fontId="103" fillId="45" borderId="68" xfId="8736" applyFont="1" applyFill="1" applyBorder="1" applyAlignment="1">
      <alignment horizontal="center" wrapText="1"/>
    </xf>
    <xf numFmtId="0" fontId="103" fillId="45" borderId="71" xfId="8736" applyFont="1" applyFill="1" applyBorder="1" applyAlignment="1">
      <alignment horizontal="center" wrapText="1"/>
    </xf>
    <xf numFmtId="0" fontId="103" fillId="45" borderId="67" xfId="8736" applyFont="1" applyFill="1" applyBorder="1" applyAlignment="1">
      <alignment horizontal="left" wrapText="1"/>
    </xf>
    <xf numFmtId="0" fontId="103" fillId="45" borderId="68" xfId="8736" applyFont="1" applyFill="1" applyBorder="1" applyAlignment="1">
      <alignment horizontal="left" wrapText="1"/>
    </xf>
    <xf numFmtId="0" fontId="103" fillId="45" borderId="72" xfId="8736" applyFont="1" applyFill="1" applyBorder="1" applyAlignment="1">
      <alignment horizontal="left" wrapText="1"/>
    </xf>
    <xf numFmtId="0" fontId="103" fillId="45" borderId="11" xfId="8736" applyFont="1" applyFill="1" applyBorder="1" applyAlignment="1">
      <alignment horizontal="left" wrapText="1"/>
    </xf>
    <xf numFmtId="0" fontId="169" fillId="48" borderId="68" xfId="8736" applyFont="1" applyFill="1" applyBorder="1" applyAlignment="1" applyProtection="1">
      <alignment horizontal="left" wrapText="1"/>
      <protection locked="0"/>
    </xf>
    <xf numFmtId="0" fontId="169" fillId="48" borderId="71" xfId="8736" applyFont="1" applyFill="1" applyBorder="1" applyAlignment="1" applyProtection="1">
      <alignment horizontal="left" wrapText="1"/>
      <protection locked="0"/>
    </xf>
    <xf numFmtId="0" fontId="169" fillId="48" borderId="11" xfId="8736" applyFont="1" applyFill="1" applyBorder="1" applyAlignment="1" applyProtection="1">
      <alignment horizontal="left" wrapText="1"/>
      <protection locked="0"/>
    </xf>
    <xf numFmtId="0" fontId="169" fillId="48" borderId="76" xfId="8736" applyFont="1" applyFill="1" applyBorder="1" applyAlignment="1" applyProtection="1">
      <alignment horizontal="left" wrapText="1"/>
      <protection locked="0"/>
    </xf>
    <xf numFmtId="0" fontId="173" fillId="45" borderId="11" xfId="8736" applyFont="1" applyFill="1" applyBorder="1" applyAlignment="1">
      <alignment horizontal="center" wrapText="1"/>
    </xf>
    <xf numFmtId="0" fontId="165" fillId="45" borderId="11" xfId="8736" applyFont="1" applyFill="1" applyBorder="1" applyAlignment="1">
      <alignment horizontal="center"/>
    </xf>
    <xf numFmtId="0" fontId="165" fillId="45" borderId="76" xfId="8736" applyFont="1" applyFill="1" applyBorder="1" applyAlignment="1">
      <alignment horizontal="center"/>
    </xf>
    <xf numFmtId="0" fontId="3" fillId="48" borderId="70" xfId="8736" applyFill="1" applyBorder="1" applyAlignment="1" applyProtection="1">
      <alignment horizontal="center"/>
      <protection locked="0"/>
    </xf>
    <xf numFmtId="0" fontId="3" fillId="48" borderId="77" xfId="8736" applyFill="1" applyBorder="1" applyAlignment="1" applyProtection="1">
      <alignment horizontal="center"/>
      <protection locked="0"/>
    </xf>
    <xf numFmtId="0" fontId="3" fillId="48" borderId="11" xfId="8736" applyFill="1" applyBorder="1" applyAlignment="1" applyProtection="1">
      <alignment horizontal="center"/>
      <protection locked="0"/>
    </xf>
    <xf numFmtId="0" fontId="3" fillId="48" borderId="76" xfId="8736" applyFill="1" applyBorder="1" applyAlignment="1" applyProtection="1">
      <alignment horizontal="center"/>
      <protection locked="0"/>
    </xf>
    <xf numFmtId="0" fontId="169" fillId="48" borderId="3" xfId="8736" applyFont="1" applyFill="1" applyBorder="1" applyAlignment="1" applyProtection="1">
      <alignment horizontal="center"/>
      <protection locked="0"/>
    </xf>
    <xf numFmtId="0" fontId="169" fillId="48" borderId="4" xfId="8736" applyFont="1" applyFill="1" applyBorder="1" applyAlignment="1" applyProtection="1">
      <alignment horizontal="center"/>
      <protection locked="0"/>
    </xf>
    <xf numFmtId="0" fontId="169" fillId="48" borderId="81" xfId="8736" applyFont="1" applyFill="1" applyBorder="1" applyAlignment="1" applyProtection="1">
      <alignment horizontal="center"/>
      <protection locked="0"/>
    </xf>
    <xf numFmtId="0" fontId="103" fillId="45" borderId="71" xfId="8736" applyFont="1" applyFill="1" applyBorder="1" applyAlignment="1">
      <alignment horizontal="center"/>
    </xf>
    <xf numFmtId="0" fontId="103" fillId="45" borderId="67" xfId="8736" applyFont="1" applyFill="1" applyBorder="1" applyAlignment="1" applyProtection="1">
      <alignment horizontal="left" vertical="center" wrapText="1"/>
      <protection locked="0"/>
    </xf>
    <xf numFmtId="0" fontId="103" fillId="45" borderId="68" xfId="8736" applyFont="1" applyFill="1" applyBorder="1" applyAlignment="1" applyProtection="1">
      <alignment horizontal="left" vertical="center" wrapText="1"/>
      <protection locked="0"/>
    </xf>
    <xf numFmtId="0" fontId="103" fillId="45" borderId="72" xfId="8736" applyFont="1" applyFill="1" applyBorder="1" applyAlignment="1" applyProtection="1">
      <alignment horizontal="left" vertical="center" wrapText="1"/>
      <protection locked="0"/>
    </xf>
    <xf numFmtId="0" fontId="103" fillId="45" borderId="11" xfId="8736" applyFont="1" applyFill="1" applyBorder="1" applyAlignment="1" applyProtection="1">
      <alignment horizontal="left" vertical="center" wrapText="1"/>
      <protection locked="0"/>
    </xf>
    <xf numFmtId="0" fontId="169" fillId="48" borderId="68" xfId="8736" applyFont="1" applyFill="1" applyBorder="1" applyAlignment="1" applyProtection="1">
      <alignment horizontal="left" vertical="center" wrapText="1"/>
      <protection locked="0"/>
    </xf>
    <xf numFmtId="0" fontId="169" fillId="48" borderId="71" xfId="8736" applyFont="1" applyFill="1" applyBorder="1" applyAlignment="1" applyProtection="1">
      <alignment horizontal="left" vertical="center" wrapText="1"/>
      <protection locked="0"/>
    </xf>
    <xf numFmtId="0" fontId="169" fillId="48" borderId="11" xfId="8736" applyFont="1" applyFill="1" applyBorder="1" applyAlignment="1" applyProtection="1">
      <alignment horizontal="left" vertical="center" wrapText="1"/>
      <protection locked="0"/>
    </xf>
    <xf numFmtId="0" fontId="169" fillId="48" borderId="76" xfId="8736" applyFont="1" applyFill="1" applyBorder="1" applyAlignment="1" applyProtection="1">
      <alignment horizontal="left" vertical="center" wrapText="1"/>
      <protection locked="0"/>
    </xf>
    <xf numFmtId="0" fontId="172" fillId="48" borderId="72" xfId="8736" applyFont="1" applyFill="1" applyBorder="1" applyAlignment="1" applyProtection="1">
      <alignment horizontal="left" vertical="top" wrapText="1"/>
      <protection locked="0"/>
    </xf>
    <xf numFmtId="0" fontId="172" fillId="48" borderId="11" xfId="8736" applyFont="1" applyFill="1" applyBorder="1" applyAlignment="1" applyProtection="1">
      <alignment horizontal="left" vertical="top" wrapText="1"/>
      <protection locked="0"/>
    </xf>
    <xf numFmtId="0" fontId="172" fillId="48" borderId="69" xfId="8736" applyFont="1" applyFill="1" applyBorder="1" applyAlignment="1" applyProtection="1">
      <alignment horizontal="left" vertical="top" wrapText="1"/>
      <protection locked="0"/>
    </xf>
    <xf numFmtId="0" fontId="172" fillId="48" borderId="70" xfId="8736" applyFont="1" applyFill="1" applyBorder="1" applyAlignment="1" applyProtection="1">
      <alignment horizontal="left" vertical="top" wrapText="1"/>
      <protection locked="0"/>
    </xf>
    <xf numFmtId="0" fontId="169" fillId="48" borderId="11" xfId="8736" applyFont="1" applyFill="1" applyBorder="1" applyAlignment="1" applyProtection="1">
      <alignment horizontal="center" vertical="center" wrapText="1"/>
      <protection locked="0"/>
    </xf>
    <xf numFmtId="0" fontId="169" fillId="48" borderId="76" xfId="8736" applyFont="1" applyFill="1" applyBorder="1" applyAlignment="1" applyProtection="1">
      <alignment horizontal="center" vertical="center" wrapText="1"/>
      <protection locked="0"/>
    </xf>
    <xf numFmtId="0" fontId="169" fillId="48" borderId="70" xfId="8736" applyFont="1" applyFill="1" applyBorder="1" applyAlignment="1" applyProtection="1">
      <alignment horizontal="center" vertical="center" wrapText="1"/>
      <protection locked="0"/>
    </xf>
    <xf numFmtId="0" fontId="169" fillId="48" borderId="77" xfId="8736" applyFont="1" applyFill="1" applyBorder="1" applyAlignment="1" applyProtection="1">
      <alignment horizontal="center" vertical="center" wrapText="1"/>
      <protection locked="0"/>
    </xf>
    <xf numFmtId="0" fontId="176" fillId="45" borderId="72" xfId="8736" applyFont="1" applyFill="1" applyBorder="1" applyAlignment="1">
      <alignment horizontal="left"/>
    </xf>
    <xf numFmtId="0" fontId="176" fillId="45" borderId="11" xfId="8736" applyFont="1" applyFill="1" applyBorder="1" applyAlignment="1">
      <alignment horizontal="left"/>
    </xf>
    <xf numFmtId="0" fontId="176" fillId="45" borderId="69" xfId="8736" applyFont="1" applyFill="1" applyBorder="1" applyAlignment="1">
      <alignment horizontal="left"/>
    </xf>
    <xf numFmtId="0" fontId="176" fillId="45" borderId="70" xfId="8736" applyFont="1" applyFill="1" applyBorder="1" applyAlignment="1">
      <alignment horizontal="left"/>
    </xf>
    <xf numFmtId="0" fontId="3" fillId="51" borderId="70" xfId="8736" applyFill="1" applyBorder="1" applyAlignment="1" applyProtection="1">
      <alignment horizontal="center"/>
      <protection locked="0"/>
    </xf>
    <xf numFmtId="0" fontId="3" fillId="51" borderId="77" xfId="8736" applyFill="1" applyBorder="1" applyAlignment="1" applyProtection="1">
      <alignment horizontal="center"/>
      <protection locked="0"/>
    </xf>
    <xf numFmtId="0" fontId="103" fillId="45" borderId="71" xfId="8736" applyFont="1" applyFill="1" applyBorder="1" applyAlignment="1">
      <alignment horizontal="left" wrapText="1"/>
    </xf>
    <xf numFmtId="0" fontId="103" fillId="45" borderId="76" xfId="8736" applyFont="1" applyFill="1" applyBorder="1" applyAlignment="1">
      <alignment horizontal="left" wrapText="1"/>
    </xf>
    <xf numFmtId="0" fontId="103" fillId="45" borderId="65" xfId="8736" applyFont="1" applyFill="1" applyBorder="1" applyAlignment="1">
      <alignment horizontal="center"/>
    </xf>
    <xf numFmtId="0" fontId="103" fillId="45" borderId="29" xfId="8736" applyFont="1" applyFill="1" applyBorder="1" applyAlignment="1">
      <alignment horizontal="center"/>
    </xf>
    <xf numFmtId="0" fontId="103" fillId="45" borderId="31" xfId="8736" applyFont="1" applyFill="1" applyBorder="1" applyAlignment="1">
      <alignment horizontal="center"/>
    </xf>
    <xf numFmtId="0" fontId="165" fillId="48" borderId="90" xfId="8736" applyFont="1" applyFill="1" applyBorder="1" applyAlignment="1">
      <alignment horizontal="left"/>
    </xf>
    <xf numFmtId="0" fontId="165" fillId="48" borderId="4" xfId="8736" applyFont="1" applyFill="1" applyBorder="1" applyAlignment="1">
      <alignment horizontal="left"/>
    </xf>
    <xf numFmtId="0" fontId="165" fillId="48" borderId="5" xfId="8736" applyFont="1" applyFill="1" applyBorder="1" applyAlignment="1">
      <alignment horizontal="left"/>
    </xf>
    <xf numFmtId="0" fontId="165" fillId="45" borderId="72" xfId="8736" applyFont="1" applyFill="1" applyBorder="1" applyAlignment="1">
      <alignment horizontal="left"/>
    </xf>
    <xf numFmtId="0" fontId="165" fillId="45" borderId="11" xfId="8736" applyFont="1" applyFill="1" applyBorder="1" applyAlignment="1">
      <alignment horizontal="left"/>
    </xf>
    <xf numFmtId="0" fontId="177" fillId="48" borderId="11" xfId="8736" applyFont="1" applyFill="1" applyBorder="1" applyAlignment="1" applyProtection="1">
      <alignment horizontal="left"/>
      <protection locked="0"/>
    </xf>
    <xf numFmtId="0" fontId="177" fillId="48" borderId="76" xfId="8736" applyFont="1" applyFill="1" applyBorder="1" applyAlignment="1" applyProtection="1">
      <alignment horizontal="left"/>
      <protection locked="0"/>
    </xf>
    <xf numFmtId="0" fontId="174" fillId="48" borderId="72" xfId="8736" applyFont="1" applyFill="1" applyBorder="1" applyAlignment="1" applyProtection="1">
      <alignment horizontal="left" vertical="top"/>
      <protection locked="0"/>
    </xf>
    <xf numFmtId="0" fontId="174" fillId="48" borderId="11" xfId="8736" applyFont="1" applyFill="1" applyBorder="1" applyAlignment="1" applyProtection="1">
      <alignment horizontal="left" vertical="top"/>
      <protection locked="0"/>
    </xf>
    <xf numFmtId="0" fontId="174" fillId="48" borderId="76" xfId="8736" applyFont="1" applyFill="1" applyBorder="1" applyAlignment="1" applyProtection="1">
      <alignment horizontal="left" vertical="top"/>
      <protection locked="0"/>
    </xf>
    <xf numFmtId="0" fontId="174" fillId="48" borderId="69" xfId="8736" applyFont="1" applyFill="1" applyBorder="1" applyAlignment="1" applyProtection="1">
      <alignment horizontal="left" vertical="top"/>
      <protection locked="0"/>
    </xf>
    <xf numFmtId="0" fontId="174" fillId="48" borderId="70" xfId="8736" applyFont="1" applyFill="1" applyBorder="1" applyAlignment="1" applyProtection="1">
      <alignment horizontal="left" vertical="top"/>
      <protection locked="0"/>
    </xf>
    <xf numFmtId="0" fontId="174" fillId="48" borderId="77" xfId="8736" applyFont="1" applyFill="1" applyBorder="1" applyAlignment="1" applyProtection="1">
      <alignment horizontal="left" vertical="top"/>
      <protection locked="0"/>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03" fillId="45" borderId="72" xfId="8736" applyFont="1" applyFill="1" applyBorder="1" applyAlignment="1">
      <alignment horizontal="center"/>
    </xf>
    <xf numFmtId="0" fontId="103" fillId="45" borderId="11" xfId="8736" applyFont="1" applyFill="1" applyBorder="1" applyAlignment="1">
      <alignment horizontal="center"/>
    </xf>
    <xf numFmtId="0" fontId="165" fillId="45" borderId="11" xfId="8736" applyFont="1" applyFill="1" applyBorder="1" applyAlignment="1">
      <alignment horizontal="center" wrapText="1"/>
    </xf>
    <xf numFmtId="0" fontId="165" fillId="45" borderId="76" xfId="8736" applyFont="1" applyFill="1" applyBorder="1" applyAlignment="1">
      <alignment horizontal="center" wrapText="1"/>
    </xf>
    <xf numFmtId="0" fontId="179" fillId="45" borderId="11" xfId="8736" applyFont="1" applyFill="1" applyBorder="1" applyAlignment="1">
      <alignment horizontal="left"/>
    </xf>
    <xf numFmtId="0" fontId="179" fillId="45" borderId="76" xfId="8736" applyFont="1" applyFill="1" applyBorder="1" applyAlignment="1">
      <alignment horizontal="left"/>
    </xf>
    <xf numFmtId="0" fontId="171" fillId="45" borderId="72" xfId="8736" applyFont="1" applyFill="1" applyBorder="1" applyAlignment="1">
      <alignment horizontal="center"/>
    </xf>
    <xf numFmtId="0" fontId="171" fillId="45" borderId="11" xfId="8736" applyFont="1" applyFill="1" applyBorder="1" applyAlignment="1">
      <alignment horizontal="center"/>
    </xf>
    <xf numFmtId="0" fontId="174" fillId="48" borderId="11" xfId="8736" applyFont="1" applyFill="1" applyBorder="1" applyAlignment="1" applyProtection="1">
      <alignment horizontal="center"/>
      <protection locked="0"/>
    </xf>
    <xf numFmtId="14" fontId="172" fillId="48" borderId="11" xfId="8736" applyNumberFormat="1" applyFont="1" applyFill="1" applyBorder="1" applyAlignment="1" applyProtection="1">
      <alignment horizontal="center"/>
      <protection locked="0"/>
    </xf>
    <xf numFmtId="14" fontId="174" fillId="48" borderId="11" xfId="8736" applyNumberFormat="1" applyFont="1" applyFill="1" applyBorder="1" applyAlignment="1" applyProtection="1">
      <alignment horizontal="center"/>
      <protection locked="0"/>
    </xf>
    <xf numFmtId="0" fontId="103" fillId="45" borderId="76" xfId="8736" applyFont="1" applyFill="1" applyBorder="1" applyAlignment="1">
      <alignment horizontal="center"/>
    </xf>
    <xf numFmtId="168" fontId="174" fillId="48" borderId="11" xfId="8737" applyNumberFormat="1" applyFont="1" applyFill="1" applyBorder="1" applyAlignment="1" applyProtection="1">
      <alignment horizontal="center"/>
      <protection locked="0"/>
    </xf>
    <xf numFmtId="168" fontId="174" fillId="48" borderId="76" xfId="8737" applyNumberFormat="1" applyFont="1" applyFill="1" applyBorder="1" applyAlignment="1" applyProtection="1">
      <alignment horizontal="center"/>
      <protection locked="0"/>
    </xf>
    <xf numFmtId="0" fontId="175" fillId="48" borderId="11" xfId="8736" applyFont="1" applyFill="1" applyBorder="1" applyAlignment="1" applyProtection="1">
      <alignment horizontal="left"/>
      <protection locked="0"/>
    </xf>
    <xf numFmtId="0" fontId="171" fillId="45" borderId="69" xfId="8736" applyFont="1" applyFill="1" applyBorder="1" applyAlignment="1">
      <alignment horizontal="center"/>
    </xf>
    <xf numFmtId="0" fontId="171" fillId="45" borderId="70" xfId="8736" applyFont="1" applyFill="1" applyBorder="1" applyAlignment="1">
      <alignment horizontal="center"/>
    </xf>
    <xf numFmtId="0" fontId="175" fillId="48" borderId="70" xfId="8736" applyFont="1" applyFill="1" applyBorder="1" applyAlignment="1" applyProtection="1">
      <alignment horizontal="left"/>
      <protection locked="0"/>
    </xf>
    <xf numFmtId="0" fontId="174" fillId="48" borderId="70" xfId="8736" applyFont="1" applyFill="1" applyBorder="1" applyAlignment="1" applyProtection="1">
      <alignment horizontal="center"/>
      <protection locked="0"/>
    </xf>
    <xf numFmtId="14" fontId="174" fillId="48" borderId="70" xfId="8736" applyNumberFormat="1" applyFont="1" applyFill="1" applyBorder="1" applyAlignment="1" applyProtection="1">
      <alignment horizontal="center"/>
      <protection locked="0"/>
    </xf>
    <xf numFmtId="168" fontId="174" fillId="48" borderId="70" xfId="8737" applyNumberFormat="1" applyFont="1" applyFill="1" applyBorder="1" applyAlignment="1" applyProtection="1">
      <alignment horizontal="center"/>
      <protection locked="0"/>
    </xf>
    <xf numFmtId="168" fontId="174" fillId="48" borderId="77" xfId="8737" applyNumberFormat="1" applyFont="1" applyFill="1" applyBorder="1" applyAlignment="1" applyProtection="1">
      <alignment horizontal="center"/>
      <protection locked="0"/>
    </xf>
    <xf numFmtId="0" fontId="166" fillId="45" borderId="67" xfId="8736" applyFont="1" applyFill="1" applyBorder="1" applyAlignment="1">
      <alignment horizontal="left"/>
    </xf>
    <xf numFmtId="0" fontId="166" fillId="45" borderId="68" xfId="8736" applyFont="1" applyFill="1" applyBorder="1" applyAlignment="1">
      <alignment horizontal="left"/>
    </xf>
    <xf numFmtId="0" fontId="166" fillId="45" borderId="71" xfId="8736" applyFont="1" applyFill="1" applyBorder="1" applyAlignment="1">
      <alignment horizontal="left"/>
    </xf>
    <xf numFmtId="14" fontId="172" fillId="48" borderId="76" xfId="8736" applyNumberFormat="1" applyFont="1" applyFill="1" applyBorder="1" applyAlignment="1" applyProtection="1">
      <alignment horizontal="center"/>
      <protection locked="0"/>
    </xf>
    <xf numFmtId="0" fontId="172" fillId="48" borderId="69" xfId="8736" applyFont="1" applyFill="1" applyBorder="1" applyAlignment="1" applyProtection="1">
      <alignment horizontal="center"/>
      <protection locked="0"/>
    </xf>
    <xf numFmtId="0" fontId="172" fillId="48" borderId="70" xfId="8736" applyFont="1" applyFill="1" applyBorder="1" applyAlignment="1" applyProtection="1">
      <alignment horizontal="center"/>
      <protection locked="0"/>
    </xf>
    <xf numFmtId="14" fontId="172" fillId="48" borderId="70" xfId="8736" applyNumberFormat="1" applyFont="1" applyFill="1" applyBorder="1" applyAlignment="1" applyProtection="1">
      <alignment horizontal="center"/>
      <protection locked="0"/>
    </xf>
    <xf numFmtId="14" fontId="172" fillId="48" borderId="77" xfId="8736" applyNumberFormat="1" applyFont="1" applyFill="1" applyBorder="1" applyAlignment="1" applyProtection="1">
      <alignment horizontal="center"/>
      <protection locked="0"/>
    </xf>
    <xf numFmtId="0" fontId="172" fillId="45" borderId="72" xfId="8736" applyFont="1" applyFill="1" applyBorder="1" applyAlignment="1">
      <alignment horizontal="right"/>
    </xf>
    <xf numFmtId="0" fontId="172" fillId="45" borderId="11" xfId="8736" applyFont="1" applyFill="1" applyBorder="1" applyAlignment="1">
      <alignment horizontal="right"/>
    </xf>
    <xf numFmtId="168" fontId="174" fillId="44" borderId="11" xfId="700" applyNumberFormat="1" applyFont="1" applyFill="1" applyBorder="1" applyAlignment="1">
      <alignment horizontal="left"/>
    </xf>
    <xf numFmtId="0" fontId="103" fillId="45" borderId="65" xfId="8736" applyFont="1" applyFill="1" applyBorder="1" applyAlignment="1">
      <alignment horizontal="left" wrapText="1"/>
    </xf>
    <xf numFmtId="0" fontId="103" fillId="45" borderId="29" xfId="8736" applyFont="1" applyFill="1" applyBorder="1" applyAlignment="1">
      <alignment horizontal="left" wrapText="1"/>
    </xf>
    <xf numFmtId="0" fontId="103" fillId="45" borderId="31" xfId="8736" applyFont="1" applyFill="1" applyBorder="1" applyAlignment="1">
      <alignment horizontal="left" wrapText="1"/>
    </xf>
    <xf numFmtId="0" fontId="103" fillId="45" borderId="73" xfId="8736" applyFont="1" applyFill="1" applyBorder="1" applyAlignment="1">
      <alignment horizontal="left" wrapText="1"/>
    </xf>
    <xf numFmtId="0" fontId="103" fillId="45" borderId="42" xfId="8736" applyFont="1" applyFill="1" applyBorder="1" applyAlignment="1">
      <alignment horizontal="left" wrapText="1"/>
    </xf>
    <xf numFmtId="0" fontId="103" fillId="45" borderId="44" xfId="8736" applyFont="1" applyFill="1" applyBorder="1" applyAlignment="1">
      <alignment horizontal="left" wrapText="1"/>
    </xf>
    <xf numFmtId="168" fontId="172" fillId="48" borderId="11" xfId="700" applyNumberFormat="1" applyFont="1" applyFill="1" applyBorder="1" applyAlignment="1" applyProtection="1">
      <alignment horizontal="left"/>
      <protection locked="0"/>
    </xf>
    <xf numFmtId="43" fontId="169" fillId="50" borderId="72" xfId="698" applyFont="1" applyFill="1" applyBorder="1" applyAlignment="1" applyProtection="1">
      <alignment horizontal="left"/>
      <protection hidden="1"/>
    </xf>
    <xf numFmtId="43" fontId="169" fillId="50" borderId="11" xfId="698" applyFont="1" applyFill="1" applyBorder="1" applyAlignment="1" applyProtection="1">
      <alignment horizontal="left"/>
      <protection hidden="1"/>
    </xf>
    <xf numFmtId="44" fontId="3" fillId="48" borderId="11" xfId="700" applyFont="1" applyFill="1" applyBorder="1" applyAlignment="1" applyProtection="1">
      <alignment horizontal="center"/>
      <protection locked="0"/>
    </xf>
    <xf numFmtId="0" fontId="103" fillId="47" borderId="0" xfId="8736" applyFont="1" applyFill="1" applyAlignment="1">
      <alignment horizontal="center"/>
    </xf>
    <xf numFmtId="0" fontId="173" fillId="51" borderId="11" xfId="8736" applyFont="1" applyFill="1" applyBorder="1" applyAlignment="1">
      <alignment horizontal="center"/>
    </xf>
    <xf numFmtId="0" fontId="173" fillId="51" borderId="76" xfId="8736" applyFont="1" applyFill="1" applyBorder="1" applyAlignment="1">
      <alignment horizontal="center"/>
    </xf>
    <xf numFmtId="0" fontId="174" fillId="45" borderId="72" xfId="8736" applyFont="1" applyFill="1" applyBorder="1" applyAlignment="1">
      <alignment horizontal="right"/>
    </xf>
    <xf numFmtId="0" fontId="174" fillId="45" borderId="11" xfId="8736" applyFont="1" applyFill="1" applyBorder="1" applyAlignment="1">
      <alignment horizontal="right"/>
    </xf>
    <xf numFmtId="168" fontId="172" fillId="44" borderId="11" xfId="700" applyNumberFormat="1" applyFont="1" applyFill="1" applyBorder="1" applyAlignment="1" applyProtection="1">
      <alignment horizontal="left"/>
      <protection locked="0"/>
    </xf>
    <xf numFmtId="0" fontId="3" fillId="48" borderId="3" xfId="8736" applyFill="1" applyBorder="1" applyAlignment="1">
      <alignment horizontal="center"/>
    </xf>
    <xf numFmtId="0" fontId="3" fillId="48" borderId="4" xfId="8736" applyFill="1" applyBorder="1" applyAlignment="1">
      <alignment horizontal="center"/>
    </xf>
    <xf numFmtId="0" fontId="3" fillId="48" borderId="81" xfId="8736" applyFill="1" applyBorder="1" applyAlignment="1">
      <alignment horizontal="center"/>
    </xf>
    <xf numFmtId="43" fontId="166" fillId="50" borderId="111" xfId="698" applyFont="1" applyFill="1" applyBorder="1" applyAlignment="1" applyProtection="1">
      <alignment horizontal="center"/>
      <protection hidden="1"/>
    </xf>
    <xf numFmtId="43" fontId="166" fillId="50" borderId="84" xfId="698" applyFont="1" applyFill="1" applyBorder="1" applyAlignment="1" applyProtection="1">
      <alignment horizontal="center"/>
      <protection hidden="1"/>
    </xf>
    <xf numFmtId="43" fontId="166" fillId="50" borderId="102" xfId="698" applyFont="1" applyFill="1" applyBorder="1" applyAlignment="1" applyProtection="1">
      <alignment horizontal="center"/>
      <protection hidden="1"/>
    </xf>
    <xf numFmtId="43" fontId="169" fillId="50" borderId="98" xfId="698" applyFont="1" applyFill="1" applyBorder="1" applyAlignment="1" applyProtection="1">
      <alignment horizontal="left"/>
      <protection hidden="1"/>
    </xf>
    <xf numFmtId="43" fontId="169" fillId="50" borderId="13" xfId="698" applyFont="1" applyFill="1" applyBorder="1" applyAlignment="1" applyProtection="1">
      <alignment horizontal="left"/>
      <protection hidden="1"/>
    </xf>
    <xf numFmtId="44" fontId="3" fillId="48" borderId="13" xfId="700" applyFont="1" applyFill="1" applyBorder="1" applyAlignment="1" applyProtection="1">
      <alignment horizontal="center"/>
      <protection locked="0"/>
    </xf>
    <xf numFmtId="0" fontId="172" fillId="48" borderId="9" xfId="8736" applyFont="1" applyFill="1" applyBorder="1" applyAlignment="1">
      <alignment horizontal="center"/>
    </xf>
    <xf numFmtId="0" fontId="172" fillId="48" borderId="6" xfId="8736" applyFont="1" applyFill="1" applyBorder="1" applyAlignment="1">
      <alignment horizontal="center"/>
    </xf>
    <xf numFmtId="0" fontId="172" fillId="48" borderId="82" xfId="8736" applyFont="1" applyFill="1" applyBorder="1" applyAlignment="1">
      <alignment horizontal="center"/>
    </xf>
    <xf numFmtId="0" fontId="174" fillId="48" borderId="11" xfId="8736" applyFont="1" applyFill="1" applyBorder="1" applyAlignment="1" applyProtection="1">
      <alignment horizontal="left"/>
      <protection locked="0"/>
    </xf>
    <xf numFmtId="0" fontId="3" fillId="48" borderId="1" xfId="8736" applyFill="1" applyBorder="1" applyAlignment="1">
      <alignment horizontal="center"/>
    </xf>
    <xf numFmtId="0" fontId="3" fillId="48" borderId="2" xfId="8736" applyFill="1" applyBorder="1" applyAlignment="1">
      <alignment horizontal="center"/>
    </xf>
    <xf numFmtId="0" fontId="3" fillId="48" borderId="112" xfId="8736" applyFill="1" applyBorder="1" applyAlignment="1">
      <alignment horizontal="center"/>
    </xf>
    <xf numFmtId="0" fontId="174" fillId="48" borderId="72" xfId="8736" applyFont="1" applyFill="1" applyBorder="1" applyAlignment="1" applyProtection="1">
      <alignment horizontal="center"/>
      <protection locked="0"/>
    </xf>
    <xf numFmtId="43" fontId="169" fillId="50" borderId="72" xfId="698" applyFont="1" applyFill="1" applyBorder="1" applyAlignment="1" applyProtection="1">
      <alignment horizontal="left" wrapText="1"/>
      <protection hidden="1"/>
    </xf>
    <xf numFmtId="43" fontId="169" fillId="50" borderId="11" xfId="698" applyFont="1" applyFill="1" applyBorder="1" applyAlignment="1" applyProtection="1">
      <alignment horizontal="left" wrapText="1"/>
      <protection hidden="1"/>
    </xf>
    <xf numFmtId="44" fontId="3" fillId="48" borderId="11" xfId="700" applyFont="1" applyFill="1" applyBorder="1" applyAlignment="1" applyProtection="1">
      <alignment horizontal="center"/>
      <protection hidden="1"/>
    </xf>
    <xf numFmtId="0" fontId="174" fillId="45" borderId="67" xfId="8736" applyFont="1" applyFill="1" applyBorder="1" applyAlignment="1">
      <alignment horizontal="right"/>
    </xf>
    <xf numFmtId="0" fontId="174" fillId="45" borderId="68" xfId="8736" applyFont="1" applyFill="1" applyBorder="1" applyAlignment="1">
      <alignment horizontal="right"/>
    </xf>
    <xf numFmtId="168" fontId="169" fillId="44" borderId="68" xfId="700" applyNumberFormat="1" applyFont="1" applyFill="1" applyBorder="1" applyAlignment="1">
      <alignment horizontal="left"/>
    </xf>
    <xf numFmtId="168" fontId="169" fillId="44" borderId="71" xfId="700" applyNumberFormat="1" applyFont="1" applyFill="1" applyBorder="1" applyAlignment="1">
      <alignment horizontal="left"/>
    </xf>
    <xf numFmtId="0" fontId="171" fillId="48" borderId="66" xfId="8736" applyFont="1" applyFill="1" applyBorder="1" applyAlignment="1">
      <alignment horizontal="left" wrapText="1"/>
    </xf>
    <xf numFmtId="0" fontId="171" fillId="48" borderId="0" xfId="8736" applyFont="1" applyFill="1" applyAlignment="1">
      <alignment horizontal="left" wrapText="1"/>
    </xf>
    <xf numFmtId="0" fontId="171" fillId="48" borderId="41" xfId="8736" applyFont="1" applyFill="1" applyBorder="1" applyAlignment="1">
      <alignment horizontal="left" wrapText="1"/>
    </xf>
    <xf numFmtId="0" fontId="171" fillId="48" borderId="73" xfId="8736" applyFont="1" applyFill="1" applyBorder="1" applyAlignment="1">
      <alignment horizontal="left" wrapText="1"/>
    </xf>
    <xf numFmtId="0" fontId="171" fillId="48" borderId="42" xfId="8736" applyFont="1" applyFill="1" applyBorder="1" applyAlignment="1">
      <alignment horizontal="left" wrapText="1"/>
    </xf>
    <xf numFmtId="0" fontId="171" fillId="48" borderId="44" xfId="8736" applyFont="1" applyFill="1" applyBorder="1" applyAlignment="1">
      <alignment horizontal="left" wrapText="1"/>
    </xf>
    <xf numFmtId="0" fontId="173" fillId="45" borderId="69" xfId="8736" applyFont="1" applyFill="1" applyBorder="1" applyAlignment="1">
      <alignment horizontal="right"/>
    </xf>
    <xf numFmtId="0" fontId="173" fillId="45" borderId="70" xfId="8736" applyFont="1" applyFill="1" applyBorder="1" applyAlignment="1">
      <alignment horizontal="right"/>
    </xf>
    <xf numFmtId="0" fontId="165" fillId="44" borderId="70" xfId="700" applyNumberFormat="1" applyFont="1" applyFill="1" applyBorder="1" applyAlignment="1">
      <alignment horizontal="left"/>
    </xf>
    <xf numFmtId="168" fontId="165" fillId="44" borderId="70" xfId="700" applyNumberFormat="1" applyFont="1" applyFill="1" applyBorder="1" applyAlignment="1">
      <alignment horizontal="left"/>
    </xf>
    <xf numFmtId="168" fontId="165" fillId="44" borderId="77" xfId="700" applyNumberFormat="1" applyFont="1" applyFill="1" applyBorder="1" applyAlignment="1">
      <alignment horizontal="left"/>
    </xf>
    <xf numFmtId="0" fontId="166" fillId="47" borderId="0" xfId="8736" applyFont="1" applyFill="1" applyAlignment="1">
      <alignment horizontal="right"/>
    </xf>
    <xf numFmtId="168" fontId="170" fillId="47" borderId="0" xfId="700" applyNumberFormat="1" applyFont="1" applyFill="1" applyBorder="1" applyAlignment="1" applyProtection="1">
      <alignment horizontal="left"/>
      <protection locked="0"/>
    </xf>
    <xf numFmtId="0" fontId="172" fillId="48" borderId="87" xfId="8736" applyFont="1" applyFill="1" applyBorder="1" applyAlignment="1" applyProtection="1">
      <alignment horizontal="center"/>
      <protection locked="0"/>
    </xf>
    <xf numFmtId="0" fontId="172" fillId="48" borderId="86" xfId="8736" applyFont="1" applyFill="1" applyBorder="1" applyAlignment="1" applyProtection="1">
      <alignment horizontal="center"/>
      <protection locked="0"/>
    </xf>
    <xf numFmtId="0" fontId="174" fillId="48" borderId="70" xfId="8736" applyFont="1" applyFill="1" applyBorder="1" applyAlignment="1" applyProtection="1">
      <alignment horizontal="left"/>
      <protection locked="0"/>
    </xf>
    <xf numFmtId="0" fontId="174" fillId="48" borderId="77" xfId="8736" applyFont="1" applyFill="1" applyBorder="1" applyAlignment="1" applyProtection="1">
      <alignment horizontal="left"/>
      <protection locked="0"/>
    </xf>
    <xf numFmtId="168" fontId="172" fillId="48" borderId="86" xfId="700" applyNumberFormat="1" applyFont="1" applyFill="1" applyBorder="1" applyAlignment="1" applyProtection="1">
      <alignment horizontal="left"/>
      <protection locked="0"/>
    </xf>
    <xf numFmtId="168" fontId="172" fillId="48" borderId="85" xfId="700" applyNumberFormat="1" applyFont="1" applyFill="1" applyBorder="1" applyAlignment="1" applyProtection="1">
      <alignment horizontal="left"/>
      <protection locked="0"/>
    </xf>
    <xf numFmtId="0" fontId="172" fillId="48" borderId="87" xfId="8736" applyFont="1" applyFill="1" applyBorder="1" applyAlignment="1" applyProtection="1">
      <alignment horizontal="left"/>
      <protection locked="0"/>
    </xf>
    <xf numFmtId="0" fontId="172" fillId="48" borderId="86" xfId="8736" applyFont="1" applyFill="1" applyBorder="1" applyAlignment="1" applyProtection="1">
      <alignment horizontal="left"/>
      <protection locked="0"/>
    </xf>
    <xf numFmtId="0" fontId="172" fillId="48" borderId="85" xfId="8736" applyFont="1" applyFill="1" applyBorder="1" applyAlignment="1" applyProtection="1">
      <alignment horizontal="left"/>
      <protection locked="0"/>
    </xf>
    <xf numFmtId="0" fontId="103" fillId="48" borderId="80" xfId="8736" applyFont="1" applyFill="1" applyBorder="1" applyAlignment="1">
      <alignment horizontal="left"/>
    </xf>
    <xf numFmtId="0" fontId="103" fillId="48" borderId="79" xfId="8736" applyFont="1" applyFill="1" applyBorder="1" applyAlignment="1">
      <alignment horizontal="left"/>
    </xf>
    <xf numFmtId="44" fontId="3" fillId="48" borderId="84" xfId="700" applyFont="1" applyFill="1" applyBorder="1" applyAlignment="1" applyProtection="1">
      <alignment horizontal="center"/>
      <protection locked="0"/>
    </xf>
    <xf numFmtId="0" fontId="172" fillId="45" borderId="11" xfId="8736" applyFont="1" applyFill="1" applyBorder="1" applyAlignment="1">
      <alignment horizontal="left"/>
    </xf>
    <xf numFmtId="182" fontId="3" fillId="48" borderId="11" xfId="700" applyNumberFormat="1" applyFont="1" applyFill="1" applyBorder="1" applyAlignment="1" applyProtection="1">
      <alignment horizontal="center"/>
      <protection locked="0"/>
    </xf>
    <xf numFmtId="10" fontId="172" fillId="48" borderId="11" xfId="1022" applyNumberFormat="1" applyFont="1" applyFill="1" applyBorder="1" applyAlignment="1" applyProtection="1">
      <alignment horizontal="center"/>
      <protection locked="0"/>
    </xf>
    <xf numFmtId="182" fontId="3" fillId="0" borderId="13" xfId="8736" applyNumberFormat="1" applyBorder="1" applyAlignment="1">
      <alignment horizontal="center"/>
    </xf>
    <xf numFmtId="0" fontId="3" fillId="0" borderId="13" xfId="8736" applyBorder="1" applyAlignment="1">
      <alignment horizontal="center"/>
    </xf>
    <xf numFmtId="0" fontId="165" fillId="45" borderId="80" xfId="569" applyFont="1" applyFill="1" applyBorder="1" applyAlignment="1" applyProtection="1">
      <alignment horizontal="center" wrapText="1"/>
      <protection hidden="1"/>
    </xf>
    <xf numFmtId="0" fontId="165" fillId="45" borderId="79" xfId="569" applyFont="1" applyFill="1" applyBorder="1" applyAlignment="1" applyProtection="1">
      <alignment horizontal="center" wrapText="1"/>
      <protection hidden="1"/>
    </xf>
    <xf numFmtId="0" fontId="165" fillId="45" borderId="78" xfId="569" applyFont="1" applyFill="1" applyBorder="1" applyAlignment="1" applyProtection="1">
      <alignment horizontal="center" wrapText="1"/>
      <protection hidden="1"/>
    </xf>
    <xf numFmtId="0" fontId="165" fillId="45" borderId="13" xfId="569" applyFont="1" applyFill="1" applyBorder="1" applyAlignment="1" applyProtection="1">
      <alignment horizontal="left" wrapText="1"/>
      <protection hidden="1"/>
    </xf>
    <xf numFmtId="0" fontId="165" fillId="45" borderId="13" xfId="569" applyFont="1" applyFill="1" applyBorder="1" applyAlignment="1" applyProtection="1">
      <alignment horizontal="center" wrapText="1"/>
      <protection hidden="1"/>
    </xf>
    <xf numFmtId="0" fontId="171" fillId="45" borderId="11" xfId="8736" applyFont="1" applyFill="1" applyBorder="1" applyAlignment="1">
      <alignment horizontal="left" wrapText="1"/>
    </xf>
    <xf numFmtId="43" fontId="166" fillId="45" borderId="80" xfId="698" applyFont="1" applyFill="1" applyBorder="1" applyAlignment="1" applyProtection="1">
      <alignment horizontal="center"/>
      <protection hidden="1"/>
    </xf>
    <xf numFmtId="43" fontId="166" fillId="45" borderId="79" xfId="698" applyFont="1" applyFill="1" applyBorder="1" applyAlignment="1" applyProtection="1">
      <alignment horizontal="center"/>
      <protection hidden="1"/>
    </xf>
    <xf numFmtId="43" fontId="166" fillId="45" borderId="78" xfId="698" applyFont="1" applyFill="1" applyBorder="1" applyAlignment="1" applyProtection="1">
      <alignment horizontal="center"/>
      <protection hidden="1"/>
    </xf>
    <xf numFmtId="43" fontId="170" fillId="49" borderId="66" xfId="698" applyFont="1" applyFill="1" applyBorder="1" applyAlignment="1" applyProtection="1">
      <alignment horizontal="center" wrapText="1"/>
      <protection hidden="1"/>
    </xf>
    <xf numFmtId="43" fontId="170" fillId="49" borderId="0" xfId="698" applyFont="1" applyFill="1" applyBorder="1" applyAlignment="1" applyProtection="1">
      <alignment horizontal="center" wrapText="1"/>
      <protection hidden="1"/>
    </xf>
    <xf numFmtId="43" fontId="170" fillId="49" borderId="12" xfId="698" applyFont="1" applyFill="1" applyBorder="1" applyAlignment="1" applyProtection="1">
      <alignment horizontal="center" wrapText="1"/>
      <protection hidden="1"/>
    </xf>
    <xf numFmtId="43" fontId="170" fillId="49" borderId="83" xfId="698" applyFont="1" applyFill="1" applyBorder="1" applyAlignment="1" applyProtection="1">
      <alignment horizontal="center" wrapText="1"/>
      <protection hidden="1"/>
    </xf>
    <xf numFmtId="43" fontId="170" fillId="49" borderId="6" xfId="698" applyFont="1" applyFill="1" applyBorder="1" applyAlignment="1" applyProtection="1">
      <alignment horizontal="center" wrapText="1"/>
      <protection hidden="1"/>
    </xf>
    <xf numFmtId="43" fontId="170" fillId="49" borderId="10" xfId="698" applyFont="1" applyFill="1" applyBorder="1" applyAlignment="1" applyProtection="1">
      <alignment horizontal="center" wrapText="1"/>
      <protection hidden="1"/>
    </xf>
    <xf numFmtId="43" fontId="170" fillId="49" borderId="8" xfId="698" applyFont="1" applyFill="1" applyBorder="1" applyAlignment="1" applyProtection="1">
      <alignment horizontal="center" wrapText="1"/>
      <protection hidden="1"/>
    </xf>
    <xf numFmtId="43" fontId="170" fillId="49" borderId="9" xfId="698" applyFont="1" applyFill="1" applyBorder="1" applyAlignment="1" applyProtection="1">
      <alignment horizontal="center" wrapText="1"/>
      <protection hidden="1"/>
    </xf>
    <xf numFmtId="14" fontId="170" fillId="0" borderId="8" xfId="700" applyNumberFormat="1" applyFont="1" applyFill="1" applyBorder="1" applyAlignment="1" applyProtection="1">
      <alignment horizontal="center" wrapText="1"/>
      <protection hidden="1"/>
    </xf>
    <xf numFmtId="14" fontId="170" fillId="0" borderId="0" xfId="700" applyNumberFormat="1" applyFont="1" applyFill="1" applyBorder="1" applyAlignment="1" applyProtection="1">
      <alignment horizontal="center" wrapText="1"/>
      <protection hidden="1"/>
    </xf>
    <xf numFmtId="14" fontId="170" fillId="0" borderId="12" xfId="700" applyNumberFormat="1" applyFont="1" applyFill="1" applyBorder="1" applyAlignment="1" applyProtection="1">
      <alignment horizontal="center" wrapText="1"/>
      <protection hidden="1"/>
    </xf>
    <xf numFmtId="14" fontId="170" fillId="0" borderId="9" xfId="700" applyNumberFormat="1" applyFont="1" applyFill="1" applyBorder="1" applyAlignment="1" applyProtection="1">
      <alignment horizontal="center" wrapText="1"/>
      <protection hidden="1"/>
    </xf>
    <xf numFmtId="14" fontId="170" fillId="0" borderId="6" xfId="700" applyNumberFormat="1" applyFont="1" applyFill="1" applyBorder="1" applyAlignment="1" applyProtection="1">
      <alignment horizontal="center" wrapText="1"/>
      <protection hidden="1"/>
    </xf>
    <xf numFmtId="14" fontId="170" fillId="0" borderId="10" xfId="700" applyNumberFormat="1" applyFont="1" applyFill="1" applyBorder="1" applyAlignment="1" applyProtection="1">
      <alignment horizontal="center" wrapText="1"/>
      <protection hidden="1"/>
    </xf>
    <xf numFmtId="44" fontId="170" fillId="0" borderId="8" xfId="700" applyFont="1" applyBorder="1" applyAlignment="1" applyProtection="1">
      <alignment horizontal="center" wrapText="1"/>
      <protection hidden="1"/>
    </xf>
    <xf numFmtId="44" fontId="170" fillId="0" borderId="0" xfId="700" applyFont="1" applyBorder="1" applyAlignment="1" applyProtection="1">
      <alignment horizontal="center" wrapText="1"/>
      <protection hidden="1"/>
    </xf>
    <xf numFmtId="44" fontId="170" fillId="0" borderId="12" xfId="700" applyFont="1" applyBorder="1" applyAlignment="1" applyProtection="1">
      <alignment horizontal="center" wrapText="1"/>
      <protection hidden="1"/>
    </xf>
    <xf numFmtId="44" fontId="170" fillId="0" borderId="9" xfId="700" applyFont="1" applyBorder="1" applyAlignment="1" applyProtection="1">
      <alignment horizontal="center" wrapText="1"/>
      <protection hidden="1"/>
    </xf>
    <xf numFmtId="44" fontId="170" fillId="0" borderId="6" xfId="700" applyFont="1" applyBorder="1" applyAlignment="1" applyProtection="1">
      <alignment horizontal="center" wrapText="1"/>
      <protection hidden="1"/>
    </xf>
    <xf numFmtId="44" fontId="170" fillId="0" borderId="10" xfId="700" applyFont="1" applyBorder="1" applyAlignment="1" applyProtection="1">
      <alignment horizontal="center" wrapText="1"/>
      <protection hidden="1"/>
    </xf>
    <xf numFmtId="43" fontId="170" fillId="49" borderId="41" xfId="698" applyFont="1" applyFill="1" applyBorder="1" applyAlignment="1" applyProtection="1">
      <alignment horizontal="center" wrapText="1"/>
      <protection hidden="1"/>
    </xf>
    <xf numFmtId="43" fontId="170" fillId="49" borderId="82" xfId="698" applyFont="1" applyFill="1" applyBorder="1" applyAlignment="1" applyProtection="1">
      <alignment horizontal="center" wrapText="1"/>
      <protection hidden="1"/>
    </xf>
    <xf numFmtId="0" fontId="168" fillId="50" borderId="3" xfId="698" applyNumberFormat="1" applyFont="1" applyFill="1" applyBorder="1" applyAlignment="1" applyProtection="1">
      <alignment horizontal="center"/>
      <protection locked="0"/>
    </xf>
    <xf numFmtId="0" fontId="168" fillId="50" borderId="4" xfId="698" applyNumberFormat="1" applyFont="1" applyFill="1" applyBorder="1" applyAlignment="1" applyProtection="1">
      <alignment horizontal="center"/>
      <protection locked="0"/>
    </xf>
    <xf numFmtId="0" fontId="168" fillId="50" borderId="81" xfId="698" applyNumberFormat="1" applyFont="1" applyFill="1" applyBorder="1" applyAlignment="1" applyProtection="1">
      <alignment horizontal="center"/>
      <protection locked="0"/>
    </xf>
    <xf numFmtId="0" fontId="169" fillId="49" borderId="72" xfId="698" applyNumberFormat="1" applyFont="1" applyFill="1" applyBorder="1" applyAlignment="1" applyProtection="1">
      <alignment horizontal="center"/>
      <protection hidden="1"/>
    </xf>
    <xf numFmtId="0" fontId="169" fillId="49" borderId="11" xfId="698" applyNumberFormat="1" applyFont="1" applyFill="1" applyBorder="1" applyAlignment="1" applyProtection="1">
      <alignment horizontal="center"/>
      <protection hidden="1"/>
    </xf>
    <xf numFmtId="0" fontId="169" fillId="48" borderId="11" xfId="569" applyFont="1" applyFill="1" applyBorder="1" applyAlignment="1" applyProtection="1">
      <alignment horizontal="center"/>
      <protection locked="0"/>
    </xf>
    <xf numFmtId="14" fontId="168" fillId="48" borderId="11" xfId="700" applyNumberFormat="1" applyFont="1" applyFill="1" applyBorder="1" applyAlignment="1" applyProtection="1">
      <alignment horizontal="center"/>
      <protection locked="0"/>
    </xf>
    <xf numFmtId="168" fontId="169" fillId="48" borderId="11" xfId="700" applyNumberFormat="1" applyFont="1" applyFill="1" applyBorder="1" applyAlignment="1" applyProtection="1">
      <alignment horizontal="center"/>
      <protection locked="0"/>
    </xf>
    <xf numFmtId="9" fontId="169" fillId="48" borderId="11" xfId="1022" applyFont="1" applyFill="1" applyBorder="1" applyAlignment="1" applyProtection="1">
      <alignment horizontal="center"/>
      <protection locked="0"/>
    </xf>
    <xf numFmtId="44" fontId="168" fillId="48" borderId="11" xfId="700" applyFont="1" applyFill="1" applyBorder="1" applyAlignment="1" applyProtection="1">
      <alignment horizontal="center"/>
      <protection locked="0"/>
    </xf>
    <xf numFmtId="0" fontId="167" fillId="47" borderId="65" xfId="8736" applyFont="1" applyFill="1" applyBorder="1" applyAlignment="1">
      <alignment horizontal="center"/>
    </xf>
    <xf numFmtId="0" fontId="167" fillId="47" borderId="29" xfId="8736" applyFont="1" applyFill="1" applyBorder="1" applyAlignment="1">
      <alignment horizontal="center"/>
    </xf>
    <xf numFmtId="0" fontId="167" fillId="47" borderId="31" xfId="8736" applyFont="1" applyFill="1" applyBorder="1" applyAlignment="1">
      <alignment horizontal="center"/>
    </xf>
    <xf numFmtId="0" fontId="3" fillId="47" borderId="66" xfId="8736" applyFill="1" applyBorder="1" applyAlignment="1">
      <alignment horizontal="center"/>
    </xf>
    <xf numFmtId="0" fontId="3" fillId="47" borderId="0" xfId="8736" applyFill="1" applyAlignment="1">
      <alignment horizontal="center"/>
    </xf>
    <xf numFmtId="0" fontId="3" fillId="47" borderId="41" xfId="8736" applyFill="1" applyBorder="1" applyAlignment="1">
      <alignment horizontal="center"/>
    </xf>
    <xf numFmtId="0" fontId="166" fillId="47" borderId="66" xfId="8736" applyFont="1" applyFill="1" applyBorder="1" applyAlignment="1">
      <alignment horizontal="center"/>
    </xf>
    <xf numFmtId="0" fontId="166" fillId="47" borderId="0" xfId="8736" applyFont="1" applyFill="1" applyAlignment="1">
      <alignment horizontal="center"/>
    </xf>
    <xf numFmtId="0" fontId="166" fillId="47" borderId="41" xfId="8736" applyFont="1" applyFill="1" applyBorder="1" applyAlignment="1">
      <alignment horizontal="center"/>
    </xf>
    <xf numFmtId="0" fontId="103" fillId="47" borderId="66" xfId="8736" applyFont="1" applyFill="1" applyBorder="1" applyAlignment="1">
      <alignment horizontal="center"/>
    </xf>
    <xf numFmtId="0" fontId="103" fillId="47" borderId="41" xfId="8736" applyFont="1" applyFill="1" applyBorder="1" applyAlignment="1">
      <alignment horizontal="center"/>
    </xf>
    <xf numFmtId="0" fontId="103" fillId="47" borderId="0" xfId="8736" applyFont="1" applyFill="1" applyAlignment="1">
      <alignment horizontal="left"/>
    </xf>
    <xf numFmtId="43" fontId="166" fillId="49" borderId="72" xfId="698" applyFont="1" applyFill="1" applyBorder="1" applyAlignment="1" applyProtection="1">
      <alignment horizontal="right"/>
      <protection hidden="1"/>
    </xf>
    <xf numFmtId="43" fontId="166" fillId="49" borderId="11" xfId="698" applyFont="1" applyFill="1" applyBorder="1" applyAlignment="1" applyProtection="1">
      <alignment horizontal="right"/>
      <protection hidden="1"/>
    </xf>
    <xf numFmtId="44" fontId="166" fillId="0" borderId="11" xfId="700" applyFont="1" applyBorder="1" applyAlignment="1" applyProtection="1">
      <alignment horizontal="center"/>
      <protection hidden="1"/>
    </xf>
    <xf numFmtId="168" fontId="166" fillId="0" borderId="11" xfId="700" applyNumberFormat="1" applyFont="1" applyBorder="1" applyAlignment="1" applyProtection="1">
      <alignment horizontal="center"/>
      <protection hidden="1"/>
    </xf>
    <xf numFmtId="9" fontId="166" fillId="0" borderId="11" xfId="1022" applyFont="1" applyBorder="1" applyAlignment="1" applyProtection="1">
      <alignment horizontal="center"/>
      <protection hidden="1"/>
    </xf>
    <xf numFmtId="43" fontId="166" fillId="49" borderId="3" xfId="698" applyFont="1" applyFill="1" applyBorder="1" applyAlignment="1" applyProtection="1">
      <alignment horizontal="center"/>
      <protection hidden="1"/>
    </xf>
    <xf numFmtId="43" fontId="166" fillId="49" borderId="4" xfId="698" applyFont="1" applyFill="1" applyBorder="1" applyAlignment="1" applyProtection="1">
      <alignment horizontal="center"/>
      <protection hidden="1"/>
    </xf>
    <xf numFmtId="43" fontId="166" fillId="49" borderId="81" xfId="698" applyFont="1" applyFill="1" applyBorder="1" applyAlignment="1" applyProtection="1">
      <alignment horizontal="center"/>
      <protection hidden="1"/>
    </xf>
    <xf numFmtId="0" fontId="103" fillId="44" borderId="0" xfId="8736" applyFont="1" applyFill="1" applyAlignment="1">
      <alignment horizontal="left"/>
    </xf>
    <xf numFmtId="0" fontId="3" fillId="48" borderId="80" xfId="8736" applyFill="1" applyBorder="1" applyAlignment="1" applyProtection="1">
      <alignment horizontal="left"/>
      <protection locked="0"/>
    </xf>
    <xf numFmtId="0" fontId="3" fillId="48" borderId="79" xfId="8736" applyFill="1" applyBorder="1" applyAlignment="1" applyProtection="1">
      <alignment horizontal="left"/>
      <protection locked="0"/>
    </xf>
    <xf numFmtId="0" fontId="3" fillId="48" borderId="78" xfId="8736" applyFill="1" applyBorder="1" applyAlignment="1" applyProtection="1">
      <alignment horizontal="left"/>
      <protection locked="0"/>
    </xf>
    <xf numFmtId="0" fontId="165" fillId="44" borderId="0" xfId="8736" applyFont="1" applyFill="1" applyAlignment="1">
      <alignment horizontal="left" vertical="top"/>
    </xf>
    <xf numFmtId="0" fontId="103" fillId="44" borderId="0" xfId="8730" applyFont="1" applyFill="1" applyBorder="1" applyAlignment="1">
      <alignment horizontal="left" vertical="top"/>
    </xf>
    <xf numFmtId="14" fontId="3" fillId="48" borderId="80" xfId="8736" applyNumberFormat="1" applyFill="1" applyBorder="1" applyAlignment="1" applyProtection="1">
      <alignment horizontal="center"/>
      <protection locked="0"/>
    </xf>
    <xf numFmtId="14" fontId="3" fillId="48" borderId="79" xfId="8736" applyNumberFormat="1" applyFill="1" applyBorder="1" applyAlignment="1" applyProtection="1">
      <alignment horizontal="center"/>
      <protection locked="0"/>
    </xf>
    <xf numFmtId="14" fontId="3" fillId="48" borderId="78" xfId="8736" applyNumberFormat="1" applyFill="1" applyBorder="1" applyAlignment="1" applyProtection="1">
      <alignment horizontal="center"/>
      <protection locked="0"/>
    </xf>
    <xf numFmtId="0" fontId="166" fillId="47" borderId="0" xfId="8736" applyFont="1" applyFill="1" applyAlignment="1">
      <alignment horizontal="left" vertical="top" wrapText="1"/>
    </xf>
    <xf numFmtId="0" fontId="103" fillId="47" borderId="42" xfId="8736" applyFont="1" applyFill="1" applyBorder="1" applyAlignment="1">
      <alignment horizontal="center"/>
    </xf>
    <xf numFmtId="0" fontId="3" fillId="48" borderId="80" xfId="8736" applyFill="1" applyBorder="1" applyAlignment="1" applyProtection="1">
      <alignment horizontal="center"/>
      <protection locked="0"/>
    </xf>
    <xf numFmtId="0" fontId="3" fillId="48" borderId="79" xfId="8736" applyFill="1" applyBorder="1" applyAlignment="1" applyProtection="1">
      <alignment horizontal="center"/>
      <protection locked="0"/>
    </xf>
    <xf numFmtId="0" fontId="3" fillId="48" borderId="78" xfId="8736" applyFill="1" applyBorder="1" applyAlignment="1" applyProtection="1">
      <alignment horizontal="center"/>
      <protection locked="0"/>
    </xf>
    <xf numFmtId="168" fontId="19" fillId="0" borderId="11" xfId="569" applyNumberFormat="1" applyBorder="1"/>
    <xf numFmtId="168" fontId="19" fillId="0" borderId="3" xfId="569" applyNumberFormat="1" applyBorder="1"/>
    <xf numFmtId="168" fontId="19" fillId="0" borderId="4" xfId="569" applyNumberFormat="1" applyBorder="1"/>
    <xf numFmtId="168" fontId="19" fillId="0" borderId="5" xfId="569" applyNumberFormat="1" applyBorder="1"/>
    <xf numFmtId="168" fontId="19" fillId="0" borderId="11" xfId="569" applyNumberFormat="1" applyBorder="1" applyAlignment="1">
      <alignment wrapText="1"/>
    </xf>
    <xf numFmtId="168" fontId="19" fillId="0" borderId="11" xfId="569" applyNumberFormat="1" applyBorder="1" applyAlignment="1">
      <alignment horizontal="right"/>
    </xf>
    <xf numFmtId="9" fontId="19" fillId="0" borderId="15" xfId="569" applyNumberFormat="1" applyBorder="1" applyAlignment="1">
      <alignment horizontal="center"/>
    </xf>
    <xf numFmtId="168" fontId="19" fillId="0" borderId="11" xfId="569" applyNumberFormat="1" applyBorder="1" applyAlignment="1">
      <alignment horizontal="center"/>
    </xf>
    <xf numFmtId="0" fontId="19" fillId="0" borderId="11" xfId="569" applyBorder="1" applyAlignment="1">
      <alignment horizontal="center"/>
    </xf>
    <xf numFmtId="176" fontId="19" fillId="5" borderId="3" xfId="569" applyNumberFormat="1" applyFill="1" applyBorder="1" applyAlignment="1" applyProtection="1">
      <alignment horizontal="right"/>
      <protection locked="0"/>
    </xf>
    <xf numFmtId="176" fontId="19" fillId="5" borderId="4" xfId="569" applyNumberFormat="1" applyFill="1" applyBorder="1" applyAlignment="1" applyProtection="1">
      <alignment horizontal="right"/>
      <protection locked="0"/>
    </xf>
    <xf numFmtId="176" fontId="19" fillId="5" borderId="5" xfId="569" applyNumberFormat="1" applyFill="1" applyBorder="1" applyAlignment="1" applyProtection="1">
      <alignment horizontal="right"/>
      <protection locked="0"/>
    </xf>
    <xf numFmtId="0" fontId="108" fillId="0" borderId="0" xfId="0" applyFont="1" applyAlignment="1">
      <alignment horizontal="left" vertical="top" wrapText="1"/>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26" fillId="0" borderId="6" xfId="569" applyFont="1" applyBorder="1" applyAlignment="1">
      <alignment horizontal="center"/>
    </xf>
    <xf numFmtId="168" fontId="19" fillId="0" borderId="3" xfId="569" applyNumberFormat="1" applyBorder="1" applyAlignment="1">
      <alignment horizontal="center"/>
    </xf>
    <xf numFmtId="0" fontId="19" fillId="0" borderId="4" xfId="569" applyBorder="1" applyAlignment="1">
      <alignment horizontal="center"/>
    </xf>
    <xf numFmtId="0" fontId="19" fillId="0" borderId="5" xfId="569" applyBorder="1" applyAlignment="1">
      <alignment horizontal="center"/>
    </xf>
    <xf numFmtId="0" fontId="108" fillId="0" borderId="0" xfId="569" applyFont="1" applyAlignment="1">
      <alignment horizontal="left" wrapText="1"/>
    </xf>
    <xf numFmtId="168" fontId="19" fillId="0" borderId="3" xfId="569" applyNumberFormat="1" applyBorder="1" applyAlignment="1">
      <alignment horizontal="right"/>
    </xf>
    <xf numFmtId="168" fontId="19" fillId="0" borderId="4" xfId="569" applyNumberFormat="1" applyBorder="1" applyAlignment="1">
      <alignment horizontal="right"/>
    </xf>
    <xf numFmtId="168" fontId="19" fillId="0" borderId="5" xfId="569" applyNumberFormat="1" applyBorder="1" applyAlignment="1">
      <alignment horizontal="right"/>
    </xf>
    <xf numFmtId="0" fontId="26" fillId="0" borderId="16" xfId="271" applyFont="1" applyBorder="1" applyAlignment="1">
      <alignment horizontal="center"/>
    </xf>
    <xf numFmtId="168" fontId="19" fillId="0" borderId="4" xfId="569" applyNumberFormat="1" applyBorder="1" applyAlignment="1">
      <alignment horizontal="center"/>
    </xf>
    <xf numFmtId="168" fontId="19" fillId="0" borderId="5" xfId="569" applyNumberFormat="1" applyBorder="1" applyAlignment="1">
      <alignment horizontal="center"/>
    </xf>
    <xf numFmtId="0" fontId="26" fillId="0" borderId="11" xfId="569" applyFont="1" applyBorder="1" applyAlignment="1">
      <alignment horizontal="center" wrapText="1"/>
    </xf>
    <xf numFmtId="0" fontId="26" fillId="0" borderId="11" xfId="569" applyFont="1" applyBorder="1" applyAlignment="1">
      <alignment horizontal="center"/>
    </xf>
    <xf numFmtId="165" fontId="19" fillId="0" borderId="11" xfId="569" applyNumberFormat="1" applyBorder="1" applyAlignment="1" applyProtection="1">
      <alignment horizontal="center"/>
      <protection locked="0"/>
    </xf>
    <xf numFmtId="0" fontId="55" fillId="0" borderId="0" xfId="569" applyFont="1" applyAlignment="1">
      <alignment horizontal="left"/>
    </xf>
    <xf numFmtId="5" fontId="19" fillId="0" borderId="5" xfId="569" applyNumberFormat="1" applyBorder="1" applyAlignment="1">
      <alignment horizontal="center"/>
    </xf>
    <xf numFmtId="5" fontId="19" fillId="0" borderId="11" xfId="569" applyNumberFormat="1" applyBorder="1" applyAlignment="1">
      <alignment horizontal="center"/>
    </xf>
    <xf numFmtId="5" fontId="19" fillId="0" borderId="3" xfId="569" applyNumberFormat="1" applyBorder="1" applyAlignment="1">
      <alignment horizontal="center"/>
    </xf>
    <xf numFmtId="5" fontId="19" fillId="0" borderId="4" xfId="569" applyNumberFormat="1" applyBorder="1" applyAlignment="1">
      <alignment horizontal="center"/>
    </xf>
    <xf numFmtId="168" fontId="19" fillId="5" borderId="5" xfId="569" applyNumberFormat="1" applyFill="1" applyBorder="1" applyAlignment="1" applyProtection="1">
      <alignment horizontal="center"/>
      <protection locked="0"/>
    </xf>
    <xf numFmtId="168" fontId="19" fillId="5" borderId="11" xfId="569" applyNumberFormat="1" applyFill="1" applyBorder="1" applyAlignment="1" applyProtection="1">
      <alignment horizontal="center"/>
      <protection locked="0"/>
    </xf>
    <xf numFmtId="9" fontId="19" fillId="0" borderId="5" xfId="569" applyNumberFormat="1" applyBorder="1" applyAlignment="1">
      <alignment horizontal="center"/>
    </xf>
    <xf numFmtId="9" fontId="19" fillId="0" borderId="11" xfId="569" applyNumberFormat="1" applyBorder="1" applyAlignment="1">
      <alignment horizontal="center"/>
    </xf>
    <xf numFmtId="9" fontId="19" fillId="0" borderId="9" xfId="569" applyNumberFormat="1" applyBorder="1" applyAlignment="1">
      <alignment horizontal="center" vertical="center"/>
    </xf>
    <xf numFmtId="9" fontId="19" fillId="0" borderId="6" xfId="569" applyNumberFormat="1" applyBorder="1" applyAlignment="1">
      <alignment horizontal="center" vertical="center"/>
    </xf>
    <xf numFmtId="9" fontId="19" fillId="0" borderId="10" xfId="569" applyNumberFormat="1" applyBorder="1" applyAlignment="1">
      <alignment horizontal="center" vertical="center"/>
    </xf>
    <xf numFmtId="168" fontId="19" fillId="2" borderId="3" xfId="569" applyNumberFormat="1" applyFill="1" applyBorder="1" applyAlignment="1">
      <alignment horizontal="center"/>
    </xf>
    <xf numFmtId="168" fontId="19" fillId="2" borderId="4" xfId="569" applyNumberFormat="1" applyFill="1" applyBorder="1" applyAlignment="1">
      <alignment horizontal="center"/>
    </xf>
    <xf numFmtId="168" fontId="19" fillId="2" borderId="5" xfId="569" applyNumberFormat="1" applyFill="1" applyBorder="1" applyAlignment="1">
      <alignment horizontal="center"/>
    </xf>
    <xf numFmtId="168" fontId="19" fillId="5" borderId="10" xfId="569" applyNumberFormat="1" applyFill="1" applyBorder="1" applyAlignment="1" applyProtection="1">
      <alignment horizontal="center"/>
      <protection locked="0"/>
    </xf>
    <xf numFmtId="168" fontId="19" fillId="5" borderId="13" xfId="569" applyNumberFormat="1" applyFill="1" applyBorder="1" applyAlignment="1" applyProtection="1">
      <alignment horizontal="center"/>
      <protection locked="0"/>
    </xf>
    <xf numFmtId="0" fontId="25" fillId="3" borderId="2" xfId="569" applyFont="1" applyFill="1" applyBorder="1" applyAlignment="1">
      <alignment horizontal="center" vertical="center"/>
    </xf>
    <xf numFmtId="0" fontId="25" fillId="3" borderId="16" xfId="569" applyFont="1" applyFill="1" applyBorder="1" applyAlignment="1">
      <alignment horizontal="center" vertical="center"/>
    </xf>
    <xf numFmtId="168" fontId="19" fillId="0" borderId="7" xfId="569" applyNumberFormat="1" applyBorder="1" applyAlignment="1">
      <alignment horizontal="center"/>
    </xf>
    <xf numFmtId="168" fontId="19" fillId="0" borderId="15" xfId="569" applyNumberFormat="1" applyBorder="1" applyAlignment="1">
      <alignment horizontal="center"/>
    </xf>
    <xf numFmtId="0" fontId="26" fillId="0" borderId="3" xfId="569" applyFont="1" applyBorder="1" applyAlignment="1">
      <alignment horizontal="left"/>
    </xf>
    <xf numFmtId="0" fontId="26" fillId="0" borderId="5" xfId="569" applyFont="1" applyBorder="1" applyAlignment="1">
      <alignment horizontal="left"/>
    </xf>
    <xf numFmtId="0" fontId="27" fillId="0" borderId="4" xfId="569" applyFont="1" applyBorder="1" applyAlignment="1">
      <alignment horizontal="left"/>
    </xf>
    <xf numFmtId="0" fontId="27" fillId="0" borderId="5" xfId="569" applyFont="1" applyBorder="1" applyAlignment="1">
      <alignment horizontal="left"/>
    </xf>
    <xf numFmtId="179" fontId="26" fillId="0" borderId="0" xfId="569" applyNumberFormat="1" applyFont="1" applyAlignment="1">
      <alignment horizontal="center" wrapText="1"/>
    </xf>
    <xf numFmtId="164" fontId="26" fillId="0" borderId="0" xfId="569" applyNumberFormat="1" applyFont="1" applyAlignment="1">
      <alignment horizontal="center" wrapText="1"/>
    </xf>
    <xf numFmtId="0" fontId="19" fillId="0" borderId="3" xfId="569" applyBorder="1" applyAlignment="1">
      <alignment horizontal="right"/>
    </xf>
    <xf numFmtId="0" fontId="19" fillId="0" borderId="4" xfId="569" applyBorder="1" applyAlignment="1">
      <alignment horizontal="right"/>
    </xf>
    <xf numFmtId="0" fontId="19" fillId="0" borderId="5" xfId="569" applyBorder="1" applyAlignment="1">
      <alignment horizontal="right"/>
    </xf>
    <xf numFmtId="0" fontId="27" fillId="0" borderId="3" xfId="569" applyFont="1" applyBorder="1" applyAlignment="1">
      <alignment horizontal="right"/>
    </xf>
    <xf numFmtId="0" fontId="27" fillId="0" borderId="4" xfId="569" applyFont="1" applyBorder="1" applyAlignment="1">
      <alignment horizontal="right"/>
    </xf>
    <xf numFmtId="0" fontId="27" fillId="0" borderId="5" xfId="569" applyFont="1" applyBorder="1" applyAlignment="1">
      <alignment horizontal="right"/>
    </xf>
    <xf numFmtId="0" fontId="19" fillId="5" borderId="4" xfId="0" applyFont="1" applyFill="1" applyBorder="1" applyAlignment="1" applyProtection="1">
      <alignment horizontal="left" wrapText="1"/>
      <protection locked="0"/>
    </xf>
    <xf numFmtId="0" fontId="27" fillId="0" borderId="0" xfId="4495" applyFont="1" applyAlignment="1">
      <alignment horizontal="left" vertical="top" wrapText="1"/>
    </xf>
    <xf numFmtId="0" fontId="123" fillId="5" borderId="6" xfId="4496" applyFont="1" applyFill="1" applyBorder="1" applyAlignment="1" applyProtection="1">
      <alignment horizontal="center"/>
      <protection locked="0"/>
    </xf>
    <xf numFmtId="0" fontId="19" fillId="0" borderId="50" xfId="4495" applyFont="1" applyBorder="1" applyAlignment="1">
      <alignment vertical="center" wrapText="1"/>
    </xf>
    <xf numFmtId="0" fontId="19" fillId="0" borderId="51" xfId="4495" applyFont="1" applyBorder="1" applyAlignment="1">
      <alignment vertical="center" wrapText="1"/>
    </xf>
    <xf numFmtId="0" fontId="19" fillId="0" borderId="52" xfId="4495" applyFont="1" applyBorder="1" applyAlignment="1">
      <alignment vertical="center" wrapText="1"/>
    </xf>
    <xf numFmtId="0" fontId="19" fillId="0" borderId="57" xfId="4495" applyFont="1" applyBorder="1" applyAlignment="1">
      <alignment vertical="center" wrapText="1"/>
    </xf>
    <xf numFmtId="0" fontId="19" fillId="0" borderId="58" xfId="4495" applyFont="1" applyBorder="1" applyAlignment="1">
      <alignment vertical="center" wrapText="1"/>
    </xf>
    <xf numFmtId="0" fontId="19" fillId="0" borderId="59" xfId="4495" applyFont="1" applyBorder="1" applyAlignment="1">
      <alignment vertical="center" wrapText="1"/>
    </xf>
    <xf numFmtId="0" fontId="19" fillId="0" borderId="47" xfId="4495" applyFont="1" applyBorder="1" applyAlignment="1">
      <alignment horizontal="left" vertical="center" wrapText="1"/>
    </xf>
    <xf numFmtId="0" fontId="19" fillId="0" borderId="48" xfId="4495" applyFont="1" applyBorder="1" applyAlignment="1">
      <alignment horizontal="left" vertical="center" wrapText="1"/>
    </xf>
    <xf numFmtId="0" fontId="19" fillId="0" borderId="49" xfId="4495" applyFont="1" applyBorder="1" applyAlignment="1">
      <alignment horizontal="left" vertical="center" wrapText="1"/>
    </xf>
    <xf numFmtId="0" fontId="123" fillId="0" borderId="50" xfId="4496" applyFont="1" applyBorder="1" applyAlignment="1">
      <alignment horizontal="left" vertical="top" wrapText="1"/>
    </xf>
    <xf numFmtId="0" fontId="123" fillId="0" borderId="51" xfId="4496" applyFont="1" applyBorder="1" applyAlignment="1">
      <alignment horizontal="left" vertical="top" wrapText="1"/>
    </xf>
    <xf numFmtId="0" fontId="123" fillId="0" borderId="52" xfId="4496" applyFont="1" applyBorder="1" applyAlignment="1">
      <alignment horizontal="left" vertical="top" wrapText="1"/>
    </xf>
    <xf numFmtId="0" fontId="123" fillId="0" borderId="57" xfId="4496" applyFont="1" applyBorder="1" applyAlignment="1">
      <alignment horizontal="left" vertical="top" wrapText="1"/>
    </xf>
    <xf numFmtId="0" fontId="123" fillId="0" borderId="58" xfId="4496" applyFont="1" applyBorder="1" applyAlignment="1">
      <alignment horizontal="left" vertical="top" wrapText="1"/>
    </xf>
    <xf numFmtId="0" fontId="123" fillId="0" borderId="59" xfId="4496" applyFont="1" applyBorder="1" applyAlignment="1">
      <alignment horizontal="left" vertical="top" wrapText="1"/>
    </xf>
    <xf numFmtId="0" fontId="19" fillId="0" borderId="50" xfId="4495" applyFont="1" applyBorder="1" applyAlignment="1">
      <alignment horizontal="left" vertical="center" wrapText="1"/>
    </xf>
    <xf numFmtId="0" fontId="19" fillId="0" borderId="51" xfId="4495" applyFont="1" applyBorder="1" applyAlignment="1">
      <alignment horizontal="left" vertical="center" wrapText="1"/>
    </xf>
    <xf numFmtId="0" fontId="19" fillId="0" borderId="52" xfId="4495" applyFont="1" applyBorder="1" applyAlignment="1">
      <alignment horizontal="left" vertical="center" wrapText="1"/>
    </xf>
    <xf numFmtId="0" fontId="19" fillId="0" borderId="57" xfId="4495" applyFont="1" applyBorder="1" applyAlignment="1">
      <alignment horizontal="left" vertical="center" wrapText="1"/>
    </xf>
    <xf numFmtId="0" fontId="19" fillId="0" borderId="58" xfId="4495" applyFont="1" applyBorder="1" applyAlignment="1">
      <alignment horizontal="left" vertical="center" wrapText="1"/>
    </xf>
    <xf numFmtId="0" fontId="19" fillId="0" borderId="59" xfId="4495" applyFont="1" applyBorder="1" applyAlignment="1">
      <alignment horizontal="left" vertical="center" wrapText="1"/>
    </xf>
    <xf numFmtId="165" fontId="123" fillId="0" borderId="55" xfId="4496" applyNumberFormat="1" applyFont="1" applyBorder="1" applyAlignment="1">
      <alignment horizontal="center" vertical="top" wrapText="1"/>
    </xf>
    <xf numFmtId="165" fontId="123" fillId="0" borderId="6" xfId="4496" applyNumberFormat="1" applyFont="1" applyBorder="1" applyAlignment="1">
      <alignment horizontal="center" vertical="top" wrapText="1"/>
    </xf>
    <xf numFmtId="165" fontId="123" fillId="0" borderId="60" xfId="4496" applyNumberFormat="1" applyFont="1" applyBorder="1" applyAlignment="1">
      <alignment horizontal="center" vertical="top" wrapText="1"/>
    </xf>
    <xf numFmtId="165" fontId="123" fillId="0" borderId="4" xfId="4496" applyNumberFormat="1" applyFont="1" applyBorder="1" applyAlignment="1">
      <alignment horizontal="center" vertical="top" wrapText="1"/>
    </xf>
    <xf numFmtId="0" fontId="123" fillId="5" borderId="60" xfId="4496" applyFont="1" applyFill="1" applyBorder="1" applyAlignment="1" applyProtection="1">
      <alignment horizontal="center"/>
      <protection locked="0"/>
    </xf>
    <xf numFmtId="0" fontId="123" fillId="5" borderId="4" xfId="4496" applyFont="1" applyFill="1" applyBorder="1" applyAlignment="1" applyProtection="1">
      <alignment horizontal="center"/>
      <protection locked="0"/>
    </xf>
    <xf numFmtId="0" fontId="26" fillId="0" borderId="0" xfId="4495" applyFont="1" applyAlignment="1">
      <alignment horizontal="right"/>
    </xf>
    <xf numFmtId="0" fontId="123" fillId="0" borderId="53" xfId="4496" applyFont="1" applyBorder="1" applyAlignment="1">
      <alignment horizontal="left" vertical="top" wrapText="1"/>
    </xf>
    <xf numFmtId="0" fontId="123" fillId="0" borderId="0" xfId="4496" applyFont="1" applyAlignment="1">
      <alignment horizontal="left" vertical="top" wrapText="1"/>
    </xf>
    <xf numFmtId="0" fontId="123" fillId="0" borderId="54" xfId="4496" applyFont="1" applyBorder="1" applyAlignment="1">
      <alignment horizontal="left" vertical="top" wrapText="1"/>
    </xf>
    <xf numFmtId="0" fontId="123" fillId="5" borderId="55" xfId="4496" applyFont="1" applyFill="1" applyBorder="1" applyAlignment="1" applyProtection="1">
      <alignment horizontal="center"/>
      <protection locked="0"/>
    </xf>
    <xf numFmtId="168" fontId="123" fillId="0" borderId="55" xfId="4496" applyNumberFormat="1" applyFont="1" applyBorder="1" applyAlignment="1">
      <alignment horizontal="center" vertical="top"/>
    </xf>
    <xf numFmtId="168" fontId="123" fillId="0" borderId="6" xfId="4496" applyNumberFormat="1" applyFont="1" applyBorder="1" applyAlignment="1">
      <alignment horizontal="center" vertical="top"/>
    </xf>
    <xf numFmtId="0" fontId="25" fillId="3" borderId="2" xfId="4495" applyFont="1" applyFill="1" applyBorder="1" applyAlignment="1">
      <alignment horizontal="center" vertical="center"/>
    </xf>
    <xf numFmtId="0" fontId="25" fillId="3" borderId="16" xfId="4495" applyFont="1" applyFill="1" applyBorder="1" applyAlignment="1">
      <alignment horizontal="center" vertical="center"/>
    </xf>
    <xf numFmtId="0" fontId="26" fillId="0" borderId="48" xfId="4495" applyFont="1" applyBorder="1" applyAlignment="1">
      <alignment horizontal="left" vertical="top"/>
    </xf>
    <xf numFmtId="0" fontId="26" fillId="0" borderId="49" xfId="4495" applyFont="1" applyBorder="1" applyAlignment="1">
      <alignment horizontal="left" vertical="top"/>
    </xf>
    <xf numFmtId="1" fontId="19" fillId="0" borderId="3" xfId="4495" applyNumberFormat="1" applyFont="1" applyBorder="1" applyAlignment="1">
      <alignment horizontal="center"/>
    </xf>
    <xf numFmtId="1" fontId="19" fillId="0" borderId="4" xfId="4495" applyNumberFormat="1" applyFont="1" applyBorder="1" applyAlignment="1">
      <alignment horizontal="center"/>
    </xf>
    <xf numFmtId="1" fontId="19" fillId="0" borderId="5" xfId="4495" applyNumberFormat="1" applyFont="1" applyBorder="1" applyAlignment="1">
      <alignment horizontal="center"/>
    </xf>
    <xf numFmtId="0" fontId="19" fillId="0" borderId="53" xfId="4495" applyFont="1" applyBorder="1" applyAlignment="1">
      <alignment vertical="center" wrapText="1"/>
    </xf>
    <xf numFmtId="0" fontId="19" fillId="0" borderId="0" xfId="4495" applyFont="1" applyAlignment="1">
      <alignment vertical="center" wrapText="1"/>
    </xf>
    <xf numFmtId="0" fontId="19" fillId="0" borderId="54" xfId="4495" applyFont="1" applyBorder="1" applyAlignment="1">
      <alignment vertical="center" wrapText="1"/>
    </xf>
    <xf numFmtId="0" fontId="19" fillId="0" borderId="53" xfId="4495" applyFont="1" applyBorder="1" applyAlignment="1">
      <alignment horizontal="left" vertical="center" wrapText="1"/>
    </xf>
    <xf numFmtId="0" fontId="19" fillId="0" borderId="0" xfId="4495" applyFont="1" applyAlignment="1">
      <alignment horizontal="left" vertical="center" wrapText="1"/>
    </xf>
    <xf numFmtId="0" fontId="19" fillId="0" borderId="54" xfId="4495" applyFont="1" applyBorder="1" applyAlignment="1">
      <alignment horizontal="left" vertical="center" wrapText="1"/>
    </xf>
    <xf numFmtId="10" fontId="123" fillId="0" borderId="3" xfId="4496" applyNumberFormat="1" applyFont="1" applyBorder="1" applyAlignment="1">
      <alignment horizontal="center" vertical="top" wrapText="1"/>
    </xf>
    <xf numFmtId="10" fontId="123" fillId="0" borderId="4" xfId="4496" applyNumberFormat="1" applyFont="1" applyBorder="1" applyAlignment="1">
      <alignment horizontal="center" vertical="top" wrapText="1"/>
    </xf>
    <xf numFmtId="10" fontId="123" fillId="0" borderId="5" xfId="4496" applyNumberFormat="1" applyFont="1" applyBorder="1" applyAlignment="1">
      <alignment horizontal="center" vertical="top" wrapText="1"/>
    </xf>
    <xf numFmtId="0" fontId="123" fillId="0" borderId="55" xfId="4496" applyFont="1" applyBorder="1" applyAlignment="1">
      <alignment horizontal="center" vertical="top" wrapText="1"/>
    </xf>
    <xf numFmtId="0" fontId="123" fillId="0" borderId="6" xfId="4496" applyFont="1" applyBorder="1" applyAlignment="1">
      <alignment horizontal="center" vertical="top" wrapText="1"/>
    </xf>
    <xf numFmtId="168" fontId="19" fillId="0" borderId="0" xfId="1192" applyNumberFormat="1" applyAlignment="1">
      <alignment horizontal="right"/>
    </xf>
    <xf numFmtId="1" fontId="19" fillId="5" borderId="2" xfId="1192" applyNumberFormat="1" applyFill="1" applyBorder="1" applyAlignment="1" applyProtection="1">
      <alignment horizontal="center"/>
      <protection locked="0"/>
    </xf>
    <xf numFmtId="1" fontId="19" fillId="5" borderId="4" xfId="1192" applyNumberFormat="1" applyFill="1" applyBorder="1" applyAlignment="1" applyProtection="1">
      <alignment horizontal="center"/>
      <protection locked="0"/>
    </xf>
    <xf numFmtId="0" fontId="142" fillId="0" borderId="6" xfId="1192" applyFont="1" applyBorder="1" applyAlignment="1">
      <alignment horizontal="center"/>
    </xf>
    <xf numFmtId="1" fontId="123" fillId="0" borderId="55" xfId="4496" applyNumberFormat="1" applyFont="1" applyBorder="1" applyAlignment="1">
      <alignment horizontal="center" vertical="top" wrapText="1"/>
    </xf>
    <xf numFmtId="1" fontId="123" fillId="0" borderId="6" xfId="4496" applyNumberFormat="1" applyFont="1" applyBorder="1" applyAlignment="1">
      <alignment horizontal="center" vertical="top" wrapText="1"/>
    </xf>
    <xf numFmtId="168" fontId="123" fillId="43" borderId="55" xfId="4496" applyNumberFormat="1" applyFont="1" applyFill="1" applyBorder="1" applyAlignment="1" applyProtection="1">
      <alignment horizontal="center" vertical="top" wrapText="1"/>
      <protection locked="0"/>
    </xf>
    <xf numFmtId="168" fontId="123" fillId="43" borderId="6" xfId="4496" applyNumberFormat="1" applyFont="1" applyFill="1" applyBorder="1" applyAlignment="1" applyProtection="1">
      <alignment horizontal="center" vertical="top" wrapText="1"/>
      <protection locked="0"/>
    </xf>
    <xf numFmtId="0" fontId="26" fillId="0" borderId="0" xfId="4495" applyFont="1" applyAlignment="1">
      <alignment horizontal="center" vertical="top"/>
    </xf>
    <xf numFmtId="0" fontId="19" fillId="0" borderId="0" xfId="1192" applyAlignment="1">
      <alignment horizontal="right"/>
    </xf>
    <xf numFmtId="0" fontId="19" fillId="5" borderId="6" xfId="1192" applyFill="1" applyBorder="1" applyAlignment="1" applyProtection="1">
      <alignment horizontal="left"/>
      <protection locked="0"/>
    </xf>
    <xf numFmtId="168" fontId="19" fillId="43" borderId="6" xfId="4495" applyNumberFormat="1" applyFont="1" applyFill="1" applyBorder="1" applyAlignment="1" applyProtection="1">
      <alignment horizontal="right"/>
      <protection locked="0"/>
    </xf>
    <xf numFmtId="9" fontId="19" fillId="0" borderId="6" xfId="1192" applyNumberFormat="1" applyBorder="1" applyAlignment="1">
      <alignment horizontal="center"/>
    </xf>
    <xf numFmtId="9" fontId="19" fillId="0" borderId="6" xfId="1192" quotePrefix="1" applyNumberFormat="1" applyBorder="1" applyAlignment="1">
      <alignment horizontal="center"/>
    </xf>
    <xf numFmtId="9" fontId="19" fillId="0" borderId="0" xfId="1192" quotePrefix="1" applyNumberFormat="1" applyAlignment="1">
      <alignment horizontal="center"/>
    </xf>
    <xf numFmtId="9" fontId="19" fillId="5" borderId="4" xfId="1192" applyNumberFormat="1" applyFill="1" applyBorder="1" applyAlignment="1" applyProtection="1">
      <alignment horizontal="left"/>
      <protection locked="0"/>
    </xf>
    <xf numFmtId="0" fontId="27" fillId="5" borderId="6" xfId="4495" applyFont="1" applyFill="1" applyBorder="1" applyAlignment="1" applyProtection="1">
      <alignment horizontal="left"/>
      <protection locked="0"/>
    </xf>
    <xf numFmtId="0" fontId="19" fillId="0" borderId="0" xfId="4495" applyFont="1" applyAlignment="1">
      <alignment horizontal="left"/>
    </xf>
    <xf numFmtId="0" fontId="19" fillId="5" borderId="6" xfId="4495" applyFont="1" applyFill="1" applyBorder="1" applyAlignment="1" applyProtection="1">
      <alignment horizontal="left"/>
      <protection locked="0"/>
    </xf>
    <xf numFmtId="0" fontId="55" fillId="5" borderId="6" xfId="4495" applyFont="1" applyFill="1" applyBorder="1" applyAlignment="1" applyProtection="1">
      <alignment horizontal="left"/>
      <protection locked="0"/>
    </xf>
    <xf numFmtId="0" fontId="19" fillId="5" borderId="6" xfId="4495" applyFont="1" applyFill="1" applyBorder="1" applyAlignment="1" applyProtection="1">
      <alignment horizontal="center"/>
      <protection locked="0"/>
    </xf>
    <xf numFmtId="0" fontId="19" fillId="44" borderId="6" xfId="4495" applyFont="1" applyFill="1" applyBorder="1" applyAlignment="1">
      <alignment horizontal="left"/>
    </xf>
    <xf numFmtId="1" fontId="19" fillId="0" borderId="11" xfId="4495" applyNumberFormat="1" applyFont="1" applyBorder="1" applyAlignment="1">
      <alignment horizontal="center"/>
    </xf>
    <xf numFmtId="0" fontId="19" fillId="0" borderId="11" xfId="4495" applyFont="1" applyBorder="1" applyAlignment="1">
      <alignment horizontal="center"/>
    </xf>
    <xf numFmtId="0" fontId="19" fillId="0" borderId="53" xfId="4495" applyFont="1" applyBorder="1" applyAlignment="1">
      <alignment horizontal="left" vertical="top" wrapText="1"/>
    </xf>
    <xf numFmtId="0" fontId="19" fillId="0" borderId="0" xfId="4495" applyFont="1" applyAlignment="1">
      <alignment horizontal="left" vertical="top" wrapText="1"/>
    </xf>
    <xf numFmtId="0" fontId="19" fillId="0" borderId="54" xfId="4495" applyFont="1" applyBorder="1" applyAlignment="1">
      <alignment horizontal="left" vertical="top" wrapText="1"/>
    </xf>
    <xf numFmtId="0" fontId="19" fillId="0" borderId="57" xfId="4495" applyFont="1" applyBorder="1" applyAlignment="1">
      <alignment horizontal="left" vertical="top" wrapText="1"/>
    </xf>
    <xf numFmtId="0" fontId="19" fillId="0" borderId="58" xfId="4495" applyFont="1" applyBorder="1" applyAlignment="1">
      <alignment horizontal="left" vertical="top" wrapText="1"/>
    </xf>
    <xf numFmtId="0" fontId="19" fillId="0" borderId="59" xfId="4495" applyFont="1" applyBorder="1" applyAlignment="1">
      <alignment horizontal="left" vertical="top" wrapText="1"/>
    </xf>
    <xf numFmtId="0" fontId="121" fillId="5" borderId="6" xfId="4495" applyFill="1" applyBorder="1" applyAlignment="1" applyProtection="1">
      <alignment horizontal="center"/>
      <protection locked="0"/>
    </xf>
    <xf numFmtId="0" fontId="26" fillId="0" borderId="0" xfId="4495" applyFont="1" applyAlignment="1">
      <alignment horizontal="left" vertical="top"/>
    </xf>
    <xf numFmtId="0" fontId="121" fillId="0" borderId="0" xfId="4495" applyAlignment="1" applyProtection="1">
      <alignment horizontal="center"/>
      <protection locked="0"/>
    </xf>
    <xf numFmtId="0" fontId="19" fillId="0" borderId="3" xfId="4495" applyFont="1" applyBorder="1" applyAlignment="1">
      <alignment horizontal="center"/>
    </xf>
    <xf numFmtId="0" fontId="19" fillId="0" borderId="4" xfId="4495" applyFont="1" applyBorder="1" applyAlignment="1">
      <alignment horizontal="center"/>
    </xf>
    <xf numFmtId="0" fontId="19" fillId="0" borderId="5" xfId="4495" applyFont="1" applyBorder="1" applyAlignment="1">
      <alignment horizontal="center"/>
    </xf>
    <xf numFmtId="168" fontId="19" fillId="0" borderId="6" xfId="4496" applyNumberFormat="1" applyFont="1" applyBorder="1" applyAlignment="1">
      <alignment horizontal="center"/>
    </xf>
    <xf numFmtId="9" fontId="19" fillId="0" borderId="4" xfId="543" applyNumberFormat="1" applyBorder="1" applyAlignment="1">
      <alignment horizontal="center"/>
    </xf>
    <xf numFmtId="0" fontId="19" fillId="0" borderId="4" xfId="4496" applyFont="1" applyBorder="1" applyAlignment="1">
      <alignment horizontal="center"/>
    </xf>
    <xf numFmtId="0" fontId="19" fillId="0" borderId="5" xfId="4496" applyFont="1" applyBorder="1" applyAlignment="1">
      <alignment horizontal="center"/>
    </xf>
    <xf numFmtId="168" fontId="19" fillId="0" borderId="6" xfId="4495" applyNumberFormat="1" applyFont="1" applyBorder="1" applyAlignment="1">
      <alignment horizontal="right"/>
    </xf>
    <xf numFmtId="168" fontId="119" fillId="0" borderId="6" xfId="4495" applyNumberFormat="1" applyFont="1" applyBorder="1" applyAlignment="1">
      <alignment horizontal="right"/>
    </xf>
    <xf numFmtId="6" fontId="19" fillId="0" borderId="3" xfId="1192" applyNumberFormat="1" applyBorder="1" applyAlignment="1">
      <alignment horizontal="right"/>
    </xf>
    <xf numFmtId="6" fontId="19" fillId="0" borderId="4" xfId="1192" applyNumberFormat="1" applyBorder="1" applyAlignment="1">
      <alignment horizontal="right"/>
    </xf>
    <xf numFmtId="6" fontId="19" fillId="0" borderId="5" xfId="1192" applyNumberFormat="1" applyBorder="1" applyAlignment="1">
      <alignment horizontal="right"/>
    </xf>
    <xf numFmtId="168" fontId="19" fillId="0" borderId="4" xfId="4495" applyNumberFormat="1" applyFont="1" applyBorder="1" applyAlignment="1">
      <alignment horizontal="right"/>
    </xf>
    <xf numFmtId="165" fontId="19" fillId="43" borderId="3" xfId="4495" applyNumberFormat="1" applyFont="1" applyFill="1" applyBorder="1" applyAlignment="1" applyProtection="1">
      <alignment horizontal="center"/>
      <protection locked="0"/>
    </xf>
    <xf numFmtId="165" fontId="19" fillId="43" borderId="4" xfId="4495" applyNumberFormat="1" applyFont="1" applyFill="1" applyBorder="1" applyAlignment="1" applyProtection="1">
      <alignment horizontal="center"/>
      <protection locked="0"/>
    </xf>
    <xf numFmtId="165" fontId="19" fillId="43" borderId="5" xfId="4495" applyNumberFormat="1" applyFont="1" applyFill="1" applyBorder="1" applyAlignment="1" applyProtection="1">
      <alignment horizontal="center"/>
      <protection locked="0"/>
    </xf>
    <xf numFmtId="165" fontId="19" fillId="0" borderId="6" xfId="1192" applyNumberFormat="1" applyBorder="1" applyAlignment="1">
      <alignment horizontal="right"/>
    </xf>
    <xf numFmtId="168" fontId="19" fillId="0" borderId="2" xfId="1192" applyNumberFormat="1" applyBorder="1" applyAlignment="1">
      <alignment horizontal="right"/>
    </xf>
    <xf numFmtId="165" fontId="19" fillId="0" borderId="0" xfId="1192" applyNumberFormat="1" applyAlignment="1">
      <alignment horizontal="right"/>
    </xf>
    <xf numFmtId="0" fontId="19" fillId="0" borderId="50" xfId="4495" applyFont="1" applyBorder="1" applyAlignment="1">
      <alignment horizontal="left" vertical="top" wrapText="1"/>
    </xf>
    <xf numFmtId="0" fontId="19" fillId="0" borderId="51" xfId="4495" applyFont="1" applyBorder="1" applyAlignment="1">
      <alignment horizontal="left" vertical="top" wrapText="1"/>
    </xf>
    <xf numFmtId="0" fontId="19" fillId="0" borderId="52" xfId="4495" applyFont="1" applyBorder="1" applyAlignment="1">
      <alignment horizontal="left" vertical="top" wrapText="1"/>
    </xf>
    <xf numFmtId="0" fontId="26" fillId="0" borderId="0" xfId="4495" applyFont="1"/>
    <xf numFmtId="168" fontId="19" fillId="5" borderId="4" xfId="1192" applyNumberFormat="1" applyFill="1" applyBorder="1" applyAlignment="1" applyProtection="1">
      <alignment horizontal="center"/>
      <protection locked="0"/>
    </xf>
    <xf numFmtId="0" fontId="19" fillId="0" borderId="6" xfId="1192" applyBorder="1" applyAlignment="1">
      <alignment horizontal="left"/>
    </xf>
    <xf numFmtId="2" fontId="19" fillId="0" borderId="0" xfId="1192" applyNumberFormat="1" applyAlignment="1">
      <alignment horizontal="right"/>
    </xf>
    <xf numFmtId="0" fontId="19" fillId="43" borderId="53" xfId="4495" applyFont="1" applyFill="1" applyBorder="1" applyAlignment="1" applyProtection="1">
      <alignment vertical="top" wrapText="1"/>
      <protection locked="0"/>
    </xf>
    <xf numFmtId="0" fontId="19" fillId="43" borderId="0" xfId="4495" applyFont="1" applyFill="1" applyAlignment="1" applyProtection="1">
      <alignment vertical="top" wrapText="1"/>
      <protection locked="0"/>
    </xf>
    <xf numFmtId="0" fontId="19" fillId="43" borderId="54" xfId="4495" applyFont="1" applyFill="1" applyBorder="1" applyAlignment="1" applyProtection="1">
      <alignment vertical="top" wrapText="1"/>
      <protection locked="0"/>
    </xf>
    <xf numFmtId="0" fontId="19" fillId="43" borderId="55" xfId="4495" applyFont="1" applyFill="1" applyBorder="1" applyAlignment="1" applyProtection="1">
      <alignment vertical="top" wrapText="1"/>
      <protection locked="0"/>
    </xf>
    <xf numFmtId="0" fontId="19" fillId="43" borderId="6" xfId="4495" applyFont="1" applyFill="1" applyBorder="1" applyAlignment="1" applyProtection="1">
      <alignment vertical="top" wrapText="1"/>
      <protection locked="0"/>
    </xf>
    <xf numFmtId="0" fontId="19" fillId="43" borderId="56" xfId="4495" applyFont="1" applyFill="1" applyBorder="1" applyAlignment="1" applyProtection="1">
      <alignment vertical="top" wrapText="1"/>
      <protection locked="0"/>
    </xf>
    <xf numFmtId="0" fontId="19" fillId="43" borderId="0" xfId="4495" applyFont="1" applyFill="1" applyAlignment="1" applyProtection="1">
      <alignment horizontal="left" vertical="center" wrapText="1"/>
      <protection locked="0"/>
    </xf>
    <xf numFmtId="0" fontId="19" fillId="43" borderId="54" xfId="4495" applyFont="1" applyFill="1" applyBorder="1" applyAlignment="1" applyProtection="1">
      <alignment horizontal="left" vertical="center" wrapText="1"/>
      <protection locked="0"/>
    </xf>
    <xf numFmtId="0" fontId="19" fillId="43" borderId="6" xfId="4495" applyFont="1" applyFill="1" applyBorder="1" applyAlignment="1" applyProtection="1">
      <alignment horizontal="left" vertical="center" wrapText="1"/>
      <protection locked="0"/>
    </xf>
    <xf numFmtId="0" fontId="19" fillId="43" borderId="56" xfId="4495" applyFont="1" applyFill="1" applyBorder="1" applyAlignment="1" applyProtection="1">
      <alignment horizontal="left" vertical="center" wrapText="1"/>
      <protection locked="0"/>
    </xf>
    <xf numFmtId="0" fontId="130" fillId="0" borderId="0" xfId="4495" applyFont="1" applyAlignment="1">
      <alignment horizontal="left" vertical="top" wrapText="1"/>
    </xf>
    <xf numFmtId="0" fontId="121" fillId="5" borderId="55" xfId="4495" applyFill="1" applyBorder="1" applyAlignment="1" applyProtection="1">
      <alignment horizontal="center"/>
      <protection locked="0"/>
    </xf>
    <xf numFmtId="0" fontId="26" fillId="0" borderId="0" xfId="4495" applyFont="1" applyAlignment="1">
      <alignment horizontal="center"/>
    </xf>
    <xf numFmtId="0" fontId="26" fillId="0" borderId="54" xfId="4495" applyFont="1" applyBorder="1" applyAlignment="1">
      <alignment horizontal="center"/>
    </xf>
    <xf numFmtId="0" fontId="27" fillId="0" borderId="51" xfId="4495" applyFont="1" applyBorder="1" applyAlignment="1">
      <alignment horizontal="left" vertical="top" wrapText="1"/>
    </xf>
    <xf numFmtId="0" fontId="26" fillId="0" borderId="54" xfId="4495" applyFont="1" applyBorder="1" applyAlignment="1">
      <alignment horizontal="center" vertical="top"/>
    </xf>
    <xf numFmtId="0" fontId="121" fillId="5" borderId="62" xfId="4495" applyFill="1" applyBorder="1" applyAlignment="1" applyProtection="1">
      <alignment horizontal="center"/>
      <protection locked="0"/>
    </xf>
    <xf numFmtId="0" fontId="121" fillId="5" borderId="63" xfId="4495" applyFill="1" applyBorder="1" applyAlignment="1" applyProtection="1">
      <alignment horizontal="center"/>
      <protection locked="0"/>
    </xf>
    <xf numFmtId="0" fontId="121" fillId="5" borderId="50" xfId="4495" applyFill="1" applyBorder="1" applyAlignment="1">
      <alignment horizontal="center"/>
    </xf>
    <xf numFmtId="0" fontId="121" fillId="5" borderId="51" xfId="4495" applyFill="1" applyBorder="1" applyAlignment="1">
      <alignment horizontal="center"/>
    </xf>
    <xf numFmtId="0" fontId="55" fillId="0" borderId="51" xfId="4495" applyFont="1" applyBorder="1" applyAlignment="1">
      <alignment horizontal="left" wrapText="1"/>
    </xf>
    <xf numFmtId="0" fontId="55" fillId="0" borderId="0" xfId="4495" applyFont="1" applyAlignment="1">
      <alignment horizontal="left" wrapText="1"/>
    </xf>
    <xf numFmtId="0" fontId="123" fillId="0" borderId="50" xfId="4496" applyFont="1" applyBorder="1" applyAlignment="1">
      <alignment horizontal="left" wrapText="1"/>
    </xf>
    <xf numFmtId="0" fontId="123" fillId="0" borderId="51" xfId="4496" applyFont="1" applyBorder="1" applyAlignment="1">
      <alignment horizontal="left" wrapText="1"/>
    </xf>
    <xf numFmtId="0" fontId="123" fillId="0" borderId="52" xfId="4496" applyFont="1" applyBorder="1" applyAlignment="1">
      <alignment horizontal="left" wrapText="1"/>
    </xf>
    <xf numFmtId="0" fontId="123" fillId="0" borderId="57" xfId="4496" applyFont="1" applyBorder="1" applyAlignment="1">
      <alignment horizontal="left" wrapText="1"/>
    </xf>
    <xf numFmtId="0" fontId="123" fillId="0" borderId="58" xfId="4496" applyFont="1" applyBorder="1" applyAlignment="1">
      <alignment horizontal="left" wrapText="1"/>
    </xf>
    <xf numFmtId="0" fontId="123" fillId="0" borderId="59" xfId="4496" applyFont="1" applyBorder="1" applyAlignment="1">
      <alignment horizontal="left" wrapText="1"/>
    </xf>
    <xf numFmtId="0" fontId="19" fillId="0" borderId="0" xfId="4495" applyFont="1" applyAlignment="1">
      <alignment horizontal="left" vertical="center" wrapText="1" shrinkToFit="1"/>
    </xf>
    <xf numFmtId="0" fontId="19" fillId="5" borderId="6" xfId="4495" applyFont="1" applyFill="1" applyBorder="1" applyAlignment="1" applyProtection="1">
      <alignment horizontal="center" vertical="center" wrapText="1" shrinkToFit="1"/>
      <protection locked="0"/>
    </xf>
    <xf numFmtId="0" fontId="19" fillId="5" borderId="6" xfId="4495" applyFont="1" applyFill="1" applyBorder="1" applyAlignment="1" applyProtection="1">
      <alignment horizontal="left" wrapText="1" shrinkToFit="1"/>
      <protection locked="0"/>
    </xf>
    <xf numFmtId="0" fontId="19" fillId="43" borderId="6" xfId="1192" applyFill="1" applyBorder="1" applyAlignment="1" applyProtection="1">
      <alignment horizontal="left" vertical="top"/>
      <protection locked="0"/>
    </xf>
    <xf numFmtId="0" fontId="157" fillId="0" borderId="0" xfId="0" applyFont="1" applyAlignment="1" applyProtection="1">
      <alignment horizontal="left"/>
      <protection locked="0"/>
    </xf>
    <xf numFmtId="168" fontId="156" fillId="0" borderId="0" xfId="0" applyNumberFormat="1" applyFont="1" applyAlignment="1">
      <alignment horizontal="center" vertical="top" wrapText="1"/>
    </xf>
    <xf numFmtId="168" fontId="156" fillId="0" borderId="12" xfId="0" applyNumberFormat="1" applyFont="1" applyBorder="1" applyAlignment="1">
      <alignment horizontal="center" vertical="top" wrapText="1"/>
    </xf>
    <xf numFmtId="0" fontId="27" fillId="0" borderId="0" xfId="4495" applyFont="1" applyAlignment="1">
      <alignment horizontal="center"/>
    </xf>
    <xf numFmtId="0" fontId="19" fillId="0" borderId="0" xfId="4495" applyFont="1" applyAlignment="1">
      <alignment wrapText="1"/>
    </xf>
    <xf numFmtId="0" fontId="19" fillId="0" borderId="0" xfId="4495" applyFont="1" applyAlignment="1">
      <alignment horizontal="left" vertical="top" wrapText="1" shrinkToFit="1"/>
    </xf>
    <xf numFmtId="44" fontId="19" fillId="0" borderId="0" xfId="707" applyFont="1" applyFill="1" applyBorder="1" applyAlignment="1" applyProtection="1">
      <alignment horizontal="left" vertical="top" wrapText="1"/>
    </xf>
    <xf numFmtId="0" fontId="26" fillId="0" borderId="0" xfId="4495" applyFont="1" applyAlignment="1">
      <alignment horizontal="left" vertical="top" wrapText="1"/>
    </xf>
    <xf numFmtId="0" fontId="19" fillId="45" borderId="11" xfId="4495" applyFont="1" applyFill="1" applyBorder="1" applyAlignment="1">
      <alignment horizontal="center"/>
    </xf>
    <xf numFmtId="0" fontId="130" fillId="0" borderId="0" xfId="4495" applyFont="1" applyAlignment="1">
      <alignment horizontal="left" vertical="center" wrapText="1"/>
    </xf>
    <xf numFmtId="0" fontId="26" fillId="0" borderId="11" xfId="4495" applyFont="1" applyBorder="1" applyAlignment="1">
      <alignment horizontal="center"/>
    </xf>
    <xf numFmtId="0" fontId="27" fillId="0" borderId="58" xfId="4495" applyFont="1" applyBorder="1" applyAlignment="1">
      <alignment horizontal="left" vertical="top" wrapText="1"/>
    </xf>
    <xf numFmtId="0" fontId="26" fillId="0" borderId="4" xfId="4495" applyFont="1" applyBorder="1" applyAlignment="1">
      <alignment horizontal="left"/>
    </xf>
    <xf numFmtId="0" fontId="26" fillId="0" borderId="5" xfId="4495" applyFont="1" applyBorder="1" applyAlignment="1">
      <alignment horizontal="left"/>
    </xf>
    <xf numFmtId="1" fontId="26" fillId="0" borderId="4" xfId="4495" applyNumberFormat="1" applyFont="1" applyBorder="1" applyAlignment="1">
      <alignment horizontal="center" wrapText="1"/>
    </xf>
    <xf numFmtId="0" fontId="26" fillId="0" borderId="4" xfId="4495" applyFont="1" applyBorder="1" applyAlignment="1">
      <alignment horizontal="center" wrapText="1"/>
    </xf>
    <xf numFmtId="0" fontId="26" fillId="0" borderId="5" xfId="4495" applyFont="1" applyBorder="1" applyAlignment="1">
      <alignment horizontal="center" wrapText="1"/>
    </xf>
    <xf numFmtId="0" fontId="26" fillId="0" borderId="3" xfId="4495" applyFont="1" applyBorder="1" applyAlignment="1">
      <alignment horizontal="center" wrapText="1"/>
    </xf>
    <xf numFmtId="0" fontId="19" fillId="0" borderId="50" xfId="4496" applyFont="1" applyBorder="1" applyAlignment="1">
      <alignment horizontal="left" wrapText="1"/>
    </xf>
    <xf numFmtId="0" fontId="19" fillId="0" borderId="51" xfId="4496" applyFont="1" applyBorder="1" applyAlignment="1">
      <alignment horizontal="left" wrapText="1"/>
    </xf>
    <xf numFmtId="0" fontId="19" fillId="0" borderId="52" xfId="4496" applyFont="1" applyBorder="1" applyAlignment="1">
      <alignment horizontal="left" wrapText="1"/>
    </xf>
    <xf numFmtId="0" fontId="19" fillId="0" borderId="53" xfId="4496" applyFont="1" applyBorder="1" applyAlignment="1">
      <alignment horizontal="left" wrapText="1"/>
    </xf>
    <xf numFmtId="0" fontId="19" fillId="0" borderId="0" xfId="4496" applyFont="1" applyAlignment="1">
      <alignment horizontal="left" wrapText="1"/>
    </xf>
    <xf numFmtId="0" fontId="19" fillId="0" borderId="54" xfId="4496" applyFont="1" applyBorder="1" applyAlignment="1">
      <alignment horizontal="left" wrapText="1"/>
    </xf>
    <xf numFmtId="0" fontId="19" fillId="0" borderId="57" xfId="4496" applyFont="1" applyBorder="1" applyAlignment="1">
      <alignment horizontal="left" wrapText="1"/>
    </xf>
    <xf numFmtId="0" fontId="19" fillId="0" borderId="58" xfId="4496" applyFont="1" applyBorder="1" applyAlignment="1">
      <alignment horizontal="left" wrapText="1"/>
    </xf>
    <xf numFmtId="0" fontId="19" fillId="0" borderId="59" xfId="4496" applyFont="1" applyBorder="1" applyAlignment="1">
      <alignment horizontal="left" wrapText="1"/>
    </xf>
    <xf numFmtId="1" fontId="19" fillId="0" borderId="4" xfId="4496" applyNumberFormat="1" applyFont="1" applyBorder="1" applyAlignment="1">
      <alignment horizontal="center"/>
    </xf>
    <xf numFmtId="1" fontId="19" fillId="0" borderId="5" xfId="4496" applyNumberFormat="1" applyFont="1" applyBorder="1" applyAlignment="1">
      <alignment horizontal="center"/>
    </xf>
    <xf numFmtId="49" fontId="25" fillId="3" borderId="2" xfId="4495" applyNumberFormat="1" applyFont="1" applyFill="1" applyBorder="1" applyAlignment="1">
      <alignment horizontal="center" vertical="center" wrapText="1"/>
    </xf>
    <xf numFmtId="49" fontId="25" fillId="3" borderId="2" xfId="4495" applyNumberFormat="1" applyFont="1" applyFill="1" applyBorder="1" applyAlignment="1">
      <alignment horizontal="center" vertical="center"/>
    </xf>
    <xf numFmtId="49" fontId="25" fillId="3" borderId="0" xfId="4495" applyNumberFormat="1" applyFont="1" applyFill="1" applyAlignment="1">
      <alignment horizontal="center" vertical="center"/>
    </xf>
    <xf numFmtId="0" fontId="26" fillId="0" borderId="1" xfId="4495" applyFont="1" applyBorder="1" applyAlignment="1">
      <alignment horizontal="center" wrapText="1"/>
    </xf>
    <xf numFmtId="0" fontId="26" fillId="0" borderId="2" xfId="4495" applyFont="1" applyBorder="1" applyAlignment="1">
      <alignment horizontal="center" wrapText="1"/>
    </xf>
    <xf numFmtId="0" fontId="26" fillId="0" borderId="7" xfId="4495" applyFont="1" applyBorder="1" applyAlignment="1">
      <alignment horizontal="center" wrapText="1"/>
    </xf>
    <xf numFmtId="0" fontId="26" fillId="0" borderId="9" xfId="4495" applyFont="1" applyBorder="1" applyAlignment="1">
      <alignment horizontal="center" wrapText="1"/>
    </xf>
    <xf numFmtId="0" fontId="26" fillId="0" borderId="6" xfId="4495" applyFont="1" applyBorder="1" applyAlignment="1">
      <alignment horizontal="center" wrapText="1"/>
    </xf>
    <xf numFmtId="0" fontId="26" fillId="0" borderId="10" xfId="4495" applyFont="1" applyBorder="1" applyAlignment="1">
      <alignment horizontal="center" wrapText="1"/>
    </xf>
    <xf numFmtId="1" fontId="26" fillId="0" borderId="11" xfId="4495" applyNumberFormat="1" applyFont="1" applyBorder="1" applyAlignment="1">
      <alignment horizontal="center"/>
    </xf>
    <xf numFmtId="0" fontId="19" fillId="0" borderId="4" xfId="4495" applyFont="1" applyBorder="1" applyAlignment="1">
      <alignment horizontal="left"/>
    </xf>
    <xf numFmtId="0" fontId="19" fillId="0" borderId="5" xfId="4495" applyFont="1" applyBorder="1" applyAlignment="1">
      <alignment horizontal="left"/>
    </xf>
    <xf numFmtId="1" fontId="19" fillId="46" borderId="11" xfId="4495" applyNumberFormat="1" applyFont="1" applyFill="1" applyBorder="1" applyAlignment="1">
      <alignment horizontal="center"/>
    </xf>
    <xf numFmtId="0" fontId="19" fillId="5" borderId="11" xfId="4495" applyFont="1" applyFill="1" applyBorder="1" applyAlignment="1" applyProtection="1">
      <alignment horizontal="center"/>
      <protection locked="0"/>
    </xf>
    <xf numFmtId="0" fontId="26" fillId="0" borderId="3" xfId="4495" applyFont="1" applyBorder="1" applyAlignment="1">
      <alignment horizontal="center"/>
    </xf>
    <xf numFmtId="0" fontId="26" fillId="0" borderId="4" xfId="4495" applyFont="1" applyBorder="1" applyAlignment="1">
      <alignment horizontal="center"/>
    </xf>
    <xf numFmtId="0" fontId="26" fillId="0" borderId="5" xfId="4495" applyFont="1" applyBorder="1" applyAlignment="1">
      <alignment horizontal="center"/>
    </xf>
    <xf numFmtId="164" fontId="66" fillId="0" borderId="1" xfId="4495" applyNumberFormat="1" applyFont="1" applyBorder="1" applyAlignment="1">
      <alignment horizontal="right" vertical="center"/>
    </xf>
    <xf numFmtId="164" fontId="66" fillId="0" borderId="2" xfId="4495" applyNumberFormat="1" applyFont="1" applyBorder="1" applyAlignment="1">
      <alignment horizontal="right" vertical="center"/>
    </xf>
    <xf numFmtId="164" fontId="66" fillId="0" borderId="7" xfId="4495" applyNumberFormat="1" applyFont="1" applyBorder="1" applyAlignment="1">
      <alignment horizontal="right" vertical="center"/>
    </xf>
    <xf numFmtId="164" fontId="66" fillId="0" borderId="9" xfId="4495" applyNumberFormat="1" applyFont="1" applyBorder="1" applyAlignment="1">
      <alignment horizontal="right" vertical="center"/>
    </xf>
    <xf numFmtId="164" fontId="66" fillId="0" borderId="6" xfId="4495" applyNumberFormat="1" applyFont="1" applyBorder="1" applyAlignment="1">
      <alignment horizontal="right" vertical="center"/>
    </xf>
    <xf numFmtId="164" fontId="66" fillId="0" borderId="10" xfId="4495" applyNumberFormat="1" applyFont="1" applyBorder="1" applyAlignment="1">
      <alignment horizontal="right" vertical="center"/>
    </xf>
    <xf numFmtId="180" fontId="66" fillId="0" borderId="1" xfId="4495" applyNumberFormat="1" applyFont="1" applyBorder="1" applyAlignment="1">
      <alignment horizontal="center" vertical="center"/>
    </xf>
    <xf numFmtId="180" fontId="66" fillId="0" borderId="2" xfId="4495" applyNumberFormat="1" applyFont="1" applyBorder="1" applyAlignment="1">
      <alignment horizontal="center" vertical="center"/>
    </xf>
    <xf numFmtId="180" fontId="66" fillId="0" borderId="7" xfId="4495" applyNumberFormat="1" applyFont="1" applyBorder="1" applyAlignment="1">
      <alignment horizontal="center" vertical="center"/>
    </xf>
    <xf numFmtId="180" fontId="66" fillId="0" borderId="9" xfId="4495" applyNumberFormat="1" applyFont="1" applyBorder="1" applyAlignment="1">
      <alignment horizontal="center" vertical="center"/>
    </xf>
    <xf numFmtId="180" fontId="66" fillId="0" borderId="6" xfId="4495" applyNumberFormat="1" applyFont="1" applyBorder="1" applyAlignment="1">
      <alignment horizontal="center" vertical="center"/>
    </xf>
    <xf numFmtId="180" fontId="66" fillId="0" borderId="10" xfId="4495" applyNumberFormat="1" applyFont="1" applyBorder="1" applyAlignment="1">
      <alignment horizontal="center" vertical="center"/>
    </xf>
    <xf numFmtId="0" fontId="121" fillId="0" borderId="53" xfId="4495" applyBorder="1" applyAlignment="1">
      <alignment horizontal="center"/>
    </xf>
    <xf numFmtId="0" fontId="121" fillId="0" borderId="0" xfId="4495" applyAlignment="1">
      <alignment horizontal="center"/>
    </xf>
    <xf numFmtId="0" fontId="27" fillId="5" borderId="0" xfId="4495" applyFont="1" applyFill="1" applyAlignment="1">
      <alignment horizontal="left" vertical="top"/>
    </xf>
    <xf numFmtId="0" fontId="121" fillId="5" borderId="53" xfId="4495" applyFill="1" applyBorder="1" applyAlignment="1">
      <alignment horizontal="center"/>
    </xf>
    <xf numFmtId="0" fontId="121" fillId="5" borderId="0" xfId="4495" applyFill="1" applyAlignment="1">
      <alignment horizontal="center"/>
    </xf>
    <xf numFmtId="0" fontId="121" fillId="5" borderId="55" xfId="4495" applyFill="1" applyBorder="1" applyAlignment="1">
      <alignment horizontal="center"/>
    </xf>
    <xf numFmtId="0" fontId="121" fillId="5" borderId="6" xfId="4495" applyFill="1" applyBorder="1" applyAlignment="1">
      <alignment horizontal="center"/>
    </xf>
    <xf numFmtId="0" fontId="27" fillId="5" borderId="0" xfId="4495" applyFont="1" applyFill="1" applyAlignment="1">
      <alignment horizontal="left" vertical="top" wrapText="1"/>
    </xf>
    <xf numFmtId="0" fontId="27" fillId="5" borderId="58" xfId="4495" applyFont="1" applyFill="1" applyBorder="1" applyAlignment="1">
      <alignment horizontal="left" vertical="top" wrapText="1"/>
    </xf>
    <xf numFmtId="0" fontId="26" fillId="0" borderId="51" xfId="4495" applyFont="1" applyBorder="1" applyAlignment="1">
      <alignment horizontal="center" vertical="top"/>
    </xf>
    <xf numFmtId="0" fontId="26" fillId="0" borderId="52" xfId="4495" applyFont="1" applyBorder="1" applyAlignment="1">
      <alignment horizontal="center" vertical="top"/>
    </xf>
    <xf numFmtId="168" fontId="19" fillId="43" borderId="6" xfId="543" applyNumberFormat="1" applyFill="1" applyBorder="1" applyAlignment="1" applyProtection="1">
      <alignment horizontal="center"/>
      <protection locked="0"/>
    </xf>
    <xf numFmtId="0" fontId="19" fillId="0" borderId="6" xfId="1192" applyBorder="1" applyAlignment="1">
      <alignment horizontal="right"/>
    </xf>
    <xf numFmtId="10" fontId="27" fillId="0" borderId="2" xfId="4495" applyNumberFormat="1" applyFont="1" applyBorder="1" applyAlignment="1">
      <alignment horizontal="center"/>
    </xf>
    <xf numFmtId="4" fontId="27" fillId="0" borderId="0" xfId="4495" applyNumberFormat="1" applyFont="1" applyAlignment="1">
      <alignment horizontal="center"/>
    </xf>
    <xf numFmtId="9" fontId="27" fillId="5" borderId="6" xfId="4495" applyNumberFormat="1" applyFont="1" applyFill="1" applyBorder="1" applyAlignment="1">
      <alignment horizontal="left"/>
    </xf>
    <xf numFmtId="0" fontId="35" fillId="42" borderId="2" xfId="4495" applyFont="1" applyFill="1" applyBorder="1" applyAlignment="1">
      <alignment horizontal="center"/>
    </xf>
    <xf numFmtId="0" fontId="35" fillId="42" borderId="6" xfId="4495" applyFont="1" applyFill="1" applyBorder="1" applyAlignment="1">
      <alignment horizontal="center"/>
    </xf>
    <xf numFmtId="168" fontId="19" fillId="0" borderId="4" xfId="4496" applyNumberFormat="1" applyFont="1" applyBorder="1" applyAlignment="1">
      <alignment horizontal="center"/>
    </xf>
    <xf numFmtId="9" fontId="19" fillId="0" borderId="4" xfId="4496" applyNumberFormat="1" applyFont="1" applyBorder="1" applyAlignment="1">
      <alignment horizontal="center"/>
    </xf>
    <xf numFmtId="168" fontId="19" fillId="0" borderId="6" xfId="1192" applyNumberFormat="1" applyBorder="1" applyAlignment="1">
      <alignment horizontal="right"/>
    </xf>
    <xf numFmtId="168" fontId="19" fillId="43" borderId="6" xfId="1192" applyNumberFormat="1" applyFill="1" applyBorder="1" applyAlignment="1" applyProtection="1">
      <alignment horizontal="right"/>
      <protection locked="0"/>
    </xf>
    <xf numFmtId="0" fontId="27" fillId="5" borderId="58" xfId="4495" applyFont="1" applyFill="1" applyBorder="1" applyAlignment="1">
      <alignment horizontal="left"/>
    </xf>
    <xf numFmtId="0" fontId="55" fillId="0" borderId="51" xfId="4495" applyFont="1" applyBorder="1" applyAlignment="1">
      <alignment horizontal="left" vertical="top" wrapText="1"/>
    </xf>
    <xf numFmtId="0" fontId="55" fillId="0" borderId="0" xfId="4495" applyFont="1" applyAlignment="1">
      <alignment horizontal="left" vertical="top" wrapText="1"/>
    </xf>
    <xf numFmtId="9" fontId="27" fillId="5" borderId="58" xfId="4495" applyNumberFormat="1" applyFont="1" applyFill="1" applyBorder="1" applyAlignment="1">
      <alignment horizontal="left"/>
    </xf>
    <xf numFmtId="0" fontId="27" fillId="5" borderId="6" xfId="4495" applyFont="1" applyFill="1" applyBorder="1" applyAlignment="1">
      <alignment horizontal="left"/>
    </xf>
    <xf numFmtId="4" fontId="27" fillId="0" borderId="3" xfId="4495" applyNumberFormat="1" applyFont="1" applyBorder="1" applyAlignment="1">
      <alignment horizontal="center"/>
    </xf>
    <xf numFmtId="4" fontId="27" fillId="0" borderId="4" xfId="4495" applyNumberFormat="1" applyFont="1" applyBorder="1" applyAlignment="1">
      <alignment horizontal="center"/>
    </xf>
    <xf numFmtId="4" fontId="27" fillId="0" borderId="5" xfId="4495" applyNumberFormat="1" applyFont="1" applyBorder="1" applyAlignment="1">
      <alignment horizontal="center"/>
    </xf>
    <xf numFmtId="165" fontId="123" fillId="0" borderId="3" xfId="4496" applyNumberFormat="1" applyFont="1" applyBorder="1" applyAlignment="1">
      <alignment horizontal="center" vertical="top" wrapText="1"/>
    </xf>
    <xf numFmtId="165" fontId="123" fillId="0" borderId="5" xfId="4496" applyNumberFormat="1" applyFont="1" applyBorder="1" applyAlignment="1">
      <alignment horizontal="center" vertical="top" wrapText="1"/>
    </xf>
    <xf numFmtId="3" fontId="19" fillId="43" borderId="6" xfId="1192" applyNumberFormat="1" applyFill="1" applyBorder="1" applyAlignment="1" applyProtection="1">
      <alignment horizontal="right"/>
      <protection locked="0"/>
    </xf>
    <xf numFmtId="0" fontId="142" fillId="0" borderId="0" xfId="1192" applyFont="1" applyAlignment="1">
      <alignment horizontal="center"/>
    </xf>
    <xf numFmtId="4" fontId="27" fillId="0" borderId="6" xfId="4495" applyNumberFormat="1" applyFont="1" applyBorder="1" applyAlignment="1">
      <alignment horizontal="center"/>
    </xf>
    <xf numFmtId="0" fontId="26" fillId="0" borderId="0" xfId="4495" applyFont="1" applyAlignment="1">
      <alignment horizontal="left" wrapText="1"/>
    </xf>
    <xf numFmtId="164" fontId="19" fillId="0" borderId="50" xfId="4495" applyNumberFormat="1" applyFont="1" applyBorder="1" applyAlignment="1">
      <alignment horizontal="left" vertical="top" wrapText="1"/>
    </xf>
    <xf numFmtId="164" fontId="19" fillId="0" borderId="51" xfId="4495" applyNumberFormat="1" applyFont="1" applyBorder="1" applyAlignment="1">
      <alignment horizontal="left" vertical="top" wrapText="1"/>
    </xf>
    <xf numFmtId="164" fontId="19" fillId="0" borderId="52" xfId="4495" applyNumberFormat="1" applyFont="1" applyBorder="1" applyAlignment="1">
      <alignment horizontal="left" vertical="top" wrapText="1"/>
    </xf>
    <xf numFmtId="164" fontId="19" fillId="0" borderId="53" xfId="4495" applyNumberFormat="1" applyFont="1" applyBorder="1" applyAlignment="1">
      <alignment horizontal="left" vertical="top" wrapText="1"/>
    </xf>
    <xf numFmtId="164" fontId="19" fillId="0" borderId="0" xfId="4495" applyNumberFormat="1" applyFont="1" applyAlignment="1">
      <alignment horizontal="left" vertical="top" wrapText="1"/>
    </xf>
    <xf numFmtId="164" fontId="19" fillId="0" borderId="54" xfId="4495" applyNumberFormat="1" applyFont="1" applyBorder="1" applyAlignment="1">
      <alignment horizontal="left" vertical="top" wrapText="1"/>
    </xf>
    <xf numFmtId="164" fontId="19" fillId="0" borderId="57" xfId="4495" applyNumberFormat="1" applyFont="1" applyBorder="1" applyAlignment="1">
      <alignment horizontal="left" vertical="top" wrapText="1"/>
    </xf>
    <xf numFmtId="164" fontId="19" fillId="0" borderId="58" xfId="4495" applyNumberFormat="1" applyFont="1" applyBorder="1" applyAlignment="1">
      <alignment horizontal="left" vertical="top" wrapText="1"/>
    </xf>
    <xf numFmtId="164" fontId="19" fillId="0" borderId="59" xfId="4495" applyNumberFormat="1" applyFont="1" applyBorder="1" applyAlignment="1">
      <alignment horizontal="left" vertical="top" wrapText="1"/>
    </xf>
    <xf numFmtId="168" fontId="19" fillId="0" borderId="4" xfId="1192" applyNumberFormat="1" applyBorder="1" applyAlignment="1">
      <alignment horizontal="right"/>
    </xf>
    <xf numFmtId="0" fontId="119" fillId="0" borderId="4" xfId="1192" applyFont="1" applyBorder="1" applyAlignment="1">
      <alignment horizontal="left"/>
    </xf>
    <xf numFmtId="0" fontId="121" fillId="5" borderId="62" xfId="4495" applyFill="1" applyBorder="1" applyAlignment="1">
      <alignment horizontal="center"/>
    </xf>
    <xf numFmtId="0" fontId="121" fillId="5" borderId="63" xfId="4495" applyFill="1" applyBorder="1" applyAlignment="1">
      <alignment horizontal="center"/>
    </xf>
    <xf numFmtId="0" fontId="99" fillId="0" borderId="3" xfId="4496" applyFont="1" applyBorder="1"/>
    <xf numFmtId="0" fontId="99" fillId="0" borderId="81" xfId="4496" applyFont="1" applyBorder="1"/>
    <xf numFmtId="0" fontId="99" fillId="0" borderId="94" xfId="4496" applyFont="1" applyBorder="1"/>
    <xf numFmtId="0" fontId="99" fillId="0" borderId="85" xfId="4496" applyFont="1" applyBorder="1"/>
    <xf numFmtId="49" fontId="99" fillId="45" borderId="15" xfId="4496" applyNumberFormat="1" applyFont="1" applyFill="1" applyBorder="1" applyAlignment="1">
      <alignment horizontal="center" vertical="center" wrapText="1"/>
    </xf>
    <xf numFmtId="49" fontId="99" fillId="45" borderId="13" xfId="4496" applyNumberFormat="1" applyFont="1" applyFill="1" applyBorder="1" applyAlignment="1">
      <alignment horizontal="center" vertical="center" wrapText="1"/>
    </xf>
    <xf numFmtId="0" fontId="99" fillId="0" borderId="93" xfId="4496" applyFont="1" applyBorder="1" applyAlignment="1">
      <alignment horizontal="right"/>
    </xf>
    <xf numFmtId="0" fontId="99" fillId="0" borderId="74" xfId="4496" applyFont="1" applyBorder="1" applyAlignment="1">
      <alignment horizontal="right"/>
    </xf>
    <xf numFmtId="0" fontId="99" fillId="0" borderId="75" xfId="4496" applyFont="1" applyBorder="1"/>
    <xf numFmtId="0" fontId="99" fillId="0" borderId="91" xfId="4496" applyFont="1" applyBorder="1"/>
    <xf numFmtId="0" fontId="99" fillId="0" borderId="90" xfId="4496" applyFont="1" applyBorder="1" applyAlignment="1">
      <alignment horizontal="right"/>
    </xf>
    <xf numFmtId="0" fontId="99" fillId="0" borderId="5" xfId="4496" applyFont="1" applyBorder="1" applyAlignment="1">
      <alignment horizontal="right"/>
    </xf>
    <xf numFmtId="0" fontId="99" fillId="0" borderId="69" xfId="4496" applyFont="1" applyBorder="1" applyAlignment="1">
      <alignment horizontal="right"/>
    </xf>
    <xf numFmtId="0" fontId="99" fillId="0" borderId="70" xfId="4496" applyFont="1" applyBorder="1" applyAlignment="1">
      <alignment horizontal="right"/>
    </xf>
    <xf numFmtId="168" fontId="99" fillId="0" borderId="11" xfId="4499" applyNumberFormat="1" applyFont="1" applyFill="1" applyBorder="1" applyAlignment="1" applyProtection="1">
      <alignment horizontal="left" vertical="center" indent="1"/>
    </xf>
    <xf numFmtId="0" fontId="137" fillId="0" borderId="68" xfId="4496" applyFont="1" applyBorder="1" applyAlignment="1">
      <alignment horizontal="left" indent="1"/>
    </xf>
    <xf numFmtId="168" fontId="99" fillId="0" borderId="70" xfId="4499" applyNumberFormat="1" applyFont="1" applyFill="1" applyBorder="1" applyAlignment="1" applyProtection="1">
      <alignment horizontal="left" vertical="center" indent="1"/>
    </xf>
    <xf numFmtId="49" fontId="136" fillId="3" borderId="0" xfId="1192" applyNumberFormat="1" applyFont="1" applyFill="1" applyAlignment="1">
      <alignment horizontal="center" vertical="center"/>
    </xf>
    <xf numFmtId="0" fontId="99" fillId="0" borderId="11" xfId="4496" applyFont="1" applyBorder="1" applyAlignment="1">
      <alignment horizontal="left" indent="1"/>
    </xf>
    <xf numFmtId="0" fontId="99" fillId="0" borderId="11" xfId="4496" applyFont="1" applyBorder="1" applyAlignment="1">
      <alignment horizontal="left" indent="2"/>
    </xf>
    <xf numFmtId="0" fontId="137" fillId="45" borderId="3" xfId="4496" applyFont="1" applyFill="1" applyBorder="1" applyAlignment="1">
      <alignment horizontal="center" vertical="center"/>
    </xf>
    <xf numFmtId="0" fontId="137" fillId="45" borderId="4" xfId="4496" applyFont="1" applyFill="1" applyBorder="1" applyAlignment="1">
      <alignment horizontal="center" vertical="center"/>
    </xf>
    <xf numFmtId="0" fontId="137" fillId="45" borderId="5" xfId="4496" applyFont="1" applyFill="1" applyBorder="1" applyAlignment="1">
      <alignment horizontal="center" vertical="center"/>
    </xf>
    <xf numFmtId="9" fontId="137" fillId="45" borderId="3" xfId="4499" applyFont="1" applyFill="1" applyBorder="1" applyAlignment="1" applyProtection="1">
      <alignment horizontal="center" vertical="center"/>
    </xf>
    <xf numFmtId="9" fontId="137" fillId="45" borderId="4" xfId="4499" applyFont="1" applyFill="1" applyBorder="1" applyAlignment="1" applyProtection="1">
      <alignment horizontal="center" vertical="center"/>
    </xf>
    <xf numFmtId="9" fontId="137" fillId="45" borderId="5" xfId="4499" applyFont="1" applyFill="1" applyBorder="1" applyAlignment="1" applyProtection="1">
      <alignment horizontal="center" vertical="center"/>
    </xf>
    <xf numFmtId="168" fontId="99" fillId="0" borderId="13" xfId="4499" applyNumberFormat="1" applyFont="1" applyFill="1" applyBorder="1" applyAlignment="1" applyProtection="1">
      <alignment horizontal="left" vertical="center" indent="1"/>
    </xf>
    <xf numFmtId="0" fontId="99" fillId="0" borderId="3" xfId="4496" applyFont="1" applyBorder="1" applyAlignment="1">
      <alignment horizontal="left" indent="1"/>
    </xf>
    <xf numFmtId="0" fontId="99" fillId="0" borderId="4" xfId="4496" applyFont="1" applyBorder="1" applyAlignment="1">
      <alignment horizontal="left" indent="1"/>
    </xf>
    <xf numFmtId="0" fontId="99" fillId="0" borderId="5" xfId="4496" applyFont="1" applyBorder="1" applyAlignment="1">
      <alignment horizontal="left" indent="1"/>
    </xf>
    <xf numFmtId="0" fontId="99" fillId="0" borderId="3" xfId="4496" applyFont="1" applyBorder="1" applyAlignment="1">
      <alignment horizontal="left" indent="2"/>
    </xf>
    <xf numFmtId="0" fontId="99" fillId="0" borderId="4" xfId="4496" applyFont="1" applyBorder="1" applyAlignment="1">
      <alignment horizontal="left" indent="2"/>
    </xf>
    <xf numFmtId="0" fontId="99" fillId="0" borderId="5" xfId="4496" applyFont="1" applyBorder="1" applyAlignment="1">
      <alignment horizontal="left" indent="2"/>
    </xf>
    <xf numFmtId="0" fontId="99" fillId="0" borderId="0" xfId="4496" applyFont="1" applyAlignment="1">
      <alignment wrapText="1"/>
    </xf>
    <xf numFmtId="0" fontId="137" fillId="0" borderId="75" xfId="4496" applyFont="1" applyBorder="1" applyAlignment="1">
      <alignment horizontal="center" vertical="top" wrapText="1"/>
    </xf>
    <xf numFmtId="0" fontId="137" fillId="0" borderId="74" xfId="4496" applyFont="1" applyBorder="1" applyAlignment="1">
      <alignment horizontal="center" vertical="top" wrapText="1"/>
    </xf>
    <xf numFmtId="0" fontId="99" fillId="0" borderId="0" xfId="4496" applyFont="1" applyAlignment="1">
      <alignment horizontal="left" wrapText="1"/>
    </xf>
    <xf numFmtId="0" fontId="99" fillId="0" borderId="0" xfId="4496" applyFont="1" applyAlignment="1">
      <alignment horizontal="center" vertical="center" wrapText="1"/>
    </xf>
    <xf numFmtId="0" fontId="99" fillId="43" borderId="0" xfId="4496" applyFont="1" applyFill="1" applyAlignment="1" applyProtection="1">
      <alignment horizontal="left" vertical="top" wrapText="1"/>
      <protection locked="0"/>
    </xf>
    <xf numFmtId="0" fontId="99" fillId="43" borderId="6" xfId="4496" applyFont="1" applyFill="1" applyBorder="1" applyAlignment="1" applyProtection="1">
      <alignment horizontal="left" vertical="top" wrapText="1"/>
      <protection locked="0"/>
    </xf>
    <xf numFmtId="0" fontId="99" fillId="0" borderId="0" xfId="4496" applyFont="1" applyAlignment="1">
      <alignment horizontal="left" wrapText="1" indent="1"/>
    </xf>
    <xf numFmtId="0" fontId="24" fillId="0" borderId="6" xfId="271" applyFont="1" applyBorder="1" applyAlignment="1">
      <alignment horizontal="center"/>
    </xf>
    <xf numFmtId="0" fontId="24" fillId="0" borderId="0" xfId="0" applyFont="1" applyAlignment="1" applyProtection="1">
      <alignment wrapText="1"/>
      <protection locked="0"/>
    </xf>
    <xf numFmtId="3" fontId="19" fillId="0" borderId="0" xfId="0" applyNumberFormat="1" applyFont="1" applyAlignment="1">
      <alignment horizontal="left" vertical="top" wrapText="1"/>
    </xf>
    <xf numFmtId="3" fontId="28" fillId="0" borderId="0" xfId="0" applyNumberFormat="1" applyFont="1" applyAlignment="1">
      <alignment horizontal="left" vertical="top" wrapText="1"/>
    </xf>
    <xf numFmtId="0" fontId="19" fillId="43" borderId="0" xfId="0" applyFont="1" applyFill="1" applyAlignment="1">
      <alignment horizontal="left"/>
    </xf>
  </cellXfs>
  <cellStyles count="28211">
    <cellStyle name="20% - Accent1" xfId="1" builtinId="30" customBuiltin="1"/>
    <cellStyle name="20% - Accent1 10" xfId="4504" xr:uid="{00000000-0005-0000-0000-000001000000}"/>
    <cellStyle name="20% - Accent1 10 2" xfId="23129" xr:uid="{DE305FA0-62EF-4339-9BDE-38D798294793}"/>
    <cellStyle name="20% - Accent1 10 3" xfId="13830" xr:uid="{F222C33D-2E10-4F77-A7A8-938F585A7D7B}"/>
    <cellStyle name="20% - Accent1 11" xfId="8758" xr:uid="{2F735C8D-70CB-4E84-A95A-4445894745BC}"/>
    <cellStyle name="20% - Accent1 11 2" xfId="27381" xr:uid="{21066BE8-F42A-45B9-B359-4BF4C187BA6E}"/>
    <cellStyle name="20% - Accent1 11 3" xfId="18082" xr:uid="{7DB58C21-EDBB-4ADD-BE75-7F1637EA19DA}"/>
    <cellStyle name="20% - Accent1 12" xfId="18912" xr:uid="{62D00638-0479-44C4-8B9B-43EA42EE0358}"/>
    <cellStyle name="20% - Accent1 13" xfId="9613" xr:uid="{9589FD45-CC3C-4384-A653-BE21C8BE59CF}"/>
    <cellStyle name="20% - Accent1 2" xfId="2" xr:uid="{00000000-0005-0000-0000-000002000000}"/>
    <cellStyle name="20% - Accent1 2 10" xfId="8797" xr:uid="{7F4BEAE6-CC35-4B07-89BD-8FC5D6B3D35B}"/>
    <cellStyle name="20% - Accent1 2 10 2" xfId="27420" xr:uid="{23D80889-DE14-49AE-9305-22A6ECA24389}"/>
    <cellStyle name="20% - Accent1 2 10 3" xfId="18121" xr:uid="{0D506034-515B-4737-8C78-AAA094465D10}"/>
    <cellStyle name="20% - Accent1 2 11" xfId="18913" xr:uid="{B2110809-C64C-45EC-8C45-7EC86A0E83E8}"/>
    <cellStyle name="20% - Accent1 2 12" xfId="9614" xr:uid="{C3431347-2F84-4F59-8339-A362E944023F}"/>
    <cellStyle name="20% - Accent1 2 2" xfId="3" xr:uid="{00000000-0005-0000-0000-000003000000}"/>
    <cellStyle name="20% - Accent1 2 2 10" xfId="18914" xr:uid="{E610FABA-0364-4B42-80ED-8DF54BE3326C}"/>
    <cellStyle name="20% - Accent1 2 2 11" xfId="9615" xr:uid="{8F46C634-91F7-4D50-8FD6-29DA45727861}"/>
    <cellStyle name="20% - Accent1 2 2 2" xfId="4" xr:uid="{00000000-0005-0000-0000-000004000000}"/>
    <cellStyle name="20% - Accent1 2 2 2 10" xfId="9616" xr:uid="{58244622-1B1B-4547-AB16-D339FDD3356D}"/>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2 2 2" xfId="25691" xr:uid="{73DB3257-830A-45F2-A354-A8970E7E8440}"/>
    <cellStyle name="20% - Accent1 2 2 2 2 2 2 3" xfId="16392" xr:uid="{F1FBF590-3CF5-4047-8884-00DC86E38D77}"/>
    <cellStyle name="20% - Accent1 2 2 2 2 2 3" xfId="21474" xr:uid="{F11AB243-6AD5-4EBC-81A0-74C647CB8619}"/>
    <cellStyle name="20% - Accent1 2 2 2 2 2 4" xfId="12175" xr:uid="{0E2C4CA8-8B33-48AC-9393-F8E75A947BA0}"/>
    <cellStyle name="20% - Accent1 2 2 2 2 3" xfId="4921" xr:uid="{00000000-0005-0000-0000-000008000000}"/>
    <cellStyle name="20% - Accent1 2 2 2 2 3 2" xfId="23546" xr:uid="{83F9F84C-BD04-41E7-9927-C5E371EC4D88}"/>
    <cellStyle name="20% - Accent1 2 2 2 2 3 3" xfId="14247" xr:uid="{9EFECC51-C038-4EB4-92A7-A74E1BFC55F3}"/>
    <cellStyle name="20% - Accent1 2 2 2 2 4" xfId="9532" xr:uid="{D5FAB462-C5A9-4306-AA37-C118C84F9393}"/>
    <cellStyle name="20% - Accent1 2 2 2 2 4 2" xfId="28146" xr:uid="{FFC43013-973B-4957-946A-9591B6773657}"/>
    <cellStyle name="20% - Accent1 2 2 2 2 4 3" xfId="18847" xr:uid="{B11B80E6-43E0-42CC-B52A-D6552D0E8F64}"/>
    <cellStyle name="20% - Accent1 2 2 2 2 5" xfId="19329" xr:uid="{51BCC158-98CF-4ED2-9D5B-FD115D5E4720}"/>
    <cellStyle name="20% - Accent1 2 2 2 2 6" xfId="10030" xr:uid="{4DB45A59-B721-49AE-9748-2C1E47C7593D}"/>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2 2 2" xfId="26104" xr:uid="{32C622AD-9326-431E-BFAA-815649034E35}"/>
    <cellStyle name="20% - Accent1 2 2 2 3 2 2 3" xfId="16805" xr:uid="{808A713C-EE4B-4539-836A-0F82656213D7}"/>
    <cellStyle name="20% - Accent1 2 2 2 3 2 3" xfId="21887" xr:uid="{B5C66EDD-B406-4E53-AA99-88861F450BED}"/>
    <cellStyle name="20% - Accent1 2 2 2 3 2 4" xfId="12588" xr:uid="{410EDC63-DAD0-45B0-BC0A-2B785CBAAFCB}"/>
    <cellStyle name="20% - Accent1 2 2 2 3 3" xfId="5334" xr:uid="{00000000-0005-0000-0000-00000C000000}"/>
    <cellStyle name="20% - Accent1 2 2 2 3 3 2" xfId="23959" xr:uid="{C67C7819-B8B5-4072-9729-73C9E727F189}"/>
    <cellStyle name="20% - Accent1 2 2 2 3 3 3" xfId="14660" xr:uid="{95EDB48A-94CC-4B5D-9823-DE6E1434B62F}"/>
    <cellStyle name="20% - Accent1 2 2 2 3 4" xfId="19742" xr:uid="{09F689BE-D43C-4350-830C-F4D0A8FC04E8}"/>
    <cellStyle name="20% - Accent1 2 2 2 3 5" xfId="10443" xr:uid="{C2A13034-6F3F-4089-B098-A2E32F8BF39D}"/>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2 2 2" xfId="26517" xr:uid="{C9D701AF-9F03-4BF0-A526-33F3E9E21F1E}"/>
    <cellStyle name="20% - Accent1 2 2 2 4 2 2 3" xfId="17218" xr:uid="{C32D588A-ACC8-40E3-9F0C-551711A96FDB}"/>
    <cellStyle name="20% - Accent1 2 2 2 4 2 3" xfId="22300" xr:uid="{4E79B0BC-E8E0-4D61-B30A-22BF2A501282}"/>
    <cellStyle name="20% - Accent1 2 2 2 4 2 4" xfId="13001" xr:uid="{6DB7790B-6810-4F62-A60F-462D05455112}"/>
    <cellStyle name="20% - Accent1 2 2 2 4 3" xfId="5747" xr:uid="{00000000-0005-0000-0000-000010000000}"/>
    <cellStyle name="20% - Accent1 2 2 2 4 3 2" xfId="24372" xr:uid="{F96F50E4-0C86-41B8-823B-815101B42D3F}"/>
    <cellStyle name="20% - Accent1 2 2 2 4 3 3" xfId="15073" xr:uid="{D0178C58-F164-45B1-8AA4-AD12A66DFD00}"/>
    <cellStyle name="20% - Accent1 2 2 2 4 4" xfId="20155" xr:uid="{39622DB2-156D-4136-8174-8EEEDA1BE20C}"/>
    <cellStyle name="20% - Accent1 2 2 2 4 5" xfId="10856" xr:uid="{2E73F07F-99FD-4C72-89DB-14519C84210C}"/>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2 2 2" xfId="26930" xr:uid="{08EBBB45-DFD5-45DF-9638-A3FD99E1648A}"/>
    <cellStyle name="20% - Accent1 2 2 2 5 2 2 3" xfId="17631" xr:uid="{AB121C75-94A6-4CFE-874C-9AA538EE2D23}"/>
    <cellStyle name="20% - Accent1 2 2 2 5 2 3" xfId="22713" xr:uid="{6A3F100F-9EA3-436D-86D8-47F6D79DBF5F}"/>
    <cellStyle name="20% - Accent1 2 2 2 5 2 4" xfId="13414" xr:uid="{8ECB5AED-376E-4DAE-9501-FB2A1811FA1B}"/>
    <cellStyle name="20% - Accent1 2 2 2 5 3" xfId="6160" xr:uid="{00000000-0005-0000-0000-000014000000}"/>
    <cellStyle name="20% - Accent1 2 2 2 5 3 2" xfId="24785" xr:uid="{815823B7-AFBC-4851-B1F5-952876FFDCCF}"/>
    <cellStyle name="20% - Accent1 2 2 2 5 3 3" xfId="15486" xr:uid="{F66F8453-622D-46EC-9127-15A4EE46A681}"/>
    <cellStyle name="20% - Accent1 2 2 2 5 4" xfId="20568" xr:uid="{44D6EB77-E6C0-458D-8D48-5D2C386B8E7C}"/>
    <cellStyle name="20% - Accent1 2 2 2 5 5" xfId="11269" xr:uid="{9BE77B90-7D1A-436A-A22E-6C5BC1291ADF}"/>
    <cellStyle name="20% - Accent1 2 2 2 6" xfId="2267" xr:uid="{00000000-0005-0000-0000-000015000000}"/>
    <cellStyle name="20% - Accent1 2 2 2 6 2" xfId="6573" xr:uid="{00000000-0005-0000-0000-000016000000}"/>
    <cellStyle name="20% - Accent1 2 2 2 6 2 2" xfId="25198" xr:uid="{56037C61-B486-422D-97E1-D085E677B49B}"/>
    <cellStyle name="20% - Accent1 2 2 2 6 2 3" xfId="15899" xr:uid="{A2533F57-8EDD-4782-9B47-796AF487D59C}"/>
    <cellStyle name="20% - Accent1 2 2 2 6 3" xfId="20981" xr:uid="{84E93CF3-57CC-4A96-A432-A2C3877FA5AC}"/>
    <cellStyle name="20% - Accent1 2 2 2 6 4" xfId="11682" xr:uid="{CC1F65E1-944A-479E-9054-272513729F75}"/>
    <cellStyle name="20% - Accent1 2 2 2 7" xfId="4507" xr:uid="{00000000-0005-0000-0000-000017000000}"/>
    <cellStyle name="20% - Accent1 2 2 2 7 2" xfId="23132" xr:uid="{93451264-2074-4262-9212-530953D96ECF}"/>
    <cellStyle name="20% - Accent1 2 2 2 7 3" xfId="13833" xr:uid="{C708BDC7-6C4E-4081-8DE7-63DF1CC53635}"/>
    <cellStyle name="20% - Accent1 2 2 2 8" xfId="9107" xr:uid="{4168D01E-823F-4E8F-9A1D-70697AC1F241}"/>
    <cellStyle name="20% - Accent1 2 2 2 8 2" xfId="27730" xr:uid="{7C98F59D-9D65-46FD-8A9C-FB31C415E2BD}"/>
    <cellStyle name="20% - Accent1 2 2 2 8 3" xfId="18431" xr:uid="{E34A4672-0827-400C-BC13-433D9214AD08}"/>
    <cellStyle name="20% - Accent1 2 2 2 9" xfId="18915" xr:uid="{82192920-F6B4-4170-97CC-2FA9CBC11ED8}"/>
    <cellStyle name="20% - Accent1 2 2 3" xfId="572" xr:uid="{00000000-0005-0000-0000-000018000000}"/>
    <cellStyle name="20% - Accent1 2 2 3 2" xfId="2843" xr:uid="{00000000-0005-0000-0000-000019000000}"/>
    <cellStyle name="20% - Accent1 2 2 3 2 2" xfId="7065" xr:uid="{00000000-0005-0000-0000-00001A000000}"/>
    <cellStyle name="20% - Accent1 2 2 3 2 2 2" xfId="25690" xr:uid="{6B541CA5-D54D-4B5B-9489-72159B4DF99A}"/>
    <cellStyle name="20% - Accent1 2 2 3 2 2 3" xfId="16391" xr:uid="{C88A0EA5-69A9-4180-85D0-885D9A665613}"/>
    <cellStyle name="20% - Accent1 2 2 3 2 3" xfId="21473" xr:uid="{05A607E5-5D2C-431A-9652-6F79BC330567}"/>
    <cellStyle name="20% - Accent1 2 2 3 2 4" xfId="12174" xr:uid="{E843C78C-5266-4A03-8FF5-8C062C288EFA}"/>
    <cellStyle name="20% - Accent1 2 2 3 3" xfId="4920" xr:uid="{00000000-0005-0000-0000-00001B000000}"/>
    <cellStyle name="20% - Accent1 2 2 3 3 2" xfId="23545" xr:uid="{E8E350BA-44D5-407F-A29A-56D173B06963}"/>
    <cellStyle name="20% - Accent1 2 2 3 3 3" xfId="14246" xr:uid="{F75CFEDD-A6E9-4679-9BD0-C65187FE86C7}"/>
    <cellStyle name="20% - Accent1 2 2 3 4" xfId="9325" xr:uid="{DE19910B-698B-4F31-B25F-3533B35DDA95}"/>
    <cellStyle name="20% - Accent1 2 2 3 4 2" xfId="27939" xr:uid="{239C5A00-5376-46F3-84F3-2FEC0A5F8CE7}"/>
    <cellStyle name="20% - Accent1 2 2 3 4 3" xfId="18640" xr:uid="{74B4CFE1-9C60-43AF-906C-1AAA3DF2CFD3}"/>
    <cellStyle name="20% - Accent1 2 2 3 5" xfId="19328" xr:uid="{CF0DF82B-B7C8-4B47-9846-C99D202A3544}"/>
    <cellStyle name="20% - Accent1 2 2 3 6" xfId="10029" xr:uid="{93226A82-FEEF-4F49-8425-3CD9F93BAAA0}"/>
    <cellStyle name="20% - Accent1 2 2 4" xfId="1025" xr:uid="{00000000-0005-0000-0000-00001C000000}"/>
    <cellStyle name="20% - Accent1 2 2 4 2" xfId="3256" xr:uid="{00000000-0005-0000-0000-00001D000000}"/>
    <cellStyle name="20% - Accent1 2 2 4 2 2" xfId="7478" xr:uid="{00000000-0005-0000-0000-00001E000000}"/>
    <cellStyle name="20% - Accent1 2 2 4 2 2 2" xfId="26103" xr:uid="{32E979A8-1721-4B68-9C71-8840EA1A35FB}"/>
    <cellStyle name="20% - Accent1 2 2 4 2 2 3" xfId="16804" xr:uid="{9BBE90CE-BD86-43AF-83CA-7954EA0D9872}"/>
    <cellStyle name="20% - Accent1 2 2 4 2 3" xfId="21886" xr:uid="{0D18A6F6-542B-44FD-BCE5-877993D33B47}"/>
    <cellStyle name="20% - Accent1 2 2 4 2 4" xfId="12587" xr:uid="{9C03AAF3-97F3-4F12-99A5-710D55F3AFE4}"/>
    <cellStyle name="20% - Accent1 2 2 4 3" xfId="5333" xr:uid="{00000000-0005-0000-0000-00001F000000}"/>
    <cellStyle name="20% - Accent1 2 2 4 3 2" xfId="23958" xr:uid="{462C7C65-9CBE-4C60-BD1A-FC073A6F3CD5}"/>
    <cellStyle name="20% - Accent1 2 2 4 3 3" xfId="14659" xr:uid="{6B0B1E5A-8BA2-434C-B3AC-2537B0882BAB}"/>
    <cellStyle name="20% - Accent1 2 2 4 4" xfId="19741" xr:uid="{27CC73DE-AFA4-4C59-BAD0-084E6DA52EDF}"/>
    <cellStyle name="20% - Accent1 2 2 4 5" xfId="10442" xr:uid="{357C39E8-2C08-42B3-97A2-452561F6E145}"/>
    <cellStyle name="20% - Accent1 2 2 5" xfId="1439" xr:uid="{00000000-0005-0000-0000-000020000000}"/>
    <cellStyle name="20% - Accent1 2 2 5 2" xfId="3669" xr:uid="{00000000-0005-0000-0000-000021000000}"/>
    <cellStyle name="20% - Accent1 2 2 5 2 2" xfId="7891" xr:uid="{00000000-0005-0000-0000-000022000000}"/>
    <cellStyle name="20% - Accent1 2 2 5 2 2 2" xfId="26516" xr:uid="{54372E73-FE14-477C-BC23-744057FBFB60}"/>
    <cellStyle name="20% - Accent1 2 2 5 2 2 3" xfId="17217" xr:uid="{2FC7D50A-68A9-4BF0-B46C-03D4F9F54BCA}"/>
    <cellStyle name="20% - Accent1 2 2 5 2 3" xfId="22299" xr:uid="{CEDEB5EE-26F2-4684-A8AA-CBF487A8CFD9}"/>
    <cellStyle name="20% - Accent1 2 2 5 2 4" xfId="13000" xr:uid="{85F500FA-895F-4777-ABA7-26669D1D3039}"/>
    <cellStyle name="20% - Accent1 2 2 5 3" xfId="5746" xr:uid="{00000000-0005-0000-0000-000023000000}"/>
    <cellStyle name="20% - Accent1 2 2 5 3 2" xfId="24371" xr:uid="{5392135D-585D-405B-8CFC-73067D6E91C5}"/>
    <cellStyle name="20% - Accent1 2 2 5 3 3" xfId="15072" xr:uid="{AFCE6BC6-BB31-4420-9B0B-455B9C37AF58}"/>
    <cellStyle name="20% - Accent1 2 2 5 4" xfId="20154" xr:uid="{663D11AB-F3F6-4BBD-97DD-FD3A13365EBA}"/>
    <cellStyle name="20% - Accent1 2 2 5 5" xfId="10855" xr:uid="{58B1FA77-8C5E-4D68-8417-2ED38882F63A}"/>
    <cellStyle name="20% - Accent1 2 2 6" xfId="1853" xr:uid="{00000000-0005-0000-0000-000024000000}"/>
    <cellStyle name="20% - Accent1 2 2 6 2" xfId="4082" xr:uid="{00000000-0005-0000-0000-000025000000}"/>
    <cellStyle name="20% - Accent1 2 2 6 2 2" xfId="8304" xr:uid="{00000000-0005-0000-0000-000026000000}"/>
    <cellStyle name="20% - Accent1 2 2 6 2 2 2" xfId="26929" xr:uid="{AD5A6165-29F4-45DF-A0CE-B43F837EFF8C}"/>
    <cellStyle name="20% - Accent1 2 2 6 2 2 3" xfId="17630" xr:uid="{C2099FAC-9AF4-4E46-9BE4-AA8CCD839ACA}"/>
    <cellStyle name="20% - Accent1 2 2 6 2 3" xfId="22712" xr:uid="{E1FAFBB7-3385-4804-9B39-A179AED8EE61}"/>
    <cellStyle name="20% - Accent1 2 2 6 2 4" xfId="13413" xr:uid="{21FA7BBE-321A-451B-8594-1E6455E6883C}"/>
    <cellStyle name="20% - Accent1 2 2 6 3" xfId="6159" xr:uid="{00000000-0005-0000-0000-000027000000}"/>
    <cellStyle name="20% - Accent1 2 2 6 3 2" xfId="24784" xr:uid="{90E98700-B923-45FF-A865-42DABFB34918}"/>
    <cellStyle name="20% - Accent1 2 2 6 3 3" xfId="15485" xr:uid="{8F3C11B6-FFBC-4F91-89AA-93A23E359475}"/>
    <cellStyle name="20% - Accent1 2 2 6 4" xfId="20567" xr:uid="{C39DB38B-0ECB-431D-A770-4D5D988C3244}"/>
    <cellStyle name="20% - Accent1 2 2 6 5" xfId="11268" xr:uid="{DD2F191B-D52B-4CE1-97EE-F54431387DC3}"/>
    <cellStyle name="20% - Accent1 2 2 7" xfId="2266" xr:uid="{00000000-0005-0000-0000-000028000000}"/>
    <cellStyle name="20% - Accent1 2 2 7 2" xfId="6572" xr:uid="{00000000-0005-0000-0000-000029000000}"/>
    <cellStyle name="20% - Accent1 2 2 7 2 2" xfId="25197" xr:uid="{4121F06D-B451-44EA-8754-F9F54E8A332B}"/>
    <cellStyle name="20% - Accent1 2 2 7 2 3" xfId="15898" xr:uid="{27F7A05A-6AA0-4FEB-BE9B-6888BFEEAFA4}"/>
    <cellStyle name="20% - Accent1 2 2 7 3" xfId="20980" xr:uid="{50F7E34C-FA3D-427E-B5C5-273E4450A2BD}"/>
    <cellStyle name="20% - Accent1 2 2 7 4" xfId="11681" xr:uid="{C713BC08-4E54-411D-AA2E-62A968DA5DAE}"/>
    <cellStyle name="20% - Accent1 2 2 8" xfId="4506" xr:uid="{00000000-0005-0000-0000-00002A000000}"/>
    <cellStyle name="20% - Accent1 2 2 8 2" xfId="23131" xr:uid="{8AAA0345-953D-4AC0-B596-60B784611E8B}"/>
    <cellStyle name="20% - Accent1 2 2 8 3" xfId="13832" xr:uid="{E437D824-F846-4040-9271-7EDFE99CDE8E}"/>
    <cellStyle name="20% - Accent1 2 2 9" xfId="8900" xr:uid="{7D7E3EAF-DF6A-403F-8C20-66BB9757790F}"/>
    <cellStyle name="20% - Accent1 2 2 9 2" xfId="27523" xr:uid="{87AE0A40-0ACA-422E-A8ED-08DFAC950AE2}"/>
    <cellStyle name="20% - Accent1 2 2 9 3" xfId="18224" xr:uid="{F0332C47-3C3E-4C69-B7F4-47368AB8316B}"/>
    <cellStyle name="20% - Accent1 2 3" xfId="5" xr:uid="{00000000-0005-0000-0000-00002B000000}"/>
    <cellStyle name="20% - Accent1 2 3 10" xfId="9617" xr:uid="{9258CA2A-AE50-4E05-A7BA-9ED0CB904213}"/>
    <cellStyle name="20% - Accent1 2 3 2" xfId="574" xr:uid="{00000000-0005-0000-0000-00002C000000}"/>
    <cellStyle name="20% - Accent1 2 3 2 2" xfId="2845" xr:uid="{00000000-0005-0000-0000-00002D000000}"/>
    <cellStyle name="20% - Accent1 2 3 2 2 2" xfId="7067" xr:uid="{00000000-0005-0000-0000-00002E000000}"/>
    <cellStyle name="20% - Accent1 2 3 2 2 2 2" xfId="25692" xr:uid="{E3CD02DC-4D67-41F6-A55A-1431A61CC8B1}"/>
    <cellStyle name="20% - Accent1 2 3 2 2 2 3" xfId="16393" xr:uid="{4CB66AC4-F54C-4485-B897-2E26239500B5}"/>
    <cellStyle name="20% - Accent1 2 3 2 2 3" xfId="21475" xr:uid="{1626BECA-0121-4A5C-8A23-7039C31ECFC1}"/>
    <cellStyle name="20% - Accent1 2 3 2 2 4" xfId="12176" xr:uid="{85252994-6DFF-4C59-B26C-39D0EF46E04E}"/>
    <cellStyle name="20% - Accent1 2 3 2 3" xfId="4922" xr:uid="{00000000-0005-0000-0000-00002F000000}"/>
    <cellStyle name="20% - Accent1 2 3 2 3 2" xfId="23547" xr:uid="{C22C66C8-DC91-4778-886B-020C21AFCA10}"/>
    <cellStyle name="20% - Accent1 2 3 2 3 3" xfId="14248" xr:uid="{2FFB3FAF-7AF1-464A-9BF4-50721C2D52F0}"/>
    <cellStyle name="20% - Accent1 2 3 2 4" xfId="9429" xr:uid="{CCD4BD61-3143-497B-A316-8024A8762A6C}"/>
    <cellStyle name="20% - Accent1 2 3 2 4 2" xfId="28043" xr:uid="{0244FD39-3C6B-4138-8424-121673595EC0}"/>
    <cellStyle name="20% - Accent1 2 3 2 4 3" xfId="18744" xr:uid="{35DA99D4-EA2E-49A4-AF3D-38A3757868FF}"/>
    <cellStyle name="20% - Accent1 2 3 2 5" xfId="19330" xr:uid="{C4706830-CEEC-4036-962D-0F9E1187F40E}"/>
    <cellStyle name="20% - Accent1 2 3 2 6" xfId="10031" xr:uid="{49B515D9-18FC-4D78-A09B-B00613CB809D}"/>
    <cellStyle name="20% - Accent1 2 3 3" xfId="1027" xr:uid="{00000000-0005-0000-0000-000030000000}"/>
    <cellStyle name="20% - Accent1 2 3 3 2" xfId="3258" xr:uid="{00000000-0005-0000-0000-000031000000}"/>
    <cellStyle name="20% - Accent1 2 3 3 2 2" xfId="7480" xr:uid="{00000000-0005-0000-0000-000032000000}"/>
    <cellStyle name="20% - Accent1 2 3 3 2 2 2" xfId="26105" xr:uid="{08C75F3B-B72D-44BB-9A4F-2376A686D603}"/>
    <cellStyle name="20% - Accent1 2 3 3 2 2 3" xfId="16806" xr:uid="{D4138471-8813-4CA5-A3C7-06AD37E55FC3}"/>
    <cellStyle name="20% - Accent1 2 3 3 2 3" xfId="21888" xr:uid="{143E877E-EB49-4D2F-9588-A159F784C423}"/>
    <cellStyle name="20% - Accent1 2 3 3 2 4" xfId="12589" xr:uid="{3773D0A1-69BC-440C-9535-4E7FA72B3EF0}"/>
    <cellStyle name="20% - Accent1 2 3 3 3" xfId="5335" xr:uid="{00000000-0005-0000-0000-000033000000}"/>
    <cellStyle name="20% - Accent1 2 3 3 3 2" xfId="23960" xr:uid="{ABC800B8-41A5-4405-9C9D-FB9F62B327B1}"/>
    <cellStyle name="20% - Accent1 2 3 3 3 3" xfId="14661" xr:uid="{DE5DED66-8662-416B-8934-A4F4FD134E93}"/>
    <cellStyle name="20% - Accent1 2 3 3 4" xfId="19743" xr:uid="{988748B7-2A69-4534-A9FE-97A0E083F86E}"/>
    <cellStyle name="20% - Accent1 2 3 3 5" xfId="10444" xr:uid="{BCB8AE58-462A-4B0C-B11D-01F09A76249E}"/>
    <cellStyle name="20% - Accent1 2 3 4" xfId="1441" xr:uid="{00000000-0005-0000-0000-000034000000}"/>
    <cellStyle name="20% - Accent1 2 3 4 2" xfId="3671" xr:uid="{00000000-0005-0000-0000-000035000000}"/>
    <cellStyle name="20% - Accent1 2 3 4 2 2" xfId="7893" xr:uid="{00000000-0005-0000-0000-000036000000}"/>
    <cellStyle name="20% - Accent1 2 3 4 2 2 2" xfId="26518" xr:uid="{F9F0349D-6B7E-4E6E-9DB6-DF0548F491D3}"/>
    <cellStyle name="20% - Accent1 2 3 4 2 2 3" xfId="17219" xr:uid="{68E7AF95-1A9B-4B3C-9172-371B6BAC36AE}"/>
    <cellStyle name="20% - Accent1 2 3 4 2 3" xfId="22301" xr:uid="{6AEDA725-DAE1-44D3-9201-FA1F63EF5E52}"/>
    <cellStyle name="20% - Accent1 2 3 4 2 4" xfId="13002" xr:uid="{A35262E9-3B5D-40A3-815B-E3B84199A045}"/>
    <cellStyle name="20% - Accent1 2 3 4 3" xfId="5748" xr:uid="{00000000-0005-0000-0000-000037000000}"/>
    <cellStyle name="20% - Accent1 2 3 4 3 2" xfId="24373" xr:uid="{6021503F-D580-4E19-8C21-17E9923DF8BB}"/>
    <cellStyle name="20% - Accent1 2 3 4 3 3" xfId="15074" xr:uid="{F89195A1-D1E3-4DF8-81DA-6C2EA6E6168C}"/>
    <cellStyle name="20% - Accent1 2 3 4 4" xfId="20156" xr:uid="{3BBD3803-6AB8-4B5E-9653-0A4151659D1A}"/>
    <cellStyle name="20% - Accent1 2 3 4 5" xfId="10857" xr:uid="{92EE1D68-0042-4E4B-B610-F19F17271978}"/>
    <cellStyle name="20% - Accent1 2 3 5" xfId="1855" xr:uid="{00000000-0005-0000-0000-000038000000}"/>
    <cellStyle name="20% - Accent1 2 3 5 2" xfId="4084" xr:uid="{00000000-0005-0000-0000-000039000000}"/>
    <cellStyle name="20% - Accent1 2 3 5 2 2" xfId="8306" xr:uid="{00000000-0005-0000-0000-00003A000000}"/>
    <cellStyle name="20% - Accent1 2 3 5 2 2 2" xfId="26931" xr:uid="{80735FEA-1FB0-4D58-B08E-8415E4DDCC8E}"/>
    <cellStyle name="20% - Accent1 2 3 5 2 2 3" xfId="17632" xr:uid="{536DED1D-ECDD-4F41-9041-85FE4815DBDC}"/>
    <cellStyle name="20% - Accent1 2 3 5 2 3" xfId="22714" xr:uid="{2953A7F0-2867-4DF1-B652-9D2504F2FDAB}"/>
    <cellStyle name="20% - Accent1 2 3 5 2 4" xfId="13415" xr:uid="{E9623C15-4616-4D69-B28E-8ABE268C0C12}"/>
    <cellStyle name="20% - Accent1 2 3 5 3" xfId="6161" xr:uid="{00000000-0005-0000-0000-00003B000000}"/>
    <cellStyle name="20% - Accent1 2 3 5 3 2" xfId="24786" xr:uid="{36A8A3D6-15CD-46A9-95E9-AD0D741C9E68}"/>
    <cellStyle name="20% - Accent1 2 3 5 3 3" xfId="15487" xr:uid="{AF2127F0-1A0C-4008-85A1-7048AF8F7CDB}"/>
    <cellStyle name="20% - Accent1 2 3 5 4" xfId="20569" xr:uid="{4E25D139-23F5-441C-9295-1FC324F85448}"/>
    <cellStyle name="20% - Accent1 2 3 5 5" xfId="11270" xr:uid="{CC2C5AB0-D9EA-4F73-9BBB-16DD233F7802}"/>
    <cellStyle name="20% - Accent1 2 3 6" xfId="2268" xr:uid="{00000000-0005-0000-0000-00003C000000}"/>
    <cellStyle name="20% - Accent1 2 3 6 2" xfId="6574" xr:uid="{00000000-0005-0000-0000-00003D000000}"/>
    <cellStyle name="20% - Accent1 2 3 6 2 2" xfId="25199" xr:uid="{4C76A49C-431F-4B10-AD95-F43B8CD312C8}"/>
    <cellStyle name="20% - Accent1 2 3 6 2 3" xfId="15900" xr:uid="{37DB1DBB-AAF9-4CA5-85AE-0E75C1CFF990}"/>
    <cellStyle name="20% - Accent1 2 3 6 3" xfId="20982" xr:uid="{E3A4EC2F-695B-482B-8B56-5FAA9B86A3D4}"/>
    <cellStyle name="20% - Accent1 2 3 6 4" xfId="11683" xr:uid="{9FFC2D62-20AF-4220-9F01-EA59EB525E18}"/>
    <cellStyle name="20% - Accent1 2 3 7" xfId="4508" xr:uid="{00000000-0005-0000-0000-00003E000000}"/>
    <cellStyle name="20% - Accent1 2 3 7 2" xfId="23133" xr:uid="{F42E4CA4-7095-48E7-921A-C08AB2540319}"/>
    <cellStyle name="20% - Accent1 2 3 7 3" xfId="13834" xr:uid="{4CEBC3B9-0479-42C3-AE15-057B9ACFC06B}"/>
    <cellStyle name="20% - Accent1 2 3 8" xfId="9004" xr:uid="{14A9C135-BB7B-44DD-97E1-B6B10773DEE2}"/>
    <cellStyle name="20% - Accent1 2 3 8 2" xfId="27627" xr:uid="{2EF0F760-F592-47EE-B728-9A189C274592}"/>
    <cellStyle name="20% - Accent1 2 3 8 3" xfId="18328" xr:uid="{D30601E8-FDA6-4CB4-A02E-40CA3F623428}"/>
    <cellStyle name="20% - Accent1 2 3 9" xfId="18916" xr:uid="{C0C1F964-81C1-4E2E-A2F2-A144E29E647D}"/>
    <cellStyle name="20% - Accent1 2 4" xfId="571" xr:uid="{00000000-0005-0000-0000-00003F000000}"/>
    <cellStyle name="20% - Accent1 2 4 2" xfId="2842" xr:uid="{00000000-0005-0000-0000-000040000000}"/>
    <cellStyle name="20% - Accent1 2 4 2 2" xfId="7064" xr:uid="{00000000-0005-0000-0000-000041000000}"/>
    <cellStyle name="20% - Accent1 2 4 2 2 2" xfId="25689" xr:uid="{D7BDDCC8-1505-4B25-BBAB-C904671A2F8A}"/>
    <cellStyle name="20% - Accent1 2 4 2 2 3" xfId="16390" xr:uid="{11535EE4-4073-4159-A56B-77E82EEF4EE7}"/>
    <cellStyle name="20% - Accent1 2 4 2 3" xfId="21472" xr:uid="{FAA61EC5-8C47-416D-8084-8A6D35B0752B}"/>
    <cellStyle name="20% - Accent1 2 4 2 4" xfId="12173" xr:uid="{9DD147FD-B5C4-4F5A-83F8-E70A157CFF6D}"/>
    <cellStyle name="20% - Accent1 2 4 3" xfId="4919" xr:uid="{00000000-0005-0000-0000-000042000000}"/>
    <cellStyle name="20% - Accent1 2 4 3 2" xfId="23544" xr:uid="{2947CD63-7317-480C-991E-8B109F14840C}"/>
    <cellStyle name="20% - Accent1 2 4 3 3" xfId="14245" xr:uid="{30B02217-C192-45A5-B9C6-F765D839DB8F}"/>
    <cellStyle name="20% - Accent1 2 4 4" xfId="9221" xr:uid="{11532E3F-E59C-4FF7-9F45-291A17A69435}"/>
    <cellStyle name="20% - Accent1 2 4 4 2" xfId="27836" xr:uid="{E477F527-8071-4C99-BAB8-0FAF7F084211}"/>
    <cellStyle name="20% - Accent1 2 4 4 3" xfId="18537" xr:uid="{B9FC7477-1F56-4109-9BDB-21BE478E8A11}"/>
    <cellStyle name="20% - Accent1 2 4 5" xfId="19327" xr:uid="{4B7BB3FA-EE23-43F9-A580-5EE4F119D76A}"/>
    <cellStyle name="20% - Accent1 2 4 6" xfId="10028" xr:uid="{F0798C04-6EA7-40BF-BF87-4808C7B8440D}"/>
    <cellStyle name="20% - Accent1 2 5" xfId="1024" xr:uid="{00000000-0005-0000-0000-000043000000}"/>
    <cellStyle name="20% - Accent1 2 5 2" xfId="3255" xr:uid="{00000000-0005-0000-0000-000044000000}"/>
    <cellStyle name="20% - Accent1 2 5 2 2" xfId="7477" xr:uid="{00000000-0005-0000-0000-000045000000}"/>
    <cellStyle name="20% - Accent1 2 5 2 2 2" xfId="26102" xr:uid="{FAE52A79-45A1-4E8B-A487-B26CA48A6217}"/>
    <cellStyle name="20% - Accent1 2 5 2 2 3" xfId="16803" xr:uid="{CF63E5C4-162D-4534-A376-8F71916B6B54}"/>
    <cellStyle name="20% - Accent1 2 5 2 3" xfId="21885" xr:uid="{66A0AA1C-A6B9-4B9E-BB2D-8E07663688DB}"/>
    <cellStyle name="20% - Accent1 2 5 2 4" xfId="12586" xr:uid="{3B51E3F8-4DE3-4A9B-91D4-13233F403DAF}"/>
    <cellStyle name="20% - Accent1 2 5 3" xfId="5332" xr:uid="{00000000-0005-0000-0000-000046000000}"/>
    <cellStyle name="20% - Accent1 2 5 3 2" xfId="23957" xr:uid="{E4CD67CA-A572-491E-B560-CF75F32FE0CC}"/>
    <cellStyle name="20% - Accent1 2 5 3 3" xfId="14658" xr:uid="{F84DA110-0465-4384-957F-77493824A06D}"/>
    <cellStyle name="20% - Accent1 2 5 4" xfId="19740" xr:uid="{A80663D0-45F1-4C66-B654-D6036CDD90DD}"/>
    <cellStyle name="20% - Accent1 2 5 5" xfId="10441" xr:uid="{37AF1E21-434A-428D-9F4A-BA6D72CF648E}"/>
    <cellStyle name="20% - Accent1 2 6" xfId="1438" xr:uid="{00000000-0005-0000-0000-000047000000}"/>
    <cellStyle name="20% - Accent1 2 6 2" xfId="3668" xr:uid="{00000000-0005-0000-0000-000048000000}"/>
    <cellStyle name="20% - Accent1 2 6 2 2" xfId="7890" xr:uid="{00000000-0005-0000-0000-000049000000}"/>
    <cellStyle name="20% - Accent1 2 6 2 2 2" xfId="26515" xr:uid="{E666565E-232A-441E-958D-9A10C5169B48}"/>
    <cellStyle name="20% - Accent1 2 6 2 2 3" xfId="17216" xr:uid="{4548BC03-E465-4AEF-86CD-D7E9047C8AC4}"/>
    <cellStyle name="20% - Accent1 2 6 2 3" xfId="22298" xr:uid="{8E82DB02-C47F-4A14-A309-FA4AE40D432C}"/>
    <cellStyle name="20% - Accent1 2 6 2 4" xfId="12999" xr:uid="{3738A8B4-A657-4B49-95AE-154C484E13A3}"/>
    <cellStyle name="20% - Accent1 2 6 3" xfId="5745" xr:uid="{00000000-0005-0000-0000-00004A000000}"/>
    <cellStyle name="20% - Accent1 2 6 3 2" xfId="24370" xr:uid="{367A7C46-7B21-4D19-BEE4-C696ABF5BB24}"/>
    <cellStyle name="20% - Accent1 2 6 3 3" xfId="15071" xr:uid="{50245C8B-CE2F-48F7-9A88-F774A9194C7C}"/>
    <cellStyle name="20% - Accent1 2 6 4" xfId="20153" xr:uid="{972F93E3-EB66-4DEA-85FE-9742FAFFE239}"/>
    <cellStyle name="20% - Accent1 2 6 5" xfId="10854" xr:uid="{547310D7-B455-41AD-AAAB-573E86BC8E68}"/>
    <cellStyle name="20% - Accent1 2 7" xfId="1852" xr:uid="{00000000-0005-0000-0000-00004B000000}"/>
    <cellStyle name="20% - Accent1 2 7 2" xfId="4081" xr:uid="{00000000-0005-0000-0000-00004C000000}"/>
    <cellStyle name="20% - Accent1 2 7 2 2" xfId="8303" xr:uid="{00000000-0005-0000-0000-00004D000000}"/>
    <cellStyle name="20% - Accent1 2 7 2 2 2" xfId="26928" xr:uid="{24808EF4-B82F-443C-A120-51557CE4323B}"/>
    <cellStyle name="20% - Accent1 2 7 2 2 3" xfId="17629" xr:uid="{DAE539BE-9B45-4D78-9041-3CA5F2A6F47D}"/>
    <cellStyle name="20% - Accent1 2 7 2 3" xfId="22711" xr:uid="{C38B648F-383F-4270-9BB2-E5B061FA8095}"/>
    <cellStyle name="20% - Accent1 2 7 2 4" xfId="13412" xr:uid="{2316DE0D-DCB8-4738-AB19-05FAF9813360}"/>
    <cellStyle name="20% - Accent1 2 7 3" xfId="6158" xr:uid="{00000000-0005-0000-0000-00004E000000}"/>
    <cellStyle name="20% - Accent1 2 7 3 2" xfId="24783" xr:uid="{BFC87406-5075-48C5-BF75-6464BB607798}"/>
    <cellStyle name="20% - Accent1 2 7 3 3" xfId="15484" xr:uid="{ACFEA56E-3D44-4CC9-B5DE-DF5E658608CD}"/>
    <cellStyle name="20% - Accent1 2 7 4" xfId="20566" xr:uid="{1E9CCD88-1431-4219-8405-13B98C5BA711}"/>
    <cellStyle name="20% - Accent1 2 7 5" xfId="11267" xr:uid="{06D6A16A-701F-43D9-BE2A-4202FB9CE50A}"/>
    <cellStyle name="20% - Accent1 2 8" xfId="2265" xr:uid="{00000000-0005-0000-0000-00004F000000}"/>
    <cellStyle name="20% - Accent1 2 8 2" xfId="6571" xr:uid="{00000000-0005-0000-0000-000050000000}"/>
    <cellStyle name="20% - Accent1 2 8 2 2" xfId="25196" xr:uid="{AEFCD6FE-81A5-400A-B7F0-1AF2F1A0ED23}"/>
    <cellStyle name="20% - Accent1 2 8 2 3" xfId="15897" xr:uid="{0B9EEADE-6A3D-4316-B764-203AB3A6AF3C}"/>
    <cellStyle name="20% - Accent1 2 8 3" xfId="20979" xr:uid="{7FD6F47B-C8E2-4731-BB21-78A05535BB89}"/>
    <cellStyle name="20% - Accent1 2 8 4" xfId="11680" xr:uid="{959C8425-FE5C-4852-AEFE-B6E3E3463034}"/>
    <cellStyle name="20% - Accent1 2 9" xfId="4505" xr:uid="{00000000-0005-0000-0000-000051000000}"/>
    <cellStyle name="20% - Accent1 2 9 2" xfId="23130" xr:uid="{90B793BC-1C89-4396-8CD8-516498BBD9F8}"/>
    <cellStyle name="20% - Accent1 2 9 3" xfId="13831" xr:uid="{B178871E-2A13-4001-9D05-DAC4C2E90304}"/>
    <cellStyle name="20% - Accent1 3" xfId="6" xr:uid="{00000000-0005-0000-0000-000052000000}"/>
    <cellStyle name="20% - Accent1 3 10" xfId="18917" xr:uid="{27B41462-9017-48C0-A39A-F64BDB29BEA7}"/>
    <cellStyle name="20% - Accent1 3 11" xfId="9618" xr:uid="{0186290D-61B8-47C8-A702-60E54646F3E6}"/>
    <cellStyle name="20% - Accent1 3 2" xfId="7" xr:uid="{00000000-0005-0000-0000-000053000000}"/>
    <cellStyle name="20% - Accent1 3 2 10" xfId="9619" xr:uid="{3B876697-23FD-44BE-BD9C-1EF4014307EC}"/>
    <cellStyle name="20% - Accent1 3 2 2" xfId="576" xr:uid="{00000000-0005-0000-0000-000054000000}"/>
    <cellStyle name="20% - Accent1 3 2 2 2" xfId="2847" xr:uid="{00000000-0005-0000-0000-000055000000}"/>
    <cellStyle name="20% - Accent1 3 2 2 2 2" xfId="7069" xr:uid="{00000000-0005-0000-0000-000056000000}"/>
    <cellStyle name="20% - Accent1 3 2 2 2 2 2" xfId="25694" xr:uid="{D4707538-F077-4DE1-8D1A-D3288B374B24}"/>
    <cellStyle name="20% - Accent1 3 2 2 2 2 3" xfId="16395" xr:uid="{9DD33582-21F1-495C-BC52-5B2E0903A5B5}"/>
    <cellStyle name="20% - Accent1 3 2 2 2 3" xfId="21477" xr:uid="{FEBB43A3-8503-49A9-B0E3-273AC0DDF898}"/>
    <cellStyle name="20% - Accent1 3 2 2 2 4" xfId="12178" xr:uid="{58936A4F-570A-4173-9913-CBA3C54FF5B6}"/>
    <cellStyle name="20% - Accent1 3 2 2 3" xfId="4924" xr:uid="{00000000-0005-0000-0000-000057000000}"/>
    <cellStyle name="20% - Accent1 3 2 2 3 2" xfId="23549" xr:uid="{D49BD97B-4A50-4D56-AAD7-52E019F407C1}"/>
    <cellStyle name="20% - Accent1 3 2 2 3 3" xfId="14250" xr:uid="{84AFB253-DB6E-426F-99F1-A80EDADD6E59}"/>
    <cellStyle name="20% - Accent1 3 2 2 4" xfId="9493" xr:uid="{FCEFE71D-2A04-4899-B62A-B225DBF7F0BF}"/>
    <cellStyle name="20% - Accent1 3 2 2 4 2" xfId="28107" xr:uid="{6EBBEDC6-673C-4E80-9DCE-595FFF1BB0BB}"/>
    <cellStyle name="20% - Accent1 3 2 2 4 3" xfId="18808" xr:uid="{5CAC37E1-CFA7-444B-B87B-BF54F3A6EE23}"/>
    <cellStyle name="20% - Accent1 3 2 2 5" xfId="19332" xr:uid="{C9088E4C-1767-4769-B91D-79062D58C366}"/>
    <cellStyle name="20% - Accent1 3 2 2 6" xfId="10033" xr:uid="{9353C04E-8181-40CB-B2E6-DB10446A19D1}"/>
    <cellStyle name="20% - Accent1 3 2 3" xfId="1029" xr:uid="{00000000-0005-0000-0000-000058000000}"/>
    <cellStyle name="20% - Accent1 3 2 3 2" xfId="3260" xr:uid="{00000000-0005-0000-0000-000059000000}"/>
    <cellStyle name="20% - Accent1 3 2 3 2 2" xfId="7482" xr:uid="{00000000-0005-0000-0000-00005A000000}"/>
    <cellStyle name="20% - Accent1 3 2 3 2 2 2" xfId="26107" xr:uid="{5EB74966-04C4-478B-AF54-7962DCB14D53}"/>
    <cellStyle name="20% - Accent1 3 2 3 2 2 3" xfId="16808" xr:uid="{7D9A8BFE-F5D3-465A-9AA7-E690E4B4C5F9}"/>
    <cellStyle name="20% - Accent1 3 2 3 2 3" xfId="21890" xr:uid="{115BEF68-27C2-4423-866B-D00BA92694DF}"/>
    <cellStyle name="20% - Accent1 3 2 3 2 4" xfId="12591" xr:uid="{E5E5538B-3728-4FA7-97BA-02CFC79EF140}"/>
    <cellStyle name="20% - Accent1 3 2 3 3" xfId="5337" xr:uid="{00000000-0005-0000-0000-00005B000000}"/>
    <cellStyle name="20% - Accent1 3 2 3 3 2" xfId="23962" xr:uid="{A31EFE30-D079-476E-B428-B93E023BEEAF}"/>
    <cellStyle name="20% - Accent1 3 2 3 3 3" xfId="14663" xr:uid="{37DA2732-C3BB-45C8-99AA-D0CDAC951024}"/>
    <cellStyle name="20% - Accent1 3 2 3 4" xfId="19745" xr:uid="{3C1ECFBA-4B95-45D3-B6A1-9B349E0E0AD2}"/>
    <cellStyle name="20% - Accent1 3 2 3 5" xfId="10446" xr:uid="{94E0A87A-CD38-41D4-9B94-DD36AC103E9A}"/>
    <cellStyle name="20% - Accent1 3 2 4" xfId="1443" xr:uid="{00000000-0005-0000-0000-00005C000000}"/>
    <cellStyle name="20% - Accent1 3 2 4 2" xfId="3673" xr:uid="{00000000-0005-0000-0000-00005D000000}"/>
    <cellStyle name="20% - Accent1 3 2 4 2 2" xfId="7895" xr:uid="{00000000-0005-0000-0000-00005E000000}"/>
    <cellStyle name="20% - Accent1 3 2 4 2 2 2" xfId="26520" xr:uid="{B5F3BAA0-4B51-4432-ACCC-C9DBE7BF1C96}"/>
    <cellStyle name="20% - Accent1 3 2 4 2 2 3" xfId="17221" xr:uid="{5CFA7530-A70D-43D1-B1E1-7284BEAB304B}"/>
    <cellStyle name="20% - Accent1 3 2 4 2 3" xfId="22303" xr:uid="{479BD98B-5E6D-4323-A478-60DB491023A1}"/>
    <cellStyle name="20% - Accent1 3 2 4 2 4" xfId="13004" xr:uid="{61834C1C-9E21-4B11-9C38-D0318D4F7246}"/>
    <cellStyle name="20% - Accent1 3 2 4 3" xfId="5750" xr:uid="{00000000-0005-0000-0000-00005F000000}"/>
    <cellStyle name="20% - Accent1 3 2 4 3 2" xfId="24375" xr:uid="{AD91B7E3-60C3-4F33-8888-40DAEDAAA0E2}"/>
    <cellStyle name="20% - Accent1 3 2 4 3 3" xfId="15076" xr:uid="{5A522E16-31B4-4558-8191-AD16308C813E}"/>
    <cellStyle name="20% - Accent1 3 2 4 4" xfId="20158" xr:uid="{74ABBB26-F6AA-41FC-9756-7B905C5AB662}"/>
    <cellStyle name="20% - Accent1 3 2 4 5" xfId="10859" xr:uid="{BC177887-824F-4D32-9AFD-0A5FDB424DFE}"/>
    <cellStyle name="20% - Accent1 3 2 5" xfId="1857" xr:uid="{00000000-0005-0000-0000-000060000000}"/>
    <cellStyle name="20% - Accent1 3 2 5 2" xfId="4086" xr:uid="{00000000-0005-0000-0000-000061000000}"/>
    <cellStyle name="20% - Accent1 3 2 5 2 2" xfId="8308" xr:uid="{00000000-0005-0000-0000-000062000000}"/>
    <cellStyle name="20% - Accent1 3 2 5 2 2 2" xfId="26933" xr:uid="{341D45A4-387B-4300-8B6B-F4D6ED66FB4B}"/>
    <cellStyle name="20% - Accent1 3 2 5 2 2 3" xfId="17634" xr:uid="{662C6F87-8DE6-4D0E-B0A0-90C027CE3355}"/>
    <cellStyle name="20% - Accent1 3 2 5 2 3" xfId="22716" xr:uid="{E0362D8D-2846-4797-8C6F-E7B1CA6DF652}"/>
    <cellStyle name="20% - Accent1 3 2 5 2 4" xfId="13417" xr:uid="{7636D5FF-1F8E-4E41-8FEC-BC060084288E}"/>
    <cellStyle name="20% - Accent1 3 2 5 3" xfId="6163" xr:uid="{00000000-0005-0000-0000-000063000000}"/>
    <cellStyle name="20% - Accent1 3 2 5 3 2" xfId="24788" xr:uid="{4B7B594F-F53E-4121-9EFF-4ACD0BA563D8}"/>
    <cellStyle name="20% - Accent1 3 2 5 3 3" xfId="15489" xr:uid="{7F1A6BDE-63FD-4F73-8F7D-B7CFC491FC92}"/>
    <cellStyle name="20% - Accent1 3 2 5 4" xfId="20571" xr:uid="{C3753B6B-5A91-4DA5-919B-43B4071C8182}"/>
    <cellStyle name="20% - Accent1 3 2 5 5" xfId="11272" xr:uid="{F7B40C77-8596-4899-95C2-FF6F767E3949}"/>
    <cellStyle name="20% - Accent1 3 2 6" xfId="2270" xr:uid="{00000000-0005-0000-0000-000064000000}"/>
    <cellStyle name="20% - Accent1 3 2 6 2" xfId="6576" xr:uid="{00000000-0005-0000-0000-000065000000}"/>
    <cellStyle name="20% - Accent1 3 2 6 2 2" xfId="25201" xr:uid="{C8EB0375-9CDD-4BA3-9F7F-A005340DDEC8}"/>
    <cellStyle name="20% - Accent1 3 2 6 2 3" xfId="15902" xr:uid="{28AFB67E-DFE1-42A8-A029-CFEFC6E95C8C}"/>
    <cellStyle name="20% - Accent1 3 2 6 3" xfId="20984" xr:uid="{B52A4283-499D-41E3-AA2E-1B0B3269DB6A}"/>
    <cellStyle name="20% - Accent1 3 2 6 4" xfId="11685" xr:uid="{14439F9B-65B7-44F6-9D93-277D4C4751BD}"/>
    <cellStyle name="20% - Accent1 3 2 7" xfId="4510" xr:uid="{00000000-0005-0000-0000-000066000000}"/>
    <cellStyle name="20% - Accent1 3 2 7 2" xfId="23135" xr:uid="{B2C36CAD-906F-4216-9771-1AA471BC321E}"/>
    <cellStyle name="20% - Accent1 3 2 7 3" xfId="13836" xr:uid="{1F1665AA-D502-4CC8-8B90-6D84082E5455}"/>
    <cellStyle name="20% - Accent1 3 2 8" xfId="9068" xr:uid="{354460C9-AD38-4FCD-882B-4DFB81DE5890}"/>
    <cellStyle name="20% - Accent1 3 2 8 2" xfId="27691" xr:uid="{ACA98180-7493-4D8E-BDCE-BEBCB031C7EB}"/>
    <cellStyle name="20% - Accent1 3 2 8 3" xfId="18392" xr:uid="{44AE28FE-52E0-441D-B122-7250D5507D0D}"/>
    <cellStyle name="20% - Accent1 3 2 9" xfId="18918" xr:uid="{5ABBB744-D6D4-4F83-96A5-6D8CA535C298}"/>
    <cellStyle name="20% - Accent1 3 3" xfId="575" xr:uid="{00000000-0005-0000-0000-000067000000}"/>
    <cellStyle name="20% - Accent1 3 3 2" xfId="2846" xr:uid="{00000000-0005-0000-0000-000068000000}"/>
    <cellStyle name="20% - Accent1 3 3 2 2" xfId="7068" xr:uid="{00000000-0005-0000-0000-000069000000}"/>
    <cellStyle name="20% - Accent1 3 3 2 2 2" xfId="25693" xr:uid="{A369F75A-98EF-498D-A907-FCD51465DAD9}"/>
    <cellStyle name="20% - Accent1 3 3 2 2 3" xfId="16394" xr:uid="{E702A084-2958-4769-987C-57D42E947E43}"/>
    <cellStyle name="20% - Accent1 3 3 2 3" xfId="21476" xr:uid="{FFFC1297-966C-4814-91A5-366AFAB68082}"/>
    <cellStyle name="20% - Accent1 3 3 2 4" xfId="12177" xr:uid="{FBE1F510-A1F4-4D99-991B-4F64092F8A0F}"/>
    <cellStyle name="20% - Accent1 3 3 3" xfId="4923" xr:uid="{00000000-0005-0000-0000-00006A000000}"/>
    <cellStyle name="20% - Accent1 3 3 3 2" xfId="23548" xr:uid="{8A302C86-9BFE-44AB-985C-A4BD77885BF5}"/>
    <cellStyle name="20% - Accent1 3 3 3 3" xfId="14249" xr:uid="{F277ACF4-FC8C-4AAD-8E58-07652A5AFE0B}"/>
    <cellStyle name="20% - Accent1 3 3 4" xfId="9286" xr:uid="{B5220C4B-EBE7-4AD0-9A24-7F16FA378184}"/>
    <cellStyle name="20% - Accent1 3 3 4 2" xfId="27900" xr:uid="{DFAB93B1-3242-469B-B9DE-0B1EFADE20D6}"/>
    <cellStyle name="20% - Accent1 3 3 4 3" xfId="18601" xr:uid="{7EF391FC-BE9B-4A22-AA80-D88565748F65}"/>
    <cellStyle name="20% - Accent1 3 3 5" xfId="19331" xr:uid="{DE32AED9-9B9D-4423-B441-BACADB6BF129}"/>
    <cellStyle name="20% - Accent1 3 3 6" xfId="10032" xr:uid="{9F34FE06-7C4F-446B-A473-9C6D580A78E5}"/>
    <cellStyle name="20% - Accent1 3 4" xfId="1028" xr:uid="{00000000-0005-0000-0000-00006B000000}"/>
    <cellStyle name="20% - Accent1 3 4 2" xfId="3259" xr:uid="{00000000-0005-0000-0000-00006C000000}"/>
    <cellStyle name="20% - Accent1 3 4 2 2" xfId="7481" xr:uid="{00000000-0005-0000-0000-00006D000000}"/>
    <cellStyle name="20% - Accent1 3 4 2 2 2" xfId="26106" xr:uid="{3A8CC966-7639-4D2F-8EBA-804EE9A9762D}"/>
    <cellStyle name="20% - Accent1 3 4 2 2 3" xfId="16807" xr:uid="{2F29910A-448C-4E50-A608-D9D72D60AAC9}"/>
    <cellStyle name="20% - Accent1 3 4 2 3" xfId="21889" xr:uid="{AEB79B8F-8B14-4DEB-97FC-F855F8DF14EE}"/>
    <cellStyle name="20% - Accent1 3 4 2 4" xfId="12590" xr:uid="{801A6819-CDA1-425E-81C5-43309CBB3042}"/>
    <cellStyle name="20% - Accent1 3 4 3" xfId="5336" xr:uid="{00000000-0005-0000-0000-00006E000000}"/>
    <cellStyle name="20% - Accent1 3 4 3 2" xfId="23961" xr:uid="{AF4CAEC3-F609-4851-8ACA-77BF63BE2273}"/>
    <cellStyle name="20% - Accent1 3 4 3 3" xfId="14662" xr:uid="{9D9D8CDA-A1CA-4FC1-8943-C137CF906EEE}"/>
    <cellStyle name="20% - Accent1 3 4 4" xfId="19744" xr:uid="{9500F1AD-5854-4BF5-9B23-7D2ABA4C4335}"/>
    <cellStyle name="20% - Accent1 3 4 5" xfId="10445" xr:uid="{336A46F3-E2BC-4529-A33A-B68C6FC2137F}"/>
    <cellStyle name="20% - Accent1 3 5" xfId="1442" xr:uid="{00000000-0005-0000-0000-00006F000000}"/>
    <cellStyle name="20% - Accent1 3 5 2" xfId="3672" xr:uid="{00000000-0005-0000-0000-000070000000}"/>
    <cellStyle name="20% - Accent1 3 5 2 2" xfId="7894" xr:uid="{00000000-0005-0000-0000-000071000000}"/>
    <cellStyle name="20% - Accent1 3 5 2 2 2" xfId="26519" xr:uid="{3AF6D404-0E18-4B4F-AEF6-1B9559F85259}"/>
    <cellStyle name="20% - Accent1 3 5 2 2 3" xfId="17220" xr:uid="{519738F6-BE13-4571-8F10-5D8392AD3330}"/>
    <cellStyle name="20% - Accent1 3 5 2 3" xfId="22302" xr:uid="{32D7D2FC-39BA-456A-BB42-F130CE698422}"/>
    <cellStyle name="20% - Accent1 3 5 2 4" xfId="13003" xr:uid="{8608FC18-373A-4C3B-814E-60C37DBD3D91}"/>
    <cellStyle name="20% - Accent1 3 5 3" xfId="5749" xr:uid="{00000000-0005-0000-0000-000072000000}"/>
    <cellStyle name="20% - Accent1 3 5 3 2" xfId="24374" xr:uid="{66A91DAB-631D-49B1-A914-D7F892342112}"/>
    <cellStyle name="20% - Accent1 3 5 3 3" xfId="15075" xr:uid="{26C04E55-E32D-41F5-9462-110A3E1806B6}"/>
    <cellStyle name="20% - Accent1 3 5 4" xfId="20157" xr:uid="{91D57328-4381-4AED-9D3D-86421325421F}"/>
    <cellStyle name="20% - Accent1 3 5 5" xfId="10858" xr:uid="{D731B784-C57E-4A49-BF0B-617FA33FF59C}"/>
    <cellStyle name="20% - Accent1 3 6" xfId="1856" xr:uid="{00000000-0005-0000-0000-000073000000}"/>
    <cellStyle name="20% - Accent1 3 6 2" xfId="4085" xr:uid="{00000000-0005-0000-0000-000074000000}"/>
    <cellStyle name="20% - Accent1 3 6 2 2" xfId="8307" xr:uid="{00000000-0005-0000-0000-000075000000}"/>
    <cellStyle name="20% - Accent1 3 6 2 2 2" xfId="26932" xr:uid="{33D99B69-A481-4AB9-9288-5DFBE54FFCA8}"/>
    <cellStyle name="20% - Accent1 3 6 2 2 3" xfId="17633" xr:uid="{2A3A5A19-3048-49B5-A069-058554E2A346}"/>
    <cellStyle name="20% - Accent1 3 6 2 3" xfId="22715" xr:uid="{C8537379-D6ED-4F25-BB20-CD95DBEF55C5}"/>
    <cellStyle name="20% - Accent1 3 6 2 4" xfId="13416" xr:uid="{D5FB1919-0750-42E5-9399-216160968033}"/>
    <cellStyle name="20% - Accent1 3 6 3" xfId="6162" xr:uid="{00000000-0005-0000-0000-000076000000}"/>
    <cellStyle name="20% - Accent1 3 6 3 2" xfId="24787" xr:uid="{0F1EF58B-5BD7-41AA-ADD2-78F2BEADF6E1}"/>
    <cellStyle name="20% - Accent1 3 6 3 3" xfId="15488" xr:uid="{0DF3E3E8-21DD-44A2-9E13-B742EB1D10DA}"/>
    <cellStyle name="20% - Accent1 3 6 4" xfId="20570" xr:uid="{8EB6AC2F-46F2-4E73-B0E1-DA1130886AC0}"/>
    <cellStyle name="20% - Accent1 3 6 5" xfId="11271" xr:uid="{6EF8315E-6224-48E7-96AE-B80343B3067D}"/>
    <cellStyle name="20% - Accent1 3 7" xfId="2269" xr:uid="{00000000-0005-0000-0000-000077000000}"/>
    <cellStyle name="20% - Accent1 3 7 2" xfId="6575" xr:uid="{00000000-0005-0000-0000-000078000000}"/>
    <cellStyle name="20% - Accent1 3 7 2 2" xfId="25200" xr:uid="{92AA2FF5-BF07-4C53-AC41-AA9A106EAD6F}"/>
    <cellStyle name="20% - Accent1 3 7 2 3" xfId="15901" xr:uid="{A81D545C-1B36-4CB3-B214-6914B1F548FB}"/>
    <cellStyle name="20% - Accent1 3 7 3" xfId="20983" xr:uid="{A3E458E5-7BA9-43A3-8418-4D9C24F7CDB7}"/>
    <cellStyle name="20% - Accent1 3 7 4" xfId="11684" xr:uid="{6F88DF09-D6CB-4725-90D0-6645B329072C}"/>
    <cellStyle name="20% - Accent1 3 8" xfId="4509" xr:uid="{00000000-0005-0000-0000-000079000000}"/>
    <cellStyle name="20% - Accent1 3 8 2" xfId="23134" xr:uid="{101EAFA5-60BE-4F36-B1E8-2248CD4A0CAB}"/>
    <cellStyle name="20% - Accent1 3 8 3" xfId="13835" xr:uid="{178054A0-A8F6-4EB5-BA0B-88F6C3AC8431}"/>
    <cellStyle name="20% - Accent1 3 9" xfId="8861" xr:uid="{C1B75176-75E3-4E31-86A7-851E7FD67A9E}"/>
    <cellStyle name="20% - Accent1 3 9 2" xfId="27484" xr:uid="{5756A0E4-02ED-4D78-B63C-6069C9180306}"/>
    <cellStyle name="20% - Accent1 3 9 3" xfId="18185" xr:uid="{54B0263B-5CEF-4F15-BCB2-DFB6F2D9DBEE}"/>
    <cellStyle name="20% - Accent1 4" xfId="8" xr:uid="{00000000-0005-0000-0000-00007A000000}"/>
    <cellStyle name="20% - Accent1 4 10" xfId="9620" xr:uid="{51684A8D-9875-4284-B9CC-74B26E9CC6BB}"/>
    <cellStyle name="20% - Accent1 4 2" xfId="577" xr:uid="{00000000-0005-0000-0000-00007B000000}"/>
    <cellStyle name="20% - Accent1 4 2 2" xfId="2848" xr:uid="{00000000-0005-0000-0000-00007C000000}"/>
    <cellStyle name="20% - Accent1 4 2 2 2" xfId="7070" xr:uid="{00000000-0005-0000-0000-00007D000000}"/>
    <cellStyle name="20% - Accent1 4 2 2 2 2" xfId="25695" xr:uid="{6A9B7EA2-42F5-4EDF-80E8-CE8096BEAD03}"/>
    <cellStyle name="20% - Accent1 4 2 2 2 3" xfId="16396" xr:uid="{303BF3C9-586C-49F4-915A-D86FD9989CA7}"/>
    <cellStyle name="20% - Accent1 4 2 2 3" xfId="21478" xr:uid="{B7FB438F-5596-404F-9B20-57A4CCD2409C}"/>
    <cellStyle name="20% - Accent1 4 2 2 4" xfId="12179" xr:uid="{7CD0885D-6D05-4CE6-85CA-165B215F1F52}"/>
    <cellStyle name="20% - Accent1 4 2 3" xfId="4925" xr:uid="{00000000-0005-0000-0000-00007E000000}"/>
    <cellStyle name="20% - Accent1 4 2 3 2" xfId="23550" xr:uid="{E4B9F730-B892-4193-A3EF-7E416CCF4203}"/>
    <cellStyle name="20% - Accent1 4 2 3 3" xfId="14251" xr:uid="{0DAEE7E4-7B3E-4883-AE70-1176866AE946}"/>
    <cellStyle name="20% - Accent1 4 2 4" xfId="9372" xr:uid="{E6B08341-6F7D-4580-9BCF-4BFC252FAE31}"/>
    <cellStyle name="20% - Accent1 4 2 4 2" xfId="27986" xr:uid="{A92CC557-763D-41B3-B5E8-EFDDA22A31B1}"/>
    <cellStyle name="20% - Accent1 4 2 4 3" xfId="18687" xr:uid="{AFC8750E-2D03-43FC-A3DB-15B1D716AE7F}"/>
    <cellStyle name="20% - Accent1 4 2 5" xfId="19333" xr:uid="{12CB4A09-52A8-4D08-AFD0-29CCD98A1117}"/>
    <cellStyle name="20% - Accent1 4 2 6" xfId="10034" xr:uid="{FCD59193-C47D-40DB-9944-26A0F5AF4D9A}"/>
    <cellStyle name="20% - Accent1 4 3" xfId="1030" xr:uid="{00000000-0005-0000-0000-00007F000000}"/>
    <cellStyle name="20% - Accent1 4 3 2" xfId="3261" xr:uid="{00000000-0005-0000-0000-000080000000}"/>
    <cellStyle name="20% - Accent1 4 3 2 2" xfId="7483" xr:uid="{00000000-0005-0000-0000-000081000000}"/>
    <cellStyle name="20% - Accent1 4 3 2 2 2" xfId="26108" xr:uid="{4FEB4D5E-D373-4114-964C-305013984984}"/>
    <cellStyle name="20% - Accent1 4 3 2 2 3" xfId="16809" xr:uid="{7DE586F8-6B2F-4088-91C8-E21CDFBF89A2}"/>
    <cellStyle name="20% - Accent1 4 3 2 3" xfId="21891" xr:uid="{8AD8A466-A44D-44C7-8178-EE5473E1C0FA}"/>
    <cellStyle name="20% - Accent1 4 3 2 4" xfId="12592" xr:uid="{2A549BC7-C5FE-4145-A7F1-C38088528C01}"/>
    <cellStyle name="20% - Accent1 4 3 3" xfId="5338" xr:uid="{00000000-0005-0000-0000-000082000000}"/>
    <cellStyle name="20% - Accent1 4 3 3 2" xfId="23963" xr:uid="{8559BE30-E581-4862-AE2C-B020D1F40CFC}"/>
    <cellStyle name="20% - Accent1 4 3 3 3" xfId="14664" xr:uid="{2017D12C-9E7F-4D3D-A086-2983F5B5BF7A}"/>
    <cellStyle name="20% - Accent1 4 3 4" xfId="19746" xr:uid="{32A556D1-2520-45E6-A943-8335B66A57E4}"/>
    <cellStyle name="20% - Accent1 4 3 5" xfId="10447" xr:uid="{A907459B-9FFF-47AC-8084-682D98FA0BDD}"/>
    <cellStyle name="20% - Accent1 4 4" xfId="1444" xr:uid="{00000000-0005-0000-0000-000083000000}"/>
    <cellStyle name="20% - Accent1 4 4 2" xfId="3674" xr:uid="{00000000-0005-0000-0000-000084000000}"/>
    <cellStyle name="20% - Accent1 4 4 2 2" xfId="7896" xr:uid="{00000000-0005-0000-0000-000085000000}"/>
    <cellStyle name="20% - Accent1 4 4 2 2 2" xfId="26521" xr:uid="{CBE2F5A4-4DEF-4525-98B3-578BEF686F75}"/>
    <cellStyle name="20% - Accent1 4 4 2 2 3" xfId="17222" xr:uid="{C0D4C660-2890-43F8-9347-395E8B0677E3}"/>
    <cellStyle name="20% - Accent1 4 4 2 3" xfId="22304" xr:uid="{B0AC66D1-CA92-4D48-B880-762FA70AF6BD}"/>
    <cellStyle name="20% - Accent1 4 4 2 4" xfId="13005" xr:uid="{244445EA-0D13-4433-8984-E89A4273A474}"/>
    <cellStyle name="20% - Accent1 4 4 3" xfId="5751" xr:uid="{00000000-0005-0000-0000-000086000000}"/>
    <cellStyle name="20% - Accent1 4 4 3 2" xfId="24376" xr:uid="{666CE529-05C0-41EB-B576-74A9DAB1129F}"/>
    <cellStyle name="20% - Accent1 4 4 3 3" xfId="15077" xr:uid="{2B512C83-503C-467E-880D-B38E1C90054F}"/>
    <cellStyle name="20% - Accent1 4 4 4" xfId="20159" xr:uid="{ABEB4E04-7D72-48ED-B6ED-B35C2198FED6}"/>
    <cellStyle name="20% - Accent1 4 4 5" xfId="10860" xr:uid="{CA113DB8-CC07-4FE8-8BF3-683D13C0E131}"/>
    <cellStyle name="20% - Accent1 4 5" xfId="1858" xr:uid="{00000000-0005-0000-0000-000087000000}"/>
    <cellStyle name="20% - Accent1 4 5 2" xfId="4087" xr:uid="{00000000-0005-0000-0000-000088000000}"/>
    <cellStyle name="20% - Accent1 4 5 2 2" xfId="8309" xr:uid="{00000000-0005-0000-0000-000089000000}"/>
    <cellStyle name="20% - Accent1 4 5 2 2 2" xfId="26934" xr:uid="{7F1BCC96-68E6-4D8F-85B8-53B5F5A8E9FA}"/>
    <cellStyle name="20% - Accent1 4 5 2 2 3" xfId="17635" xr:uid="{EE54CF78-7BAD-4AB8-93A7-623093488137}"/>
    <cellStyle name="20% - Accent1 4 5 2 3" xfId="22717" xr:uid="{6DDDF76D-0BDA-4480-BD4F-82842EB5D5F6}"/>
    <cellStyle name="20% - Accent1 4 5 2 4" xfId="13418" xr:uid="{49B18CA1-992D-4E75-AA19-BB94E2FB32B7}"/>
    <cellStyle name="20% - Accent1 4 5 3" xfId="6164" xr:uid="{00000000-0005-0000-0000-00008A000000}"/>
    <cellStyle name="20% - Accent1 4 5 3 2" xfId="24789" xr:uid="{B7EFAD83-4345-473C-B4AE-24FB40881F1E}"/>
    <cellStyle name="20% - Accent1 4 5 3 3" xfId="15490" xr:uid="{CE851BDD-BCA4-4E6B-8B27-BF583BC16E8D}"/>
    <cellStyle name="20% - Accent1 4 5 4" xfId="20572" xr:uid="{A7A72FD0-B8BC-4DBE-B292-25C78FAC05FC}"/>
    <cellStyle name="20% - Accent1 4 5 5" xfId="11273" xr:uid="{1E64B794-7D8D-4C99-88D1-1C52C393F665}"/>
    <cellStyle name="20% - Accent1 4 6" xfId="2271" xr:uid="{00000000-0005-0000-0000-00008B000000}"/>
    <cellStyle name="20% - Accent1 4 6 2" xfId="6577" xr:uid="{00000000-0005-0000-0000-00008C000000}"/>
    <cellStyle name="20% - Accent1 4 6 2 2" xfId="25202" xr:uid="{EA152F79-94FB-4ED4-9CEB-C8E52A033005}"/>
    <cellStyle name="20% - Accent1 4 6 2 3" xfId="15903" xr:uid="{46E0DD09-E5B0-4CA2-9AA0-CF81BE8926CC}"/>
    <cellStyle name="20% - Accent1 4 6 3" xfId="20985" xr:uid="{B571A6CA-96F7-4BEC-9A0D-5DA23CFE19D0}"/>
    <cellStyle name="20% - Accent1 4 6 4" xfId="11686" xr:uid="{96402CEB-7A4E-4BB0-94EC-AE7449FD4559}"/>
    <cellStyle name="20% - Accent1 4 7" xfId="4511" xr:uid="{00000000-0005-0000-0000-00008D000000}"/>
    <cellStyle name="20% - Accent1 4 7 2" xfId="23136" xr:uid="{B0937585-421B-4840-973A-6E21A6B43F25}"/>
    <cellStyle name="20% - Accent1 4 7 3" xfId="13837" xr:uid="{135CDBE5-5435-40C2-A932-71DCC1218646}"/>
    <cellStyle name="20% - Accent1 4 8" xfId="8947" xr:uid="{1FCDBFE2-CC86-42DD-AD9B-D3EAF476002E}"/>
    <cellStyle name="20% - Accent1 4 8 2" xfId="27570" xr:uid="{863CA0C7-5BD7-4E0B-9098-2D98B682823D}"/>
    <cellStyle name="20% - Accent1 4 8 3" xfId="18271" xr:uid="{BBBFB0E0-C67B-4E92-8142-C7307B84583A}"/>
    <cellStyle name="20% - Accent1 4 9" xfId="18919" xr:uid="{E1DB472E-561B-4DE2-B0B3-1734A77C7A8B}"/>
    <cellStyle name="20% - Accent1 5" xfId="570" xr:uid="{00000000-0005-0000-0000-00008E000000}"/>
    <cellStyle name="20% - Accent1 5 2" xfId="2841" xr:uid="{00000000-0005-0000-0000-00008F000000}"/>
    <cellStyle name="20% - Accent1 5 2 2" xfId="7063" xr:uid="{00000000-0005-0000-0000-000090000000}"/>
    <cellStyle name="20% - Accent1 5 2 2 2" xfId="25688" xr:uid="{002E3BA0-33BB-40D6-8201-0FED05EA442B}"/>
    <cellStyle name="20% - Accent1 5 2 2 3" xfId="16389" xr:uid="{52583B1A-38C8-4E29-884F-7CFFFF691608}"/>
    <cellStyle name="20% - Accent1 5 2 3" xfId="21471" xr:uid="{80386F6A-81C2-44B4-A9FF-B5ED6C550688}"/>
    <cellStyle name="20% - Accent1 5 2 4" xfId="12172" xr:uid="{1A317DD7-226C-40D4-AA0E-5E43A27028D9}"/>
    <cellStyle name="20% - Accent1 5 3" xfId="4918" xr:uid="{00000000-0005-0000-0000-000091000000}"/>
    <cellStyle name="20% - Accent1 5 3 2" xfId="23543" xr:uid="{AD9AFD8D-3001-444E-B982-8729D15EA982}"/>
    <cellStyle name="20% - Accent1 5 3 3" xfId="14244" xr:uid="{05037037-C4B8-4DEF-9EB4-60E5C008225E}"/>
    <cellStyle name="20% - Accent1 5 4" xfId="9180" xr:uid="{D0AEF57E-25E3-47C5-B910-DC1A0019F498}"/>
    <cellStyle name="20% - Accent1 5 4 2" xfId="27797" xr:uid="{99A98118-CDD4-42C3-8084-8429FA692A05}"/>
    <cellStyle name="20% - Accent1 5 4 3" xfId="18498" xr:uid="{41A61B36-B806-4048-8333-E5D38D0C540A}"/>
    <cellStyle name="20% - Accent1 5 5" xfId="19326" xr:uid="{E1085B58-CA58-4D39-9907-DB97E0BA450B}"/>
    <cellStyle name="20% - Accent1 5 6" xfId="10027" xr:uid="{F9ACCF66-45A3-4837-B5DE-1BBDC8CA5D7F}"/>
    <cellStyle name="20% - Accent1 6" xfId="1023" xr:uid="{00000000-0005-0000-0000-000092000000}"/>
    <cellStyle name="20% - Accent1 6 2" xfId="3254" xr:uid="{00000000-0005-0000-0000-000093000000}"/>
    <cellStyle name="20% - Accent1 6 2 2" xfId="7476" xr:uid="{00000000-0005-0000-0000-000094000000}"/>
    <cellStyle name="20% - Accent1 6 2 2 2" xfId="26101" xr:uid="{4D2F993D-91F9-4BDA-9DB7-343812F9E138}"/>
    <cellStyle name="20% - Accent1 6 2 2 3" xfId="16802" xr:uid="{0FCBD1FD-1202-4E76-BB19-A63679DAE3EA}"/>
    <cellStyle name="20% - Accent1 6 2 3" xfId="21884" xr:uid="{A2C75D01-DE20-459D-978A-F31C550EC8B8}"/>
    <cellStyle name="20% - Accent1 6 2 4" xfId="12585" xr:uid="{8027F6BB-10D8-4BFC-901C-C226F4A63566}"/>
    <cellStyle name="20% - Accent1 6 3" xfId="5331" xr:uid="{00000000-0005-0000-0000-000095000000}"/>
    <cellStyle name="20% - Accent1 6 3 2" xfId="23956" xr:uid="{96D2FC00-B70C-4884-A0A7-F8138FDA6EC7}"/>
    <cellStyle name="20% - Accent1 6 3 3" xfId="14657" xr:uid="{20CCE053-DF56-44DC-8CF7-0ECA94F8379F}"/>
    <cellStyle name="20% - Accent1 6 4" xfId="19739" xr:uid="{29E90F8E-70B3-4BFA-B2B4-209A848EB904}"/>
    <cellStyle name="20% - Accent1 6 5" xfId="10440" xr:uid="{80225213-DCEA-4120-85FE-131B99E4FFF0}"/>
    <cellStyle name="20% - Accent1 7" xfId="1437" xr:uid="{00000000-0005-0000-0000-000096000000}"/>
    <cellStyle name="20% - Accent1 7 2" xfId="3667" xr:uid="{00000000-0005-0000-0000-000097000000}"/>
    <cellStyle name="20% - Accent1 7 2 2" xfId="7889" xr:uid="{00000000-0005-0000-0000-000098000000}"/>
    <cellStyle name="20% - Accent1 7 2 2 2" xfId="26514" xr:uid="{9E251D31-0802-48D7-8DF5-F7D9CFD4190F}"/>
    <cellStyle name="20% - Accent1 7 2 2 3" xfId="17215" xr:uid="{A8744453-2151-4EF8-AEA7-F29DF1CF11AE}"/>
    <cellStyle name="20% - Accent1 7 2 3" xfId="22297" xr:uid="{C76FED6D-21BA-46E5-83FB-455127EB1D55}"/>
    <cellStyle name="20% - Accent1 7 2 4" xfId="12998" xr:uid="{338A809E-C523-4243-AE16-08B8ADBE8B0F}"/>
    <cellStyle name="20% - Accent1 7 3" xfId="5744" xr:uid="{00000000-0005-0000-0000-000099000000}"/>
    <cellStyle name="20% - Accent1 7 3 2" xfId="24369" xr:uid="{36157E6A-077D-4E82-BADA-6DFCDEC549CA}"/>
    <cellStyle name="20% - Accent1 7 3 3" xfId="15070" xr:uid="{29617947-7BE9-44A0-B851-121E5E99C92B}"/>
    <cellStyle name="20% - Accent1 7 4" xfId="20152" xr:uid="{CC1C691F-9066-4650-9105-2D4174D9F57A}"/>
    <cellStyle name="20% - Accent1 7 5" xfId="10853" xr:uid="{AA23C587-4405-4EEA-835C-8DF4661C306C}"/>
    <cellStyle name="20% - Accent1 8" xfId="1851" xr:uid="{00000000-0005-0000-0000-00009A000000}"/>
    <cellStyle name="20% - Accent1 8 2" xfId="4080" xr:uid="{00000000-0005-0000-0000-00009B000000}"/>
    <cellStyle name="20% - Accent1 8 2 2" xfId="8302" xr:uid="{00000000-0005-0000-0000-00009C000000}"/>
    <cellStyle name="20% - Accent1 8 2 2 2" xfId="26927" xr:uid="{EBB5208D-FE59-4659-985C-76BBE721E1C0}"/>
    <cellStyle name="20% - Accent1 8 2 2 3" xfId="17628" xr:uid="{BABFFC57-1905-4E95-9A41-E896BE088D3B}"/>
    <cellStyle name="20% - Accent1 8 2 3" xfId="22710" xr:uid="{54730287-2FB0-448A-8913-CB8BCF07FE35}"/>
    <cellStyle name="20% - Accent1 8 2 4" xfId="13411" xr:uid="{07F55796-B92A-4CEE-901E-5CE21EC3729D}"/>
    <cellStyle name="20% - Accent1 8 3" xfId="6157" xr:uid="{00000000-0005-0000-0000-00009D000000}"/>
    <cellStyle name="20% - Accent1 8 3 2" xfId="24782" xr:uid="{B4A6CE33-2843-4145-AEE1-FF25CC1A2146}"/>
    <cellStyle name="20% - Accent1 8 3 3" xfId="15483" xr:uid="{AB27E1D6-4468-42F1-A8FF-19D026A1857A}"/>
    <cellStyle name="20% - Accent1 8 4" xfId="20565" xr:uid="{56A02BEA-8CE4-4353-B409-F7E5D9A8D6C4}"/>
    <cellStyle name="20% - Accent1 8 5" xfId="11266" xr:uid="{B402D09C-7D5B-4315-B963-FD97515F6DA3}"/>
    <cellStyle name="20% - Accent1 9" xfId="2264" xr:uid="{00000000-0005-0000-0000-00009E000000}"/>
    <cellStyle name="20% - Accent1 9 2" xfId="6570" xr:uid="{00000000-0005-0000-0000-00009F000000}"/>
    <cellStyle name="20% - Accent1 9 2 2" xfId="25195" xr:uid="{E9B42927-657C-46F6-BE8F-BBE249A08DF1}"/>
    <cellStyle name="20% - Accent1 9 2 3" xfId="15896" xr:uid="{F6B7EB2E-D115-4AD7-876E-8BA56CF586CD}"/>
    <cellStyle name="20% - Accent1 9 3" xfId="20978" xr:uid="{3482BE1B-5DF2-49EE-9649-45D56816073A}"/>
    <cellStyle name="20% - Accent1 9 4" xfId="11679" xr:uid="{5ABFB76B-F825-47A5-A768-488A5477DD73}"/>
    <cellStyle name="20% - Accent2" xfId="9" builtinId="34" customBuiltin="1"/>
    <cellStyle name="20% - Accent2 10" xfId="4512" xr:uid="{00000000-0005-0000-0000-0000A1000000}"/>
    <cellStyle name="20% - Accent2 10 2" xfId="23137" xr:uid="{453E0A0C-7E0C-4B42-85D4-749F13ED6DBD}"/>
    <cellStyle name="20% - Accent2 10 3" xfId="13838" xr:uid="{1A010B8F-AD4D-4A8C-8B6C-AFC1EBD6DD7C}"/>
    <cellStyle name="20% - Accent2 11" xfId="8760" xr:uid="{2F9D8AF1-C115-467C-ADFB-3BF13039D076}"/>
    <cellStyle name="20% - Accent2 11 2" xfId="27383" xr:uid="{251391B2-DDAB-4B71-A81C-77505775818F}"/>
    <cellStyle name="20% - Accent2 11 3" xfId="18084" xr:uid="{57129B28-D25D-4E2F-9901-1A8F0E657AE5}"/>
    <cellStyle name="20% - Accent2 12" xfId="18920" xr:uid="{F62A6B77-4A3B-46DA-97D4-0F52CDC38519}"/>
    <cellStyle name="20% - Accent2 13" xfId="9621" xr:uid="{914156E8-8EE3-458F-A16E-0C6B8545CB9F}"/>
    <cellStyle name="20% - Accent2 2" xfId="10" xr:uid="{00000000-0005-0000-0000-0000A2000000}"/>
    <cellStyle name="20% - Accent2 2 10" xfId="8793" xr:uid="{AA7C3473-3A75-4F75-9E25-D7658C57F3A0}"/>
    <cellStyle name="20% - Accent2 2 10 2" xfId="27416" xr:uid="{CDD6E1ED-49D9-4F1F-BE85-CDB912D155FF}"/>
    <cellStyle name="20% - Accent2 2 10 3" xfId="18117" xr:uid="{2A2361AA-4F24-457C-B342-0F3ED43BDD32}"/>
    <cellStyle name="20% - Accent2 2 11" xfId="18921" xr:uid="{98F2FE58-47C0-418C-B049-D613BF1564D2}"/>
    <cellStyle name="20% - Accent2 2 12" xfId="9622" xr:uid="{0A56DA64-5D23-488D-9629-E846EBD5CF9F}"/>
    <cellStyle name="20% - Accent2 2 2" xfId="11" xr:uid="{00000000-0005-0000-0000-0000A3000000}"/>
    <cellStyle name="20% - Accent2 2 2 10" xfId="18922" xr:uid="{CEB21A1F-D52F-4E33-8806-55F1DA994CFA}"/>
    <cellStyle name="20% - Accent2 2 2 11" xfId="9623" xr:uid="{58CFBDE3-0C75-41BE-8050-DCDFEA6C8DB1}"/>
    <cellStyle name="20% - Accent2 2 2 2" xfId="12" xr:uid="{00000000-0005-0000-0000-0000A4000000}"/>
    <cellStyle name="20% - Accent2 2 2 2 10" xfId="9624" xr:uid="{DC044592-DAB9-43C7-A665-71AEAA973C12}"/>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2 2 2" xfId="25699" xr:uid="{1DE2A64D-3ABA-417A-913A-E66C78C791F4}"/>
    <cellStyle name="20% - Accent2 2 2 2 2 2 2 3" xfId="16400" xr:uid="{10F5633A-FE74-427A-B4B3-3183B22B3657}"/>
    <cellStyle name="20% - Accent2 2 2 2 2 2 3" xfId="21482" xr:uid="{5FA5A223-6D11-4D0C-BA58-13BDB8B6CD77}"/>
    <cellStyle name="20% - Accent2 2 2 2 2 2 4" xfId="12183" xr:uid="{10720B19-BBEE-4009-A92B-09C2660CC464}"/>
    <cellStyle name="20% - Accent2 2 2 2 2 3" xfId="4929" xr:uid="{00000000-0005-0000-0000-0000A8000000}"/>
    <cellStyle name="20% - Accent2 2 2 2 2 3 2" xfId="23554" xr:uid="{EFFA5FB6-2717-40D1-86FC-CCD34B8795D5}"/>
    <cellStyle name="20% - Accent2 2 2 2 2 3 3" xfId="14255" xr:uid="{C5329E32-DF4D-4652-A3F5-F37F185AFFAF}"/>
    <cellStyle name="20% - Accent2 2 2 2 2 4" xfId="9528" xr:uid="{C8BEA541-FD8B-4449-95AA-43E1904F35BB}"/>
    <cellStyle name="20% - Accent2 2 2 2 2 4 2" xfId="28142" xr:uid="{B1CF2BEC-B31F-4632-8158-F53A4B66D7C1}"/>
    <cellStyle name="20% - Accent2 2 2 2 2 4 3" xfId="18843" xr:uid="{85528F05-7E62-4DFC-9B5F-527DC45BB164}"/>
    <cellStyle name="20% - Accent2 2 2 2 2 5" xfId="19337" xr:uid="{CA057AF8-330B-4A6C-9F3F-C9B02BD88FCB}"/>
    <cellStyle name="20% - Accent2 2 2 2 2 6" xfId="10038" xr:uid="{1A2A5395-E850-48B8-A953-90D64821B0DA}"/>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2 2 2" xfId="26112" xr:uid="{9F6255BC-7DF0-421C-8E58-C374CE64E48E}"/>
    <cellStyle name="20% - Accent2 2 2 2 3 2 2 3" xfId="16813" xr:uid="{7B06A206-2D8F-44FB-982A-89962BC9D457}"/>
    <cellStyle name="20% - Accent2 2 2 2 3 2 3" xfId="21895" xr:uid="{BA491E67-7D35-4814-8D51-74DB28D871E5}"/>
    <cellStyle name="20% - Accent2 2 2 2 3 2 4" xfId="12596" xr:uid="{E54D6A7F-7B16-4801-811E-F094C5F76990}"/>
    <cellStyle name="20% - Accent2 2 2 2 3 3" xfId="5342" xr:uid="{00000000-0005-0000-0000-0000AC000000}"/>
    <cellStyle name="20% - Accent2 2 2 2 3 3 2" xfId="23967" xr:uid="{1B90A558-2EC5-4EA6-B1AB-1D041A703378}"/>
    <cellStyle name="20% - Accent2 2 2 2 3 3 3" xfId="14668" xr:uid="{F74CCC80-9F88-4AAA-BF72-73026797AA02}"/>
    <cellStyle name="20% - Accent2 2 2 2 3 4" xfId="19750" xr:uid="{56170DED-6EF1-45D9-BB5C-A209DF0E0DD0}"/>
    <cellStyle name="20% - Accent2 2 2 2 3 5" xfId="10451" xr:uid="{AD0D4BA0-0F29-43EC-9457-A052CCFCDDBB}"/>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2 2 2" xfId="26525" xr:uid="{F01C41E4-7DDA-4140-BD0C-C71BD612EB4E}"/>
    <cellStyle name="20% - Accent2 2 2 2 4 2 2 3" xfId="17226" xr:uid="{2053D604-0BED-4B14-B74E-2CABFCFB50A0}"/>
    <cellStyle name="20% - Accent2 2 2 2 4 2 3" xfId="22308" xr:uid="{35A8CA28-05EE-4FF4-B449-5D524129D5D7}"/>
    <cellStyle name="20% - Accent2 2 2 2 4 2 4" xfId="13009" xr:uid="{A55D4736-A5D6-4B1F-8EBD-BCEFDFB8678C}"/>
    <cellStyle name="20% - Accent2 2 2 2 4 3" xfId="5755" xr:uid="{00000000-0005-0000-0000-0000B0000000}"/>
    <cellStyle name="20% - Accent2 2 2 2 4 3 2" xfId="24380" xr:uid="{8FECB437-8AC9-40E0-B015-BFDE546014E2}"/>
    <cellStyle name="20% - Accent2 2 2 2 4 3 3" xfId="15081" xr:uid="{186EA708-CC5F-43C3-B855-1D91E7237EC3}"/>
    <cellStyle name="20% - Accent2 2 2 2 4 4" xfId="20163" xr:uid="{F58A3C57-458B-4EB1-9204-28FB4024F6CF}"/>
    <cellStyle name="20% - Accent2 2 2 2 4 5" xfId="10864" xr:uid="{1B9B69E3-3A2B-4DA7-9561-D80F65E1782A}"/>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2 2 2" xfId="26938" xr:uid="{CE7EA609-160E-4BCA-A1FE-1A0B86BE619D}"/>
    <cellStyle name="20% - Accent2 2 2 2 5 2 2 3" xfId="17639" xr:uid="{3B2DE233-04A8-4E77-8507-792BA35AF4CA}"/>
    <cellStyle name="20% - Accent2 2 2 2 5 2 3" xfId="22721" xr:uid="{CD511E51-61AA-490A-B00B-2C9BCCCFEBFB}"/>
    <cellStyle name="20% - Accent2 2 2 2 5 2 4" xfId="13422" xr:uid="{A247E1E8-FD49-4926-BAE8-14F1847557CD}"/>
    <cellStyle name="20% - Accent2 2 2 2 5 3" xfId="6168" xr:uid="{00000000-0005-0000-0000-0000B4000000}"/>
    <cellStyle name="20% - Accent2 2 2 2 5 3 2" xfId="24793" xr:uid="{B0C92153-4259-4756-AAFA-2752CF877BD6}"/>
    <cellStyle name="20% - Accent2 2 2 2 5 3 3" xfId="15494" xr:uid="{C63A89DC-0971-4EED-B8EA-E0466E8196F9}"/>
    <cellStyle name="20% - Accent2 2 2 2 5 4" xfId="20576" xr:uid="{29B1E690-2EBF-4522-805E-E5B54C1864AA}"/>
    <cellStyle name="20% - Accent2 2 2 2 5 5" xfId="11277" xr:uid="{D39B45B7-5762-4AC0-9C40-2CB5D74422AA}"/>
    <cellStyle name="20% - Accent2 2 2 2 6" xfId="2275" xr:uid="{00000000-0005-0000-0000-0000B5000000}"/>
    <cellStyle name="20% - Accent2 2 2 2 6 2" xfId="6581" xr:uid="{00000000-0005-0000-0000-0000B6000000}"/>
    <cellStyle name="20% - Accent2 2 2 2 6 2 2" xfId="25206" xr:uid="{D9A78924-FF81-425A-9FCB-F990F89499C3}"/>
    <cellStyle name="20% - Accent2 2 2 2 6 2 3" xfId="15907" xr:uid="{513AFF39-D7C2-42F9-BBCB-9561A05C4A7C}"/>
    <cellStyle name="20% - Accent2 2 2 2 6 3" xfId="20989" xr:uid="{65175D7D-313A-4DD8-BE2D-5E2C14B61A2E}"/>
    <cellStyle name="20% - Accent2 2 2 2 6 4" xfId="11690" xr:uid="{FF09614D-C5E5-4D86-81FA-0CA2F4176AC7}"/>
    <cellStyle name="20% - Accent2 2 2 2 7" xfId="4515" xr:uid="{00000000-0005-0000-0000-0000B7000000}"/>
    <cellStyle name="20% - Accent2 2 2 2 7 2" xfId="23140" xr:uid="{B7532C0A-2D06-4FFD-8952-195346011F31}"/>
    <cellStyle name="20% - Accent2 2 2 2 7 3" xfId="13841" xr:uid="{E9D6C6FB-89E5-4E5E-BD11-6C9825B58B4E}"/>
    <cellStyle name="20% - Accent2 2 2 2 8" xfId="9103" xr:uid="{91DB80A1-3464-4086-B948-71B6A26537C4}"/>
    <cellStyle name="20% - Accent2 2 2 2 8 2" xfId="27726" xr:uid="{B2D0CBDD-C941-426C-9435-67BCA28BCAFC}"/>
    <cellStyle name="20% - Accent2 2 2 2 8 3" xfId="18427" xr:uid="{E45F9439-E9BA-4A7D-9E5A-0C84B878115F}"/>
    <cellStyle name="20% - Accent2 2 2 2 9" xfId="18923" xr:uid="{9E873D2B-F666-43B8-99E8-4A1E5A416385}"/>
    <cellStyle name="20% - Accent2 2 2 3" xfId="580" xr:uid="{00000000-0005-0000-0000-0000B8000000}"/>
    <cellStyle name="20% - Accent2 2 2 3 2" xfId="2851" xr:uid="{00000000-0005-0000-0000-0000B9000000}"/>
    <cellStyle name="20% - Accent2 2 2 3 2 2" xfId="7073" xr:uid="{00000000-0005-0000-0000-0000BA000000}"/>
    <cellStyle name="20% - Accent2 2 2 3 2 2 2" xfId="25698" xr:uid="{A407134C-6D03-44D3-B845-40B585E201BC}"/>
    <cellStyle name="20% - Accent2 2 2 3 2 2 3" xfId="16399" xr:uid="{85DF2BB0-8763-4F8F-B82F-880C0E79A33D}"/>
    <cellStyle name="20% - Accent2 2 2 3 2 3" xfId="21481" xr:uid="{6B4C8DA3-535B-4EA6-8919-7B1144A65FDF}"/>
    <cellStyle name="20% - Accent2 2 2 3 2 4" xfId="12182" xr:uid="{32AFD752-3A50-4DE0-9C62-68204101AE42}"/>
    <cellStyle name="20% - Accent2 2 2 3 3" xfId="4928" xr:uid="{00000000-0005-0000-0000-0000BB000000}"/>
    <cellStyle name="20% - Accent2 2 2 3 3 2" xfId="23553" xr:uid="{16AFED08-9CC2-4B8D-8B93-5D67A96A4846}"/>
    <cellStyle name="20% - Accent2 2 2 3 3 3" xfId="14254" xr:uid="{3B5A5CAA-6201-414E-A122-354E33B6498B}"/>
    <cellStyle name="20% - Accent2 2 2 3 4" xfId="9321" xr:uid="{32B21C3A-E360-4F19-B469-1116F045A0F3}"/>
    <cellStyle name="20% - Accent2 2 2 3 4 2" xfId="27935" xr:uid="{CDBF3579-52BA-4E42-9CBE-A899FAEF6086}"/>
    <cellStyle name="20% - Accent2 2 2 3 4 3" xfId="18636" xr:uid="{AF89FCF5-D43F-4E9F-82B3-1B2E09D8C054}"/>
    <cellStyle name="20% - Accent2 2 2 3 5" xfId="19336" xr:uid="{0DB076B5-EBE0-4ED1-B67F-CD1472D7B2CB}"/>
    <cellStyle name="20% - Accent2 2 2 3 6" xfId="10037" xr:uid="{1B6AA620-E21E-49E4-AC49-34063C4C4507}"/>
    <cellStyle name="20% - Accent2 2 2 4" xfId="1033" xr:uid="{00000000-0005-0000-0000-0000BC000000}"/>
    <cellStyle name="20% - Accent2 2 2 4 2" xfId="3264" xr:uid="{00000000-0005-0000-0000-0000BD000000}"/>
    <cellStyle name="20% - Accent2 2 2 4 2 2" xfId="7486" xr:uid="{00000000-0005-0000-0000-0000BE000000}"/>
    <cellStyle name="20% - Accent2 2 2 4 2 2 2" xfId="26111" xr:uid="{CC29E38A-7383-4D0E-8486-DFFED859A02A}"/>
    <cellStyle name="20% - Accent2 2 2 4 2 2 3" xfId="16812" xr:uid="{32F9EA01-BDA8-463F-A855-22C8188231F2}"/>
    <cellStyle name="20% - Accent2 2 2 4 2 3" xfId="21894" xr:uid="{330C97D7-4CDA-4FA3-8223-683E2E2608F9}"/>
    <cellStyle name="20% - Accent2 2 2 4 2 4" xfId="12595" xr:uid="{C1C5834F-DDC4-4ABA-80CD-0F0BC4FA1C9F}"/>
    <cellStyle name="20% - Accent2 2 2 4 3" xfId="5341" xr:uid="{00000000-0005-0000-0000-0000BF000000}"/>
    <cellStyle name="20% - Accent2 2 2 4 3 2" xfId="23966" xr:uid="{CCB252F5-DE16-4DC0-87F7-29D4B116F0A8}"/>
    <cellStyle name="20% - Accent2 2 2 4 3 3" xfId="14667" xr:uid="{AA379C06-15F6-48F3-94F4-965EAAD3BE57}"/>
    <cellStyle name="20% - Accent2 2 2 4 4" xfId="19749" xr:uid="{D69C2F06-742C-44E4-82D5-98240B97C2F8}"/>
    <cellStyle name="20% - Accent2 2 2 4 5" xfId="10450" xr:uid="{1EC5B919-F6C7-4EA7-8911-6B818A0C37D0}"/>
    <cellStyle name="20% - Accent2 2 2 5" xfId="1447" xr:uid="{00000000-0005-0000-0000-0000C0000000}"/>
    <cellStyle name="20% - Accent2 2 2 5 2" xfId="3677" xr:uid="{00000000-0005-0000-0000-0000C1000000}"/>
    <cellStyle name="20% - Accent2 2 2 5 2 2" xfId="7899" xr:uid="{00000000-0005-0000-0000-0000C2000000}"/>
    <cellStyle name="20% - Accent2 2 2 5 2 2 2" xfId="26524" xr:uid="{51FD1E90-6A9D-4513-B886-0649A99B8715}"/>
    <cellStyle name="20% - Accent2 2 2 5 2 2 3" xfId="17225" xr:uid="{DD452CA1-5401-46A5-9FA5-B0079DE14740}"/>
    <cellStyle name="20% - Accent2 2 2 5 2 3" xfId="22307" xr:uid="{51D1A829-9889-469B-AEDC-138D841E71BC}"/>
    <cellStyle name="20% - Accent2 2 2 5 2 4" xfId="13008" xr:uid="{B7C40A1B-60EC-4B92-8EDE-6F82D40552E0}"/>
    <cellStyle name="20% - Accent2 2 2 5 3" xfId="5754" xr:uid="{00000000-0005-0000-0000-0000C3000000}"/>
    <cellStyle name="20% - Accent2 2 2 5 3 2" xfId="24379" xr:uid="{D5AA4F8B-518A-41FF-9621-0A238022E0A4}"/>
    <cellStyle name="20% - Accent2 2 2 5 3 3" xfId="15080" xr:uid="{AD9580F3-6B75-4CCD-8B14-1C117A3F1564}"/>
    <cellStyle name="20% - Accent2 2 2 5 4" xfId="20162" xr:uid="{EC671907-23D8-4066-8199-CFC897404D1A}"/>
    <cellStyle name="20% - Accent2 2 2 5 5" xfId="10863" xr:uid="{62BF4C23-DDF1-43FD-BFC6-513437CCBCFF}"/>
    <cellStyle name="20% - Accent2 2 2 6" xfId="1861" xr:uid="{00000000-0005-0000-0000-0000C4000000}"/>
    <cellStyle name="20% - Accent2 2 2 6 2" xfId="4090" xr:uid="{00000000-0005-0000-0000-0000C5000000}"/>
    <cellStyle name="20% - Accent2 2 2 6 2 2" xfId="8312" xr:uid="{00000000-0005-0000-0000-0000C6000000}"/>
    <cellStyle name="20% - Accent2 2 2 6 2 2 2" xfId="26937" xr:uid="{DDB44581-1DC1-4490-95C8-98D6FF73EF2D}"/>
    <cellStyle name="20% - Accent2 2 2 6 2 2 3" xfId="17638" xr:uid="{8943627F-66C8-496E-AEFF-02DB10B77B2C}"/>
    <cellStyle name="20% - Accent2 2 2 6 2 3" xfId="22720" xr:uid="{A62616BE-66FF-435E-ACE7-A3A85BFD49CF}"/>
    <cellStyle name="20% - Accent2 2 2 6 2 4" xfId="13421" xr:uid="{D5F61E9C-46F3-40BD-843B-18B509E49739}"/>
    <cellStyle name="20% - Accent2 2 2 6 3" xfId="6167" xr:uid="{00000000-0005-0000-0000-0000C7000000}"/>
    <cellStyle name="20% - Accent2 2 2 6 3 2" xfId="24792" xr:uid="{024E8EAA-23F8-4738-B2E3-3CEB10FF382A}"/>
    <cellStyle name="20% - Accent2 2 2 6 3 3" xfId="15493" xr:uid="{9EAF8585-BDAD-415E-B478-BB0A3276AA73}"/>
    <cellStyle name="20% - Accent2 2 2 6 4" xfId="20575" xr:uid="{4DD5DFCD-BAEB-41B6-AA7B-192AE6B5E6BE}"/>
    <cellStyle name="20% - Accent2 2 2 6 5" xfId="11276" xr:uid="{96E58344-4A09-42D1-9B7A-4E8E4E3556CB}"/>
    <cellStyle name="20% - Accent2 2 2 7" xfId="2274" xr:uid="{00000000-0005-0000-0000-0000C8000000}"/>
    <cellStyle name="20% - Accent2 2 2 7 2" xfId="6580" xr:uid="{00000000-0005-0000-0000-0000C9000000}"/>
    <cellStyle name="20% - Accent2 2 2 7 2 2" xfId="25205" xr:uid="{FFA6DD59-EBC1-4C8E-8E2D-742F7A135D5E}"/>
    <cellStyle name="20% - Accent2 2 2 7 2 3" xfId="15906" xr:uid="{4681E495-0AC9-4C9B-82BA-A3C14BB96983}"/>
    <cellStyle name="20% - Accent2 2 2 7 3" xfId="20988" xr:uid="{76F8979C-E242-4FBA-B063-E885895A2C0B}"/>
    <cellStyle name="20% - Accent2 2 2 7 4" xfId="11689" xr:uid="{6E3E485A-566F-480A-8E70-38AE140F59BA}"/>
    <cellStyle name="20% - Accent2 2 2 8" xfId="4514" xr:uid="{00000000-0005-0000-0000-0000CA000000}"/>
    <cellStyle name="20% - Accent2 2 2 8 2" xfId="23139" xr:uid="{75B5015F-CC31-4C16-B367-E46DCC9AF5E5}"/>
    <cellStyle name="20% - Accent2 2 2 8 3" xfId="13840" xr:uid="{EF4B2BC3-5F44-45DE-BDEE-447EC1F2ACCD}"/>
    <cellStyle name="20% - Accent2 2 2 9" xfId="8896" xr:uid="{7CDAA0F1-5BE6-4749-AD4D-5424E0EA26D8}"/>
    <cellStyle name="20% - Accent2 2 2 9 2" xfId="27519" xr:uid="{586954F1-A6E0-4A76-8D58-FD1623582BB1}"/>
    <cellStyle name="20% - Accent2 2 2 9 3" xfId="18220" xr:uid="{5101572B-B498-4CC2-A2AE-42276A0D43B4}"/>
    <cellStyle name="20% - Accent2 2 3" xfId="13" xr:uid="{00000000-0005-0000-0000-0000CB000000}"/>
    <cellStyle name="20% - Accent2 2 3 10" xfId="9625" xr:uid="{A0051552-599C-4777-B69C-B8376B36F191}"/>
    <cellStyle name="20% - Accent2 2 3 2" xfId="582" xr:uid="{00000000-0005-0000-0000-0000CC000000}"/>
    <cellStyle name="20% - Accent2 2 3 2 2" xfId="2853" xr:uid="{00000000-0005-0000-0000-0000CD000000}"/>
    <cellStyle name="20% - Accent2 2 3 2 2 2" xfId="7075" xr:uid="{00000000-0005-0000-0000-0000CE000000}"/>
    <cellStyle name="20% - Accent2 2 3 2 2 2 2" xfId="25700" xr:uid="{7C13A25E-C17E-4199-B4FA-C53C80FD9F2C}"/>
    <cellStyle name="20% - Accent2 2 3 2 2 2 3" xfId="16401" xr:uid="{22330BC3-F212-425B-BDEE-A9E981BBFBD0}"/>
    <cellStyle name="20% - Accent2 2 3 2 2 3" xfId="21483" xr:uid="{76C333EA-7F32-4D35-A7D6-2189E3EC94F5}"/>
    <cellStyle name="20% - Accent2 2 3 2 2 4" xfId="12184" xr:uid="{501261D7-CCA0-406F-961E-FE0043EBA889}"/>
    <cellStyle name="20% - Accent2 2 3 2 3" xfId="4930" xr:uid="{00000000-0005-0000-0000-0000CF000000}"/>
    <cellStyle name="20% - Accent2 2 3 2 3 2" xfId="23555" xr:uid="{6133F934-937F-4F56-ADB6-19054DEB93D7}"/>
    <cellStyle name="20% - Accent2 2 3 2 3 3" xfId="14256" xr:uid="{D350232C-7694-4773-A55F-7693BAD2EC52}"/>
    <cellStyle name="20% - Accent2 2 3 2 4" xfId="9425" xr:uid="{35BECFF4-0F5A-4F6E-AE6E-354891135B4F}"/>
    <cellStyle name="20% - Accent2 2 3 2 4 2" xfId="28039" xr:uid="{9EDAFBF6-CEE9-4B90-8C32-613FA9426885}"/>
    <cellStyle name="20% - Accent2 2 3 2 4 3" xfId="18740" xr:uid="{3E3D2F4F-8702-411E-9260-AEBDF4D52FAA}"/>
    <cellStyle name="20% - Accent2 2 3 2 5" xfId="19338" xr:uid="{EB6D71BE-7F04-49ED-87B6-56C0ECE3C185}"/>
    <cellStyle name="20% - Accent2 2 3 2 6" xfId="10039" xr:uid="{5BA7FF53-76BA-4B4D-8A9A-ACB74B520859}"/>
    <cellStyle name="20% - Accent2 2 3 3" xfId="1035" xr:uid="{00000000-0005-0000-0000-0000D0000000}"/>
    <cellStyle name="20% - Accent2 2 3 3 2" xfId="3266" xr:uid="{00000000-0005-0000-0000-0000D1000000}"/>
    <cellStyle name="20% - Accent2 2 3 3 2 2" xfId="7488" xr:uid="{00000000-0005-0000-0000-0000D2000000}"/>
    <cellStyle name="20% - Accent2 2 3 3 2 2 2" xfId="26113" xr:uid="{A6C7EFF0-8E04-4101-B34A-A258D13F7D10}"/>
    <cellStyle name="20% - Accent2 2 3 3 2 2 3" xfId="16814" xr:uid="{1D216C6D-A262-4D1B-A792-630D3C73922A}"/>
    <cellStyle name="20% - Accent2 2 3 3 2 3" xfId="21896" xr:uid="{27B700B7-349C-40A5-A604-88F5CE6DC4A6}"/>
    <cellStyle name="20% - Accent2 2 3 3 2 4" xfId="12597" xr:uid="{9566FA7A-3A4E-4B29-97D6-0672C5C58A4A}"/>
    <cellStyle name="20% - Accent2 2 3 3 3" xfId="5343" xr:uid="{00000000-0005-0000-0000-0000D3000000}"/>
    <cellStyle name="20% - Accent2 2 3 3 3 2" xfId="23968" xr:uid="{EAEA4BFA-EF46-4C48-80FC-9C6844A86B76}"/>
    <cellStyle name="20% - Accent2 2 3 3 3 3" xfId="14669" xr:uid="{0BBF9782-235F-4975-A877-1AFDA38D2D36}"/>
    <cellStyle name="20% - Accent2 2 3 3 4" xfId="19751" xr:uid="{15129551-5039-45D5-A99F-30FA1A5FBCA6}"/>
    <cellStyle name="20% - Accent2 2 3 3 5" xfId="10452" xr:uid="{DACA4A8A-5BB7-48C6-B71A-D3AE45791699}"/>
    <cellStyle name="20% - Accent2 2 3 4" xfId="1449" xr:uid="{00000000-0005-0000-0000-0000D4000000}"/>
    <cellStyle name="20% - Accent2 2 3 4 2" xfId="3679" xr:uid="{00000000-0005-0000-0000-0000D5000000}"/>
    <cellStyle name="20% - Accent2 2 3 4 2 2" xfId="7901" xr:uid="{00000000-0005-0000-0000-0000D6000000}"/>
    <cellStyle name="20% - Accent2 2 3 4 2 2 2" xfId="26526" xr:uid="{4CCB1062-0D03-4E95-AD11-914459902A4E}"/>
    <cellStyle name="20% - Accent2 2 3 4 2 2 3" xfId="17227" xr:uid="{17AB0A20-FCDD-43B3-881B-F9172AEEFB23}"/>
    <cellStyle name="20% - Accent2 2 3 4 2 3" xfId="22309" xr:uid="{6A62A3ED-022A-4839-A44F-38E690A6ABA8}"/>
    <cellStyle name="20% - Accent2 2 3 4 2 4" xfId="13010" xr:uid="{E8D7FBA2-A187-43A0-934F-55A8DFDDCD9E}"/>
    <cellStyle name="20% - Accent2 2 3 4 3" xfId="5756" xr:uid="{00000000-0005-0000-0000-0000D7000000}"/>
    <cellStyle name="20% - Accent2 2 3 4 3 2" xfId="24381" xr:uid="{79377CF1-3D50-402F-B613-8D67FDE6DBF0}"/>
    <cellStyle name="20% - Accent2 2 3 4 3 3" xfId="15082" xr:uid="{3CD455E4-8145-482D-AD61-A27F7214F76D}"/>
    <cellStyle name="20% - Accent2 2 3 4 4" xfId="20164" xr:uid="{73EDEA37-06A9-4B9A-8F1C-A551BDA39B23}"/>
    <cellStyle name="20% - Accent2 2 3 4 5" xfId="10865" xr:uid="{C34829C9-F238-476C-AF5F-DF5A73ADEC21}"/>
    <cellStyle name="20% - Accent2 2 3 5" xfId="1863" xr:uid="{00000000-0005-0000-0000-0000D8000000}"/>
    <cellStyle name="20% - Accent2 2 3 5 2" xfId="4092" xr:uid="{00000000-0005-0000-0000-0000D9000000}"/>
    <cellStyle name="20% - Accent2 2 3 5 2 2" xfId="8314" xr:uid="{00000000-0005-0000-0000-0000DA000000}"/>
    <cellStyle name="20% - Accent2 2 3 5 2 2 2" xfId="26939" xr:uid="{8F055C2D-ACFD-44AE-B814-7FD9B46D7048}"/>
    <cellStyle name="20% - Accent2 2 3 5 2 2 3" xfId="17640" xr:uid="{4D4ACC13-2887-4250-A61C-AF8139021FD8}"/>
    <cellStyle name="20% - Accent2 2 3 5 2 3" xfId="22722" xr:uid="{7C65CB79-A210-4D18-B840-198A52B9B3E9}"/>
    <cellStyle name="20% - Accent2 2 3 5 2 4" xfId="13423" xr:uid="{74BBA89A-C7D0-4EA4-9259-4A9649E245BF}"/>
    <cellStyle name="20% - Accent2 2 3 5 3" xfId="6169" xr:uid="{00000000-0005-0000-0000-0000DB000000}"/>
    <cellStyle name="20% - Accent2 2 3 5 3 2" xfId="24794" xr:uid="{1664C2FC-57EA-4771-A329-8FCED094B326}"/>
    <cellStyle name="20% - Accent2 2 3 5 3 3" xfId="15495" xr:uid="{35A2B21A-F48F-4C8A-81CA-B7D390C440DC}"/>
    <cellStyle name="20% - Accent2 2 3 5 4" xfId="20577" xr:uid="{18E43604-9CB0-456D-A8E9-347E2D80CF76}"/>
    <cellStyle name="20% - Accent2 2 3 5 5" xfId="11278" xr:uid="{B6EF22B7-F580-4AB6-96FB-1F0F55259642}"/>
    <cellStyle name="20% - Accent2 2 3 6" xfId="2276" xr:uid="{00000000-0005-0000-0000-0000DC000000}"/>
    <cellStyle name="20% - Accent2 2 3 6 2" xfId="6582" xr:uid="{00000000-0005-0000-0000-0000DD000000}"/>
    <cellStyle name="20% - Accent2 2 3 6 2 2" xfId="25207" xr:uid="{A5AB2D8F-2B2D-4A2F-A49D-F9CB4899E07B}"/>
    <cellStyle name="20% - Accent2 2 3 6 2 3" xfId="15908" xr:uid="{D7B0750C-EFFE-47B7-A7FA-D1A6C76BA0FB}"/>
    <cellStyle name="20% - Accent2 2 3 6 3" xfId="20990" xr:uid="{7EE49CD4-9B91-4F62-943A-31EB44F70B64}"/>
    <cellStyle name="20% - Accent2 2 3 6 4" xfId="11691" xr:uid="{C5B6AEB9-80B2-40D6-95C1-2FA6478BE0A0}"/>
    <cellStyle name="20% - Accent2 2 3 7" xfId="4516" xr:uid="{00000000-0005-0000-0000-0000DE000000}"/>
    <cellStyle name="20% - Accent2 2 3 7 2" xfId="23141" xr:uid="{2EA28691-A721-4D3B-AE85-6FC772470B51}"/>
    <cellStyle name="20% - Accent2 2 3 7 3" xfId="13842" xr:uid="{6FD1B413-577B-479B-AC68-593B62F55A83}"/>
    <cellStyle name="20% - Accent2 2 3 8" xfId="9000" xr:uid="{133DFC5C-F2FF-49E9-82EE-ABAA9C815393}"/>
    <cellStyle name="20% - Accent2 2 3 8 2" xfId="27623" xr:uid="{C307415A-76B8-4F1D-A52F-CAFCB38AA25C}"/>
    <cellStyle name="20% - Accent2 2 3 8 3" xfId="18324" xr:uid="{BF35E889-79D9-48F1-831C-B4A9AFBF25D0}"/>
    <cellStyle name="20% - Accent2 2 3 9" xfId="18924" xr:uid="{4DE7012C-088C-4444-995A-CA537AD99D67}"/>
    <cellStyle name="20% - Accent2 2 4" xfId="579" xr:uid="{00000000-0005-0000-0000-0000DF000000}"/>
    <cellStyle name="20% - Accent2 2 4 2" xfId="2850" xr:uid="{00000000-0005-0000-0000-0000E0000000}"/>
    <cellStyle name="20% - Accent2 2 4 2 2" xfId="7072" xr:uid="{00000000-0005-0000-0000-0000E1000000}"/>
    <cellStyle name="20% - Accent2 2 4 2 2 2" xfId="25697" xr:uid="{7DF5BD31-DBF9-4BAB-A534-B8BEB594CBF3}"/>
    <cellStyle name="20% - Accent2 2 4 2 2 3" xfId="16398" xr:uid="{8354365D-8C9F-4F58-89DD-85F4CEB4154D}"/>
    <cellStyle name="20% - Accent2 2 4 2 3" xfId="21480" xr:uid="{A2553A01-3AB1-4BEA-B65E-141147AFD837}"/>
    <cellStyle name="20% - Accent2 2 4 2 4" xfId="12181" xr:uid="{3A78CEA0-FE02-434F-9F1C-17A96837A6DF}"/>
    <cellStyle name="20% - Accent2 2 4 3" xfId="4927" xr:uid="{00000000-0005-0000-0000-0000E2000000}"/>
    <cellStyle name="20% - Accent2 2 4 3 2" xfId="23552" xr:uid="{02A97075-5982-4447-B837-4F99BEC67163}"/>
    <cellStyle name="20% - Accent2 2 4 3 3" xfId="14253" xr:uid="{D7F4AF31-3B7E-4CF1-A44E-77C586CD6452}"/>
    <cellStyle name="20% - Accent2 2 4 4" xfId="9217" xr:uid="{28DDC3F5-BA57-40F8-8D06-6CFF141CF9A1}"/>
    <cellStyle name="20% - Accent2 2 4 4 2" xfId="27832" xr:uid="{7944AA9E-EE19-466D-8197-08C6D1F17E1C}"/>
    <cellStyle name="20% - Accent2 2 4 4 3" xfId="18533" xr:uid="{AA76532D-62B0-45C0-A2C7-B8B0D7E83970}"/>
    <cellStyle name="20% - Accent2 2 4 5" xfId="19335" xr:uid="{9A5D2FD1-7497-4AD3-A404-2022DD80F73A}"/>
    <cellStyle name="20% - Accent2 2 4 6" xfId="10036" xr:uid="{B45D9C2F-26E0-4045-9E1E-638315FFE9B8}"/>
    <cellStyle name="20% - Accent2 2 5" xfId="1032" xr:uid="{00000000-0005-0000-0000-0000E3000000}"/>
    <cellStyle name="20% - Accent2 2 5 2" xfId="3263" xr:uid="{00000000-0005-0000-0000-0000E4000000}"/>
    <cellStyle name="20% - Accent2 2 5 2 2" xfId="7485" xr:uid="{00000000-0005-0000-0000-0000E5000000}"/>
    <cellStyle name="20% - Accent2 2 5 2 2 2" xfId="26110" xr:uid="{D05EFA6B-032C-4C2B-A684-1F09B9F909D8}"/>
    <cellStyle name="20% - Accent2 2 5 2 2 3" xfId="16811" xr:uid="{317206E2-A9F5-4DBC-A46F-1E06C10EAFD3}"/>
    <cellStyle name="20% - Accent2 2 5 2 3" xfId="21893" xr:uid="{C7DDE78B-D782-44EE-BE07-E3C1FE942A53}"/>
    <cellStyle name="20% - Accent2 2 5 2 4" xfId="12594" xr:uid="{F5F960C8-6834-4729-AF15-2A9508766D74}"/>
    <cellStyle name="20% - Accent2 2 5 3" xfId="5340" xr:uid="{00000000-0005-0000-0000-0000E6000000}"/>
    <cellStyle name="20% - Accent2 2 5 3 2" xfId="23965" xr:uid="{36FD9C03-ACD3-4F4D-AFAE-7052865167AA}"/>
    <cellStyle name="20% - Accent2 2 5 3 3" xfId="14666" xr:uid="{A93C38C4-98DF-4C83-8152-B0BE4846A0DC}"/>
    <cellStyle name="20% - Accent2 2 5 4" xfId="19748" xr:uid="{2487BFA4-79FC-422E-AF3C-B4FCC476783C}"/>
    <cellStyle name="20% - Accent2 2 5 5" xfId="10449" xr:uid="{56172533-71FB-4127-AE4B-01EED88C9DFF}"/>
    <cellStyle name="20% - Accent2 2 6" xfId="1446" xr:uid="{00000000-0005-0000-0000-0000E7000000}"/>
    <cellStyle name="20% - Accent2 2 6 2" xfId="3676" xr:uid="{00000000-0005-0000-0000-0000E8000000}"/>
    <cellStyle name="20% - Accent2 2 6 2 2" xfId="7898" xr:uid="{00000000-0005-0000-0000-0000E9000000}"/>
    <cellStyle name="20% - Accent2 2 6 2 2 2" xfId="26523" xr:uid="{ED6D2ADF-3587-493C-8F1F-B0A8888C4E1A}"/>
    <cellStyle name="20% - Accent2 2 6 2 2 3" xfId="17224" xr:uid="{EF215916-254B-4552-A4A8-190B17C3E4EE}"/>
    <cellStyle name="20% - Accent2 2 6 2 3" xfId="22306" xr:uid="{B983CC93-5C10-4F46-A589-95A8C4A01528}"/>
    <cellStyle name="20% - Accent2 2 6 2 4" xfId="13007" xr:uid="{D2E46AAB-5876-4BF1-8329-C9CE024FB3F8}"/>
    <cellStyle name="20% - Accent2 2 6 3" xfId="5753" xr:uid="{00000000-0005-0000-0000-0000EA000000}"/>
    <cellStyle name="20% - Accent2 2 6 3 2" xfId="24378" xr:uid="{A8E19B9C-2DC5-48FA-9924-3D5C83C7B7D9}"/>
    <cellStyle name="20% - Accent2 2 6 3 3" xfId="15079" xr:uid="{00846D24-69A9-4BA5-9D28-86E911C3225D}"/>
    <cellStyle name="20% - Accent2 2 6 4" xfId="20161" xr:uid="{8BC77F45-9B73-4AF6-8EE3-295BF7D1C612}"/>
    <cellStyle name="20% - Accent2 2 6 5" xfId="10862" xr:uid="{23787BA6-320A-489E-AF39-077018BFCE90}"/>
    <cellStyle name="20% - Accent2 2 7" xfId="1860" xr:uid="{00000000-0005-0000-0000-0000EB000000}"/>
    <cellStyle name="20% - Accent2 2 7 2" xfId="4089" xr:uid="{00000000-0005-0000-0000-0000EC000000}"/>
    <cellStyle name="20% - Accent2 2 7 2 2" xfId="8311" xr:uid="{00000000-0005-0000-0000-0000ED000000}"/>
    <cellStyle name="20% - Accent2 2 7 2 2 2" xfId="26936" xr:uid="{3CA66D65-F9F5-49FA-8EC0-C2FEE06DBF6B}"/>
    <cellStyle name="20% - Accent2 2 7 2 2 3" xfId="17637" xr:uid="{E4A834E9-D936-4907-89CC-37011B54F6A7}"/>
    <cellStyle name="20% - Accent2 2 7 2 3" xfId="22719" xr:uid="{8520E608-A806-4352-A3B0-0DA90DB0768E}"/>
    <cellStyle name="20% - Accent2 2 7 2 4" xfId="13420" xr:uid="{2AF4842D-09DF-4C23-8B9E-227A9092F023}"/>
    <cellStyle name="20% - Accent2 2 7 3" xfId="6166" xr:uid="{00000000-0005-0000-0000-0000EE000000}"/>
    <cellStyle name="20% - Accent2 2 7 3 2" xfId="24791" xr:uid="{D96DC20F-B251-40BB-946D-4C04F3FCF606}"/>
    <cellStyle name="20% - Accent2 2 7 3 3" xfId="15492" xr:uid="{906727D8-1D12-4F57-91AD-E959CF5AC7D0}"/>
    <cellStyle name="20% - Accent2 2 7 4" xfId="20574" xr:uid="{4A628852-333F-49DD-900C-5442FD14F0DB}"/>
    <cellStyle name="20% - Accent2 2 7 5" xfId="11275" xr:uid="{E9F4E0AB-0F05-4177-9BB2-0055A785F6DC}"/>
    <cellStyle name="20% - Accent2 2 8" xfId="2273" xr:uid="{00000000-0005-0000-0000-0000EF000000}"/>
    <cellStyle name="20% - Accent2 2 8 2" xfId="6579" xr:uid="{00000000-0005-0000-0000-0000F0000000}"/>
    <cellStyle name="20% - Accent2 2 8 2 2" xfId="25204" xr:uid="{00DCC73E-F56B-4E12-A1E5-E0E4352A21DE}"/>
    <cellStyle name="20% - Accent2 2 8 2 3" xfId="15905" xr:uid="{4E4294D1-D53C-4A63-AB7C-7B9EA97F5BB9}"/>
    <cellStyle name="20% - Accent2 2 8 3" xfId="20987" xr:uid="{D9938E13-88AF-4894-BFDB-2FDD5A91B115}"/>
    <cellStyle name="20% - Accent2 2 8 4" xfId="11688" xr:uid="{2B2C33D9-1E2B-423C-99DA-CD863B021940}"/>
    <cellStyle name="20% - Accent2 2 9" xfId="4513" xr:uid="{00000000-0005-0000-0000-0000F1000000}"/>
    <cellStyle name="20% - Accent2 2 9 2" xfId="23138" xr:uid="{15AF1B6C-0CBF-4108-97F9-6E62419886D6}"/>
    <cellStyle name="20% - Accent2 2 9 3" xfId="13839" xr:uid="{BFC3DBA0-2137-40C3-9766-BA7CAA96C45C}"/>
    <cellStyle name="20% - Accent2 3" xfId="14" xr:uid="{00000000-0005-0000-0000-0000F2000000}"/>
    <cellStyle name="20% - Accent2 3 10" xfId="18925" xr:uid="{753E6B00-4CD3-4978-8880-C877DCA25074}"/>
    <cellStyle name="20% - Accent2 3 11" xfId="9626" xr:uid="{AFEF8D16-CB40-4BD8-A9CF-4028C84EC738}"/>
    <cellStyle name="20% - Accent2 3 2" xfId="15" xr:uid="{00000000-0005-0000-0000-0000F3000000}"/>
    <cellStyle name="20% - Accent2 3 2 10" xfId="9627" xr:uid="{A3C41087-8335-4E19-9B3E-BCE0F3F2CF13}"/>
    <cellStyle name="20% - Accent2 3 2 2" xfId="584" xr:uid="{00000000-0005-0000-0000-0000F4000000}"/>
    <cellStyle name="20% - Accent2 3 2 2 2" xfId="2855" xr:uid="{00000000-0005-0000-0000-0000F5000000}"/>
    <cellStyle name="20% - Accent2 3 2 2 2 2" xfId="7077" xr:uid="{00000000-0005-0000-0000-0000F6000000}"/>
    <cellStyle name="20% - Accent2 3 2 2 2 2 2" xfId="25702" xr:uid="{B9D8530F-E31B-4E02-A0D6-2FB77A5D8529}"/>
    <cellStyle name="20% - Accent2 3 2 2 2 2 3" xfId="16403" xr:uid="{03EA82E9-9149-4BEB-8E59-A344FA0BB1DB}"/>
    <cellStyle name="20% - Accent2 3 2 2 2 3" xfId="21485" xr:uid="{E301E905-EE27-4B85-B91A-67AE34ED7C70}"/>
    <cellStyle name="20% - Accent2 3 2 2 2 4" xfId="12186" xr:uid="{FD47B745-D1FF-40AC-9AD5-25FF55239056}"/>
    <cellStyle name="20% - Accent2 3 2 2 3" xfId="4932" xr:uid="{00000000-0005-0000-0000-0000F7000000}"/>
    <cellStyle name="20% - Accent2 3 2 2 3 2" xfId="23557" xr:uid="{AB49332F-4D81-47D9-9C89-A2429573E703}"/>
    <cellStyle name="20% - Accent2 3 2 2 3 3" xfId="14258" xr:uid="{3E6EC496-AFC1-4198-B308-CB6717E09A3B}"/>
    <cellStyle name="20% - Accent2 3 2 2 4" xfId="9495" xr:uid="{9F5A6FE7-BBC9-4787-8EC4-2112F4D5A0EA}"/>
    <cellStyle name="20% - Accent2 3 2 2 4 2" xfId="28109" xr:uid="{9BA7281A-0DA6-4A69-B150-AAF38531BB0A}"/>
    <cellStyle name="20% - Accent2 3 2 2 4 3" xfId="18810" xr:uid="{1DACE0F5-F940-4EDA-9DB1-21B8752781F1}"/>
    <cellStyle name="20% - Accent2 3 2 2 5" xfId="19340" xr:uid="{AF8CC4DF-22F8-4C5E-8486-EC8F06511997}"/>
    <cellStyle name="20% - Accent2 3 2 2 6" xfId="10041" xr:uid="{B7292EA5-23D7-484B-AE1C-30A74F48CB71}"/>
    <cellStyle name="20% - Accent2 3 2 3" xfId="1037" xr:uid="{00000000-0005-0000-0000-0000F8000000}"/>
    <cellStyle name="20% - Accent2 3 2 3 2" xfId="3268" xr:uid="{00000000-0005-0000-0000-0000F9000000}"/>
    <cellStyle name="20% - Accent2 3 2 3 2 2" xfId="7490" xr:uid="{00000000-0005-0000-0000-0000FA000000}"/>
    <cellStyle name="20% - Accent2 3 2 3 2 2 2" xfId="26115" xr:uid="{F66C9EE5-AE21-4C1C-ABBB-D5E96C04D5A9}"/>
    <cellStyle name="20% - Accent2 3 2 3 2 2 3" xfId="16816" xr:uid="{0E9A9C04-329A-4574-BE85-D590CA7C9EEE}"/>
    <cellStyle name="20% - Accent2 3 2 3 2 3" xfId="21898" xr:uid="{997D9120-8177-43A5-9C7D-E8CD8235E1B9}"/>
    <cellStyle name="20% - Accent2 3 2 3 2 4" xfId="12599" xr:uid="{6BC07BB6-EC4E-4966-8D9F-F538663474F4}"/>
    <cellStyle name="20% - Accent2 3 2 3 3" xfId="5345" xr:uid="{00000000-0005-0000-0000-0000FB000000}"/>
    <cellStyle name="20% - Accent2 3 2 3 3 2" xfId="23970" xr:uid="{DE17D922-7572-44C1-99D3-96E4224ACEFE}"/>
    <cellStyle name="20% - Accent2 3 2 3 3 3" xfId="14671" xr:uid="{C4D5AEAE-3346-49CE-8AEC-4547B1F6DDFE}"/>
    <cellStyle name="20% - Accent2 3 2 3 4" xfId="19753" xr:uid="{12ECECCB-FE1E-4E66-BD2A-23F8916ECFCC}"/>
    <cellStyle name="20% - Accent2 3 2 3 5" xfId="10454" xr:uid="{B87F15C2-33FD-4785-9371-6AF28A867C2C}"/>
    <cellStyle name="20% - Accent2 3 2 4" xfId="1451" xr:uid="{00000000-0005-0000-0000-0000FC000000}"/>
    <cellStyle name="20% - Accent2 3 2 4 2" xfId="3681" xr:uid="{00000000-0005-0000-0000-0000FD000000}"/>
    <cellStyle name="20% - Accent2 3 2 4 2 2" xfId="7903" xr:uid="{00000000-0005-0000-0000-0000FE000000}"/>
    <cellStyle name="20% - Accent2 3 2 4 2 2 2" xfId="26528" xr:uid="{AA98F7C6-CA3D-4995-B210-86AA0824A529}"/>
    <cellStyle name="20% - Accent2 3 2 4 2 2 3" xfId="17229" xr:uid="{330ADFCE-F43F-485D-8684-F5255FA5A4CD}"/>
    <cellStyle name="20% - Accent2 3 2 4 2 3" xfId="22311" xr:uid="{C6C38F5D-68A9-4A09-8122-6B6BEB512DE5}"/>
    <cellStyle name="20% - Accent2 3 2 4 2 4" xfId="13012" xr:uid="{C306D286-A68A-4060-98ED-3D333DC095EE}"/>
    <cellStyle name="20% - Accent2 3 2 4 3" xfId="5758" xr:uid="{00000000-0005-0000-0000-0000FF000000}"/>
    <cellStyle name="20% - Accent2 3 2 4 3 2" xfId="24383" xr:uid="{279D3571-5AAA-4AEF-9885-9DC21D29B02B}"/>
    <cellStyle name="20% - Accent2 3 2 4 3 3" xfId="15084" xr:uid="{E2E5C200-E229-4F1C-B377-54D65B820091}"/>
    <cellStyle name="20% - Accent2 3 2 4 4" xfId="20166" xr:uid="{469DE7B2-3DBA-4468-AA96-84C6E8BB350C}"/>
    <cellStyle name="20% - Accent2 3 2 4 5" xfId="10867" xr:uid="{5D0DBBE7-1497-4DA3-8104-A2C2B22514B8}"/>
    <cellStyle name="20% - Accent2 3 2 5" xfId="1865" xr:uid="{00000000-0005-0000-0000-000000010000}"/>
    <cellStyle name="20% - Accent2 3 2 5 2" xfId="4094" xr:uid="{00000000-0005-0000-0000-000001010000}"/>
    <cellStyle name="20% - Accent2 3 2 5 2 2" xfId="8316" xr:uid="{00000000-0005-0000-0000-000002010000}"/>
    <cellStyle name="20% - Accent2 3 2 5 2 2 2" xfId="26941" xr:uid="{54BC5795-C6EB-4B41-BC55-D7EC5ED85DA9}"/>
    <cellStyle name="20% - Accent2 3 2 5 2 2 3" xfId="17642" xr:uid="{FB06906F-7281-4F76-8B3C-7EC424238EE2}"/>
    <cellStyle name="20% - Accent2 3 2 5 2 3" xfId="22724" xr:uid="{7B391F40-FF38-411E-A817-503E8B91C5CC}"/>
    <cellStyle name="20% - Accent2 3 2 5 2 4" xfId="13425" xr:uid="{337717D2-12C3-4678-B20F-13630972B4A4}"/>
    <cellStyle name="20% - Accent2 3 2 5 3" xfId="6171" xr:uid="{00000000-0005-0000-0000-000003010000}"/>
    <cellStyle name="20% - Accent2 3 2 5 3 2" xfId="24796" xr:uid="{8037911A-493E-439F-A05B-8041109DB81A}"/>
    <cellStyle name="20% - Accent2 3 2 5 3 3" xfId="15497" xr:uid="{0B5615B2-06D2-4026-80B5-4C0F37170E9F}"/>
    <cellStyle name="20% - Accent2 3 2 5 4" xfId="20579" xr:uid="{685D7AE5-2416-482A-885A-2AE88B19DB7D}"/>
    <cellStyle name="20% - Accent2 3 2 5 5" xfId="11280" xr:uid="{13B494E9-6D9D-4BCB-A119-95DFA2DCC7AE}"/>
    <cellStyle name="20% - Accent2 3 2 6" xfId="2278" xr:uid="{00000000-0005-0000-0000-000004010000}"/>
    <cellStyle name="20% - Accent2 3 2 6 2" xfId="6584" xr:uid="{00000000-0005-0000-0000-000005010000}"/>
    <cellStyle name="20% - Accent2 3 2 6 2 2" xfId="25209" xr:uid="{FCA8AEB0-F4E0-43E9-BD16-E47F2BC3321F}"/>
    <cellStyle name="20% - Accent2 3 2 6 2 3" xfId="15910" xr:uid="{DB63A6FC-5267-4B18-A9CD-BD4D7D2BF0FE}"/>
    <cellStyle name="20% - Accent2 3 2 6 3" xfId="20992" xr:uid="{878E5FEE-1205-49EF-B026-F07F006BAC65}"/>
    <cellStyle name="20% - Accent2 3 2 6 4" xfId="11693" xr:uid="{FDAED4FB-9660-42B6-93F7-CE6F68B712D2}"/>
    <cellStyle name="20% - Accent2 3 2 7" xfId="4518" xr:uid="{00000000-0005-0000-0000-000006010000}"/>
    <cellStyle name="20% - Accent2 3 2 7 2" xfId="23143" xr:uid="{3C0EC975-A6C4-438E-9D24-DCE517677554}"/>
    <cellStyle name="20% - Accent2 3 2 7 3" xfId="13844" xr:uid="{C5539F26-4B26-4B6E-BA51-072DCFC8B54A}"/>
    <cellStyle name="20% - Accent2 3 2 8" xfId="9070" xr:uid="{8A9168BA-490F-4E57-83EA-22187D24153F}"/>
    <cellStyle name="20% - Accent2 3 2 8 2" xfId="27693" xr:uid="{70CFEAA6-71A3-4AF1-A6F9-3F977F62D443}"/>
    <cellStyle name="20% - Accent2 3 2 8 3" xfId="18394" xr:uid="{7329428D-45F6-4DE2-98B8-7DF71CAE5AE8}"/>
    <cellStyle name="20% - Accent2 3 2 9" xfId="18926" xr:uid="{EC9C75ED-124D-4016-A695-6EA6CC710A52}"/>
    <cellStyle name="20% - Accent2 3 3" xfId="583" xr:uid="{00000000-0005-0000-0000-000007010000}"/>
    <cellStyle name="20% - Accent2 3 3 2" xfId="2854" xr:uid="{00000000-0005-0000-0000-000008010000}"/>
    <cellStyle name="20% - Accent2 3 3 2 2" xfId="7076" xr:uid="{00000000-0005-0000-0000-000009010000}"/>
    <cellStyle name="20% - Accent2 3 3 2 2 2" xfId="25701" xr:uid="{94B218CD-E8F6-41B9-9D0C-38E7E926BB28}"/>
    <cellStyle name="20% - Accent2 3 3 2 2 3" xfId="16402" xr:uid="{519CAEAC-9E80-4D27-81E0-34820DED60EA}"/>
    <cellStyle name="20% - Accent2 3 3 2 3" xfId="21484" xr:uid="{9B8DCBDB-7B54-48CF-AF1B-A8A61EAC3105}"/>
    <cellStyle name="20% - Accent2 3 3 2 4" xfId="12185" xr:uid="{0FBA8A05-DBB6-4C6F-AF72-0B616F616115}"/>
    <cellStyle name="20% - Accent2 3 3 3" xfId="4931" xr:uid="{00000000-0005-0000-0000-00000A010000}"/>
    <cellStyle name="20% - Accent2 3 3 3 2" xfId="23556" xr:uid="{297E231E-9037-43CC-B843-EB59F0B827FF}"/>
    <cellStyle name="20% - Accent2 3 3 3 3" xfId="14257" xr:uid="{30881D10-9179-4265-8ECD-661078E47FCB}"/>
    <cellStyle name="20% - Accent2 3 3 4" xfId="9288" xr:uid="{FCD70616-ECAD-4A0B-889F-4698E1AD889E}"/>
    <cellStyle name="20% - Accent2 3 3 4 2" xfId="27902" xr:uid="{25891908-1170-44AC-8039-1D2C8F2C1064}"/>
    <cellStyle name="20% - Accent2 3 3 4 3" xfId="18603" xr:uid="{C1CDED23-79AA-4A1A-853D-BD25A88CDEB9}"/>
    <cellStyle name="20% - Accent2 3 3 5" xfId="19339" xr:uid="{F8968791-C53B-46E3-8508-4B341992B9DD}"/>
    <cellStyle name="20% - Accent2 3 3 6" xfId="10040" xr:uid="{A6BD862D-D486-461A-AFBC-917B77CFF0D8}"/>
    <cellStyle name="20% - Accent2 3 4" xfId="1036" xr:uid="{00000000-0005-0000-0000-00000B010000}"/>
    <cellStyle name="20% - Accent2 3 4 2" xfId="3267" xr:uid="{00000000-0005-0000-0000-00000C010000}"/>
    <cellStyle name="20% - Accent2 3 4 2 2" xfId="7489" xr:uid="{00000000-0005-0000-0000-00000D010000}"/>
    <cellStyle name="20% - Accent2 3 4 2 2 2" xfId="26114" xr:uid="{8BE80B2D-ACF5-4E60-BD6B-39A83628B9E2}"/>
    <cellStyle name="20% - Accent2 3 4 2 2 3" xfId="16815" xr:uid="{9272246C-CA7F-491F-960F-8DCE538E2DA2}"/>
    <cellStyle name="20% - Accent2 3 4 2 3" xfId="21897" xr:uid="{D4C9FD46-5BC1-49CF-928D-2FCF5DDC9487}"/>
    <cellStyle name="20% - Accent2 3 4 2 4" xfId="12598" xr:uid="{68EA5038-0361-4939-BE76-882DCCB4E507}"/>
    <cellStyle name="20% - Accent2 3 4 3" xfId="5344" xr:uid="{00000000-0005-0000-0000-00000E010000}"/>
    <cellStyle name="20% - Accent2 3 4 3 2" xfId="23969" xr:uid="{47254206-73FB-436D-9E44-2947A4466050}"/>
    <cellStyle name="20% - Accent2 3 4 3 3" xfId="14670" xr:uid="{A7DFF3BC-A2B0-497C-BD8F-370870D1C3C9}"/>
    <cellStyle name="20% - Accent2 3 4 4" xfId="19752" xr:uid="{59C4A76D-40FA-4BAA-B688-5CDE1AD69DAA}"/>
    <cellStyle name="20% - Accent2 3 4 5" xfId="10453" xr:uid="{C9BDF255-240A-460C-8116-4CC87697EB6E}"/>
    <cellStyle name="20% - Accent2 3 5" xfId="1450" xr:uid="{00000000-0005-0000-0000-00000F010000}"/>
    <cellStyle name="20% - Accent2 3 5 2" xfId="3680" xr:uid="{00000000-0005-0000-0000-000010010000}"/>
    <cellStyle name="20% - Accent2 3 5 2 2" xfId="7902" xr:uid="{00000000-0005-0000-0000-000011010000}"/>
    <cellStyle name="20% - Accent2 3 5 2 2 2" xfId="26527" xr:uid="{7D2EC178-1137-4A6C-A038-42C9DEE4C1A8}"/>
    <cellStyle name="20% - Accent2 3 5 2 2 3" xfId="17228" xr:uid="{C332E1EE-DFE4-433A-B38F-37AA68349328}"/>
    <cellStyle name="20% - Accent2 3 5 2 3" xfId="22310" xr:uid="{36F34928-5D46-45EB-BB8D-58522F17285F}"/>
    <cellStyle name="20% - Accent2 3 5 2 4" xfId="13011" xr:uid="{21C6D68C-5E4B-4670-97F9-56B78E45CF80}"/>
    <cellStyle name="20% - Accent2 3 5 3" xfId="5757" xr:uid="{00000000-0005-0000-0000-000012010000}"/>
    <cellStyle name="20% - Accent2 3 5 3 2" xfId="24382" xr:uid="{D6D0F5AD-22A3-404B-9B8D-EFE74C2F34ED}"/>
    <cellStyle name="20% - Accent2 3 5 3 3" xfId="15083" xr:uid="{AB9D1C12-6998-4EFD-AAD5-2F34D24E8CC8}"/>
    <cellStyle name="20% - Accent2 3 5 4" xfId="20165" xr:uid="{5C3F6A86-D3AA-4CF8-93C7-439BF9681B5C}"/>
    <cellStyle name="20% - Accent2 3 5 5" xfId="10866" xr:uid="{5EBF68CA-64E7-4D80-987C-AB7231A77C15}"/>
    <cellStyle name="20% - Accent2 3 6" xfId="1864" xr:uid="{00000000-0005-0000-0000-000013010000}"/>
    <cellStyle name="20% - Accent2 3 6 2" xfId="4093" xr:uid="{00000000-0005-0000-0000-000014010000}"/>
    <cellStyle name="20% - Accent2 3 6 2 2" xfId="8315" xr:uid="{00000000-0005-0000-0000-000015010000}"/>
    <cellStyle name="20% - Accent2 3 6 2 2 2" xfId="26940" xr:uid="{FB021D57-0B57-404E-9771-F0C7AC83A085}"/>
    <cellStyle name="20% - Accent2 3 6 2 2 3" xfId="17641" xr:uid="{69D776A3-F11C-4029-AA2A-E087BC13BA69}"/>
    <cellStyle name="20% - Accent2 3 6 2 3" xfId="22723" xr:uid="{0618AA63-C415-4C30-B5C2-393B716C594B}"/>
    <cellStyle name="20% - Accent2 3 6 2 4" xfId="13424" xr:uid="{835926D6-D155-4E4B-9DD9-57C7940CD7A8}"/>
    <cellStyle name="20% - Accent2 3 6 3" xfId="6170" xr:uid="{00000000-0005-0000-0000-000016010000}"/>
    <cellStyle name="20% - Accent2 3 6 3 2" xfId="24795" xr:uid="{C55CE6A1-18C5-4937-BD5B-097144A1BBFF}"/>
    <cellStyle name="20% - Accent2 3 6 3 3" xfId="15496" xr:uid="{38BC9D14-6ABE-4F99-A467-5DBB767EA676}"/>
    <cellStyle name="20% - Accent2 3 6 4" xfId="20578" xr:uid="{F9EBA06F-3A10-4740-A53E-4DB6042AB46C}"/>
    <cellStyle name="20% - Accent2 3 6 5" xfId="11279" xr:uid="{0C82B068-ADD2-4320-8CD0-31659887AFB2}"/>
    <cellStyle name="20% - Accent2 3 7" xfId="2277" xr:uid="{00000000-0005-0000-0000-000017010000}"/>
    <cellStyle name="20% - Accent2 3 7 2" xfId="6583" xr:uid="{00000000-0005-0000-0000-000018010000}"/>
    <cellStyle name="20% - Accent2 3 7 2 2" xfId="25208" xr:uid="{28A5A8CD-CC12-45CA-9673-DCDE1F538589}"/>
    <cellStyle name="20% - Accent2 3 7 2 3" xfId="15909" xr:uid="{21366A61-CEBF-486C-9C58-B04E0703B4DA}"/>
    <cellStyle name="20% - Accent2 3 7 3" xfId="20991" xr:uid="{DA953C19-150D-4455-868A-A3FB0F0465E6}"/>
    <cellStyle name="20% - Accent2 3 7 4" xfId="11692" xr:uid="{1E0E47C2-6F55-479A-B01E-6A3C9F5624B2}"/>
    <cellStyle name="20% - Accent2 3 8" xfId="4517" xr:uid="{00000000-0005-0000-0000-000019010000}"/>
    <cellStyle name="20% - Accent2 3 8 2" xfId="23142" xr:uid="{7BF95B94-3236-4F7B-A8E7-D6E5AA5F2C7A}"/>
    <cellStyle name="20% - Accent2 3 8 3" xfId="13843" xr:uid="{19DEA2F2-F282-4C1A-A323-B37B374213E4}"/>
    <cellStyle name="20% - Accent2 3 9" xfId="8863" xr:uid="{C6A258FB-33DC-4171-B9DD-C29513CA80FD}"/>
    <cellStyle name="20% - Accent2 3 9 2" xfId="27486" xr:uid="{C1D64D88-320C-4FD4-87AF-C99116105BE5}"/>
    <cellStyle name="20% - Accent2 3 9 3" xfId="18187" xr:uid="{9275DA81-15FB-4491-9816-F8B4216301A9}"/>
    <cellStyle name="20% - Accent2 4" xfId="16" xr:uid="{00000000-0005-0000-0000-00001A010000}"/>
    <cellStyle name="20% - Accent2 4 10" xfId="9628" xr:uid="{12770D5C-1247-485B-A6CF-3B0798922BA8}"/>
    <cellStyle name="20% - Accent2 4 2" xfId="585" xr:uid="{00000000-0005-0000-0000-00001B010000}"/>
    <cellStyle name="20% - Accent2 4 2 2" xfId="2856" xr:uid="{00000000-0005-0000-0000-00001C010000}"/>
    <cellStyle name="20% - Accent2 4 2 2 2" xfId="7078" xr:uid="{00000000-0005-0000-0000-00001D010000}"/>
    <cellStyle name="20% - Accent2 4 2 2 2 2" xfId="25703" xr:uid="{49914F26-8B6C-4636-A630-C2D9B3B948A3}"/>
    <cellStyle name="20% - Accent2 4 2 2 2 3" xfId="16404" xr:uid="{D033D412-291B-4C23-A840-0852115306AF}"/>
    <cellStyle name="20% - Accent2 4 2 2 3" xfId="21486" xr:uid="{906D00B8-D706-4783-ABAB-407A6740884C}"/>
    <cellStyle name="20% - Accent2 4 2 2 4" xfId="12187" xr:uid="{16B32EC5-0D51-40EC-91FC-F5F517A80065}"/>
    <cellStyle name="20% - Accent2 4 2 3" xfId="4933" xr:uid="{00000000-0005-0000-0000-00001E010000}"/>
    <cellStyle name="20% - Accent2 4 2 3 2" xfId="23558" xr:uid="{75D8A9AE-52E5-40FD-91C9-4DF1ACBDDDDC}"/>
    <cellStyle name="20% - Accent2 4 2 3 3" xfId="14259" xr:uid="{A1267818-6BE8-4DC4-BB78-DC0F3DBBFA59}"/>
    <cellStyle name="20% - Accent2 4 2 4" xfId="9374" xr:uid="{26FD7A0E-8D04-4AF7-B092-2B22A78F0A97}"/>
    <cellStyle name="20% - Accent2 4 2 4 2" xfId="27988" xr:uid="{063050C8-5D7D-4499-8336-6BC123056A47}"/>
    <cellStyle name="20% - Accent2 4 2 4 3" xfId="18689" xr:uid="{FB26B0FC-6D55-4EBE-9900-65CB9EA631EE}"/>
    <cellStyle name="20% - Accent2 4 2 5" xfId="19341" xr:uid="{E49E7CD2-CDD6-4752-8A04-914CFC889971}"/>
    <cellStyle name="20% - Accent2 4 2 6" xfId="10042" xr:uid="{255643C4-7CB6-45E4-95F8-A71CD7D4E9D6}"/>
    <cellStyle name="20% - Accent2 4 3" xfId="1038" xr:uid="{00000000-0005-0000-0000-00001F010000}"/>
    <cellStyle name="20% - Accent2 4 3 2" xfId="3269" xr:uid="{00000000-0005-0000-0000-000020010000}"/>
    <cellStyle name="20% - Accent2 4 3 2 2" xfId="7491" xr:uid="{00000000-0005-0000-0000-000021010000}"/>
    <cellStyle name="20% - Accent2 4 3 2 2 2" xfId="26116" xr:uid="{067FB33E-2B58-4847-BA58-504EE7417F73}"/>
    <cellStyle name="20% - Accent2 4 3 2 2 3" xfId="16817" xr:uid="{E2B3752D-DB89-4079-8265-1B31BD8E9700}"/>
    <cellStyle name="20% - Accent2 4 3 2 3" xfId="21899" xr:uid="{CC3167BB-8B5D-4D96-98E4-AE056734D2EC}"/>
    <cellStyle name="20% - Accent2 4 3 2 4" xfId="12600" xr:uid="{FAC10A85-ED7A-44D3-B936-CBAE96D985E3}"/>
    <cellStyle name="20% - Accent2 4 3 3" xfId="5346" xr:uid="{00000000-0005-0000-0000-000022010000}"/>
    <cellStyle name="20% - Accent2 4 3 3 2" xfId="23971" xr:uid="{1D3E27BB-F7FA-4F3C-8183-B9EBC1A2470A}"/>
    <cellStyle name="20% - Accent2 4 3 3 3" xfId="14672" xr:uid="{3ABE1A67-6FE2-4906-8945-9050B2BFDDC9}"/>
    <cellStyle name="20% - Accent2 4 3 4" xfId="19754" xr:uid="{E959B92F-A911-4BC1-8553-521DE5949734}"/>
    <cellStyle name="20% - Accent2 4 3 5" xfId="10455" xr:uid="{79AF8A00-3FBA-45D6-8F3A-DAC87E0D56EC}"/>
    <cellStyle name="20% - Accent2 4 4" xfId="1452" xr:uid="{00000000-0005-0000-0000-000023010000}"/>
    <cellStyle name="20% - Accent2 4 4 2" xfId="3682" xr:uid="{00000000-0005-0000-0000-000024010000}"/>
    <cellStyle name="20% - Accent2 4 4 2 2" xfId="7904" xr:uid="{00000000-0005-0000-0000-000025010000}"/>
    <cellStyle name="20% - Accent2 4 4 2 2 2" xfId="26529" xr:uid="{251B265F-FC79-471F-8FB1-1A14C6C2F435}"/>
    <cellStyle name="20% - Accent2 4 4 2 2 3" xfId="17230" xr:uid="{0368161F-0886-4787-8C8B-243333792A27}"/>
    <cellStyle name="20% - Accent2 4 4 2 3" xfId="22312" xr:uid="{62AA379B-2002-41EA-AD52-C5822679BAB0}"/>
    <cellStyle name="20% - Accent2 4 4 2 4" xfId="13013" xr:uid="{8150B954-C2BF-4B4A-9980-0627F3628CB2}"/>
    <cellStyle name="20% - Accent2 4 4 3" xfId="5759" xr:uid="{00000000-0005-0000-0000-000026010000}"/>
    <cellStyle name="20% - Accent2 4 4 3 2" xfId="24384" xr:uid="{2641FECD-6105-48EB-930E-56A3E834AA3D}"/>
    <cellStyle name="20% - Accent2 4 4 3 3" xfId="15085" xr:uid="{D463D8D4-516F-4DC3-8706-B3D0C7C3BAF7}"/>
    <cellStyle name="20% - Accent2 4 4 4" xfId="20167" xr:uid="{B7DA8911-D378-4C19-91BD-EE91BD24FE29}"/>
    <cellStyle name="20% - Accent2 4 4 5" xfId="10868" xr:uid="{40614D62-131E-4EE1-BDEB-C937A407E336}"/>
    <cellStyle name="20% - Accent2 4 5" xfId="1866" xr:uid="{00000000-0005-0000-0000-000027010000}"/>
    <cellStyle name="20% - Accent2 4 5 2" xfId="4095" xr:uid="{00000000-0005-0000-0000-000028010000}"/>
    <cellStyle name="20% - Accent2 4 5 2 2" xfId="8317" xr:uid="{00000000-0005-0000-0000-000029010000}"/>
    <cellStyle name="20% - Accent2 4 5 2 2 2" xfId="26942" xr:uid="{1FD2121C-6B3E-47FB-A3B7-41D8C17B03AB}"/>
    <cellStyle name="20% - Accent2 4 5 2 2 3" xfId="17643" xr:uid="{9E9E85F9-E935-438F-A3E8-7FCE037DB840}"/>
    <cellStyle name="20% - Accent2 4 5 2 3" xfId="22725" xr:uid="{7EE769E9-5F57-4CBF-918C-BA3EA0545796}"/>
    <cellStyle name="20% - Accent2 4 5 2 4" xfId="13426" xr:uid="{F4AF3229-D442-494A-89C7-8EDE7886CE95}"/>
    <cellStyle name="20% - Accent2 4 5 3" xfId="6172" xr:uid="{00000000-0005-0000-0000-00002A010000}"/>
    <cellStyle name="20% - Accent2 4 5 3 2" xfId="24797" xr:uid="{0ED1676E-7E63-45AB-8E20-D1463B1A8B70}"/>
    <cellStyle name="20% - Accent2 4 5 3 3" xfId="15498" xr:uid="{CD3E0338-2654-4663-B61C-1142C07F18C4}"/>
    <cellStyle name="20% - Accent2 4 5 4" xfId="20580" xr:uid="{745E107D-F3E6-48E6-8469-3DD9103E36D8}"/>
    <cellStyle name="20% - Accent2 4 5 5" xfId="11281" xr:uid="{E8C5208C-AECB-4F25-823C-DB464D35E392}"/>
    <cellStyle name="20% - Accent2 4 6" xfId="2279" xr:uid="{00000000-0005-0000-0000-00002B010000}"/>
    <cellStyle name="20% - Accent2 4 6 2" xfId="6585" xr:uid="{00000000-0005-0000-0000-00002C010000}"/>
    <cellStyle name="20% - Accent2 4 6 2 2" xfId="25210" xr:uid="{F3F5360C-7775-4ADA-B6AC-6AB3E578C7FF}"/>
    <cellStyle name="20% - Accent2 4 6 2 3" xfId="15911" xr:uid="{ECED5909-9832-49F8-B99B-7B5D146FD2BF}"/>
    <cellStyle name="20% - Accent2 4 6 3" xfId="20993" xr:uid="{92C18068-40C1-489A-898F-98C4A53D162D}"/>
    <cellStyle name="20% - Accent2 4 6 4" xfId="11694" xr:uid="{4327FF7B-1EB7-4886-89A5-110C965D3205}"/>
    <cellStyle name="20% - Accent2 4 7" xfId="4519" xr:uid="{00000000-0005-0000-0000-00002D010000}"/>
    <cellStyle name="20% - Accent2 4 7 2" xfId="23144" xr:uid="{838D953C-69B9-4D45-AF2A-B157D217A4C8}"/>
    <cellStyle name="20% - Accent2 4 7 3" xfId="13845" xr:uid="{3EAF0473-DD55-40B0-BF6D-1CC69AA2BD2A}"/>
    <cellStyle name="20% - Accent2 4 8" xfId="8949" xr:uid="{084C22A9-B904-4AFE-A752-AC1DC2CA76B8}"/>
    <cellStyle name="20% - Accent2 4 8 2" xfId="27572" xr:uid="{0042B448-A1B6-485A-AC86-E662B4B6EDC6}"/>
    <cellStyle name="20% - Accent2 4 8 3" xfId="18273" xr:uid="{E6897183-45C6-4448-92E1-1F2F543E6097}"/>
    <cellStyle name="20% - Accent2 4 9" xfId="18927" xr:uid="{AF74DCDA-1DFE-41EB-B1D3-AC0A3F4BD4C3}"/>
    <cellStyle name="20% - Accent2 5" xfId="578" xr:uid="{00000000-0005-0000-0000-00002E010000}"/>
    <cellStyle name="20% - Accent2 5 2" xfId="2849" xr:uid="{00000000-0005-0000-0000-00002F010000}"/>
    <cellStyle name="20% - Accent2 5 2 2" xfId="7071" xr:uid="{00000000-0005-0000-0000-000030010000}"/>
    <cellStyle name="20% - Accent2 5 2 2 2" xfId="25696" xr:uid="{4816B9AA-E752-4CE8-BF62-AFAAB3FBE4EB}"/>
    <cellStyle name="20% - Accent2 5 2 2 3" xfId="16397" xr:uid="{410E9DD1-F0F4-4473-B363-FDD7BC3F7846}"/>
    <cellStyle name="20% - Accent2 5 2 3" xfId="21479" xr:uid="{E0AC4F5D-44ED-471E-B94C-FD1227BC02AD}"/>
    <cellStyle name="20% - Accent2 5 2 4" xfId="12180" xr:uid="{B9066049-9C55-4979-9591-74DE4EEC691F}"/>
    <cellStyle name="20% - Accent2 5 3" xfId="4926" xr:uid="{00000000-0005-0000-0000-000031010000}"/>
    <cellStyle name="20% - Accent2 5 3 2" xfId="23551" xr:uid="{A32BD5C6-CE06-40CD-B002-7B472D7341FD}"/>
    <cellStyle name="20% - Accent2 5 3 3" xfId="14252" xr:uid="{905E215D-73B7-4F40-80D2-5DB91970FD4E}"/>
    <cellStyle name="20% - Accent2 5 4" xfId="9182" xr:uid="{F822E263-B2A4-41B5-BBF9-FCE1A7A30601}"/>
    <cellStyle name="20% - Accent2 5 4 2" xfId="27799" xr:uid="{2A9EB8A6-06F1-4C29-9DCF-A89116B433F0}"/>
    <cellStyle name="20% - Accent2 5 4 3" xfId="18500" xr:uid="{96BD6F9B-1D81-4413-B88B-C76D98328CA4}"/>
    <cellStyle name="20% - Accent2 5 5" xfId="19334" xr:uid="{5471B72C-D0AB-454F-A4AA-1370D40EAA58}"/>
    <cellStyle name="20% - Accent2 5 6" xfId="10035" xr:uid="{012768F3-770C-47BE-86AB-70DD2190A7BF}"/>
    <cellStyle name="20% - Accent2 6" xfId="1031" xr:uid="{00000000-0005-0000-0000-000032010000}"/>
    <cellStyle name="20% - Accent2 6 2" xfId="3262" xr:uid="{00000000-0005-0000-0000-000033010000}"/>
    <cellStyle name="20% - Accent2 6 2 2" xfId="7484" xr:uid="{00000000-0005-0000-0000-000034010000}"/>
    <cellStyle name="20% - Accent2 6 2 2 2" xfId="26109" xr:uid="{E6185472-24F3-4FBE-B3D7-A6F181B88A7B}"/>
    <cellStyle name="20% - Accent2 6 2 2 3" xfId="16810" xr:uid="{8F032F7F-57A5-407F-AD30-490C5BC516A4}"/>
    <cellStyle name="20% - Accent2 6 2 3" xfId="21892" xr:uid="{5F5E7C1C-07AA-4FC3-915E-0DD11F60C76A}"/>
    <cellStyle name="20% - Accent2 6 2 4" xfId="12593" xr:uid="{942D79AC-BE77-41B6-ABD5-E8866F322FE0}"/>
    <cellStyle name="20% - Accent2 6 3" xfId="5339" xr:uid="{00000000-0005-0000-0000-000035010000}"/>
    <cellStyle name="20% - Accent2 6 3 2" xfId="23964" xr:uid="{A7535B59-CDD5-4D62-86BD-3D28B44AE9DD}"/>
    <cellStyle name="20% - Accent2 6 3 3" xfId="14665" xr:uid="{43410372-BE3A-4877-B380-ED3228197DAA}"/>
    <cellStyle name="20% - Accent2 6 4" xfId="19747" xr:uid="{E2F13231-460F-425A-B52F-E5DDC63C3225}"/>
    <cellStyle name="20% - Accent2 6 5" xfId="10448" xr:uid="{6803182D-ECD7-4FC6-9908-25772360B782}"/>
    <cellStyle name="20% - Accent2 7" xfId="1445" xr:uid="{00000000-0005-0000-0000-000036010000}"/>
    <cellStyle name="20% - Accent2 7 2" xfId="3675" xr:uid="{00000000-0005-0000-0000-000037010000}"/>
    <cellStyle name="20% - Accent2 7 2 2" xfId="7897" xr:uid="{00000000-0005-0000-0000-000038010000}"/>
    <cellStyle name="20% - Accent2 7 2 2 2" xfId="26522" xr:uid="{CF1407B5-5111-4391-847B-BF0F5C5E73CE}"/>
    <cellStyle name="20% - Accent2 7 2 2 3" xfId="17223" xr:uid="{8B4BDA10-E7AC-49FD-BF6D-7336DAE75E45}"/>
    <cellStyle name="20% - Accent2 7 2 3" xfId="22305" xr:uid="{2C5864A1-3AC6-4E3B-BE94-69D3CFADF254}"/>
    <cellStyle name="20% - Accent2 7 2 4" xfId="13006" xr:uid="{8C383FAE-1D7C-4A21-895A-D626226DD9C5}"/>
    <cellStyle name="20% - Accent2 7 3" xfId="5752" xr:uid="{00000000-0005-0000-0000-000039010000}"/>
    <cellStyle name="20% - Accent2 7 3 2" xfId="24377" xr:uid="{4A940C3E-08CC-4B2C-A259-171FC99FFECA}"/>
    <cellStyle name="20% - Accent2 7 3 3" xfId="15078" xr:uid="{49F755FB-A5BD-4D69-A117-66E9CCEAFAAC}"/>
    <cellStyle name="20% - Accent2 7 4" xfId="20160" xr:uid="{FD1D7E2B-0595-479F-999C-CD61A993EBAE}"/>
    <cellStyle name="20% - Accent2 7 5" xfId="10861" xr:uid="{2944016B-B70E-42BC-9678-AEBF197468F9}"/>
    <cellStyle name="20% - Accent2 8" xfId="1859" xr:uid="{00000000-0005-0000-0000-00003A010000}"/>
    <cellStyle name="20% - Accent2 8 2" xfId="4088" xr:uid="{00000000-0005-0000-0000-00003B010000}"/>
    <cellStyle name="20% - Accent2 8 2 2" xfId="8310" xr:uid="{00000000-0005-0000-0000-00003C010000}"/>
    <cellStyle name="20% - Accent2 8 2 2 2" xfId="26935" xr:uid="{C845E463-09B4-4F46-A6A8-99BAD89737DB}"/>
    <cellStyle name="20% - Accent2 8 2 2 3" xfId="17636" xr:uid="{DB57D670-7EB9-455D-9619-0290EE6258CE}"/>
    <cellStyle name="20% - Accent2 8 2 3" xfId="22718" xr:uid="{1D3878C2-BAD2-4B45-889C-22965B996566}"/>
    <cellStyle name="20% - Accent2 8 2 4" xfId="13419" xr:uid="{D3BC70B9-9F59-4A7C-BAFF-3CDD39A882A9}"/>
    <cellStyle name="20% - Accent2 8 3" xfId="6165" xr:uid="{00000000-0005-0000-0000-00003D010000}"/>
    <cellStyle name="20% - Accent2 8 3 2" xfId="24790" xr:uid="{AA3CC50B-8ADD-4F5A-AC25-5DD7ADDD2EDD}"/>
    <cellStyle name="20% - Accent2 8 3 3" xfId="15491" xr:uid="{292FBE79-9C99-447B-9AC8-FECD4F013E39}"/>
    <cellStyle name="20% - Accent2 8 4" xfId="20573" xr:uid="{1A137908-55B8-4091-B229-532501A09A84}"/>
    <cellStyle name="20% - Accent2 8 5" xfId="11274" xr:uid="{ACFF7AFB-FE91-4F73-B7D5-AAFAAC874F92}"/>
    <cellStyle name="20% - Accent2 9" xfId="2272" xr:uid="{00000000-0005-0000-0000-00003E010000}"/>
    <cellStyle name="20% - Accent2 9 2" xfId="6578" xr:uid="{00000000-0005-0000-0000-00003F010000}"/>
    <cellStyle name="20% - Accent2 9 2 2" xfId="25203" xr:uid="{D39A06A7-9CC7-4885-827E-C65699DCE431}"/>
    <cellStyle name="20% - Accent2 9 2 3" xfId="15904" xr:uid="{C60CE003-9B3E-487C-BE58-1B52DBF257AA}"/>
    <cellStyle name="20% - Accent2 9 3" xfId="20986" xr:uid="{274A7195-C972-493E-A8D0-9CB03CC98266}"/>
    <cellStyle name="20% - Accent2 9 4" xfId="11687" xr:uid="{23E41E39-6518-40DE-A828-43AAF23C6310}"/>
    <cellStyle name="20% - Accent3" xfId="17" builtinId="38" customBuiltin="1"/>
    <cellStyle name="20% - Accent3 10" xfId="4520" xr:uid="{00000000-0005-0000-0000-000041010000}"/>
    <cellStyle name="20% - Accent3 10 2" xfId="23145" xr:uid="{30F48C63-0B1C-43AC-8D21-636987A32E4B}"/>
    <cellStyle name="20% - Accent3 10 3" xfId="13846" xr:uid="{E47824C0-2480-424E-A2BD-58AFD938A163}"/>
    <cellStyle name="20% - Accent3 11" xfId="8762" xr:uid="{49ACF776-43E7-4BB5-82F5-A8A4FEBC45F8}"/>
    <cellStyle name="20% - Accent3 11 2" xfId="27385" xr:uid="{6160553D-165A-46D6-93B8-1CCBFB54C6A4}"/>
    <cellStyle name="20% - Accent3 11 3" xfId="18086" xr:uid="{318C1B4E-6477-43A7-8A93-85C9D260F7D6}"/>
    <cellStyle name="20% - Accent3 12" xfId="18928" xr:uid="{35A0916A-79DD-4F91-8F36-BD3FB67F1C08}"/>
    <cellStyle name="20% - Accent3 13" xfId="9629" xr:uid="{5F0640D1-3368-4112-90A8-EBE7AED27AF0}"/>
    <cellStyle name="20% - Accent3 2" xfId="18" xr:uid="{00000000-0005-0000-0000-000042010000}"/>
    <cellStyle name="20% - Accent3 2 10" xfId="8792" xr:uid="{65E5762F-047C-4860-B47E-71363924E2A5}"/>
    <cellStyle name="20% - Accent3 2 10 2" xfId="27415" xr:uid="{79F3F036-C3B2-4FF2-8B2C-7460B65F58F8}"/>
    <cellStyle name="20% - Accent3 2 10 3" xfId="18116" xr:uid="{ADDFBC51-9A63-43B3-A72B-7F0AF2EC25B8}"/>
    <cellStyle name="20% - Accent3 2 11" xfId="18929" xr:uid="{8299CF04-7596-40B2-A095-F7C97D408414}"/>
    <cellStyle name="20% - Accent3 2 12" xfId="9630" xr:uid="{A021F2A3-39ED-43A5-84FF-15136FEB784F}"/>
    <cellStyle name="20% - Accent3 2 2" xfId="19" xr:uid="{00000000-0005-0000-0000-000043010000}"/>
    <cellStyle name="20% - Accent3 2 2 10" xfId="18930" xr:uid="{701EDD59-80CA-41D4-97FC-144174AA1DC3}"/>
    <cellStyle name="20% - Accent3 2 2 11" xfId="9631" xr:uid="{C6E325F1-9524-4F3C-B706-EF5A67A31761}"/>
    <cellStyle name="20% - Accent3 2 2 2" xfId="20" xr:uid="{00000000-0005-0000-0000-000044010000}"/>
    <cellStyle name="20% - Accent3 2 2 2 10" xfId="9632" xr:uid="{E4F9B0F4-AD15-4236-9B26-E470C7016717}"/>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2 2 2" xfId="25707" xr:uid="{13D939AD-2DC4-46E4-970E-E0303DE425C6}"/>
    <cellStyle name="20% - Accent3 2 2 2 2 2 2 3" xfId="16408" xr:uid="{6B802D43-038D-4782-B298-6A3B43446CD1}"/>
    <cellStyle name="20% - Accent3 2 2 2 2 2 3" xfId="21490" xr:uid="{1A339320-1411-416D-9CA5-F41BBD377589}"/>
    <cellStyle name="20% - Accent3 2 2 2 2 2 4" xfId="12191" xr:uid="{219B857A-02DE-42A7-95A9-3C71801D9CF0}"/>
    <cellStyle name="20% - Accent3 2 2 2 2 3" xfId="4937" xr:uid="{00000000-0005-0000-0000-000048010000}"/>
    <cellStyle name="20% - Accent3 2 2 2 2 3 2" xfId="23562" xr:uid="{33EE2337-60FF-48BE-A529-0F0713FF1D2A}"/>
    <cellStyle name="20% - Accent3 2 2 2 2 3 3" xfId="14263" xr:uid="{7C8E4DA0-B954-4587-80B4-C2036CCE984E}"/>
    <cellStyle name="20% - Accent3 2 2 2 2 4" xfId="9527" xr:uid="{B82F9F3C-4714-4F10-BEB2-F90FC0563F53}"/>
    <cellStyle name="20% - Accent3 2 2 2 2 4 2" xfId="28141" xr:uid="{41E26CEC-D4E1-48F9-B734-ECE581089FA3}"/>
    <cellStyle name="20% - Accent3 2 2 2 2 4 3" xfId="18842" xr:uid="{E5FE4D62-2D0F-47CA-A301-2B86A7F1ED3B}"/>
    <cellStyle name="20% - Accent3 2 2 2 2 5" xfId="19345" xr:uid="{EBBC9AC8-4DE5-4756-BE99-9735D0AF088A}"/>
    <cellStyle name="20% - Accent3 2 2 2 2 6" xfId="10046" xr:uid="{3E9C2C48-CC64-4493-A898-671C4C15BF6F}"/>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2 2 2" xfId="26120" xr:uid="{74C323BC-2D68-4A39-A109-757AAE95E72F}"/>
    <cellStyle name="20% - Accent3 2 2 2 3 2 2 3" xfId="16821" xr:uid="{C90975E2-B923-4E0E-AF29-7C1BADBB0548}"/>
    <cellStyle name="20% - Accent3 2 2 2 3 2 3" xfId="21903" xr:uid="{476D9F56-9D73-4C5D-968E-5BE904B7A129}"/>
    <cellStyle name="20% - Accent3 2 2 2 3 2 4" xfId="12604" xr:uid="{77EE11D3-FC70-479B-8F0E-400028A1D571}"/>
    <cellStyle name="20% - Accent3 2 2 2 3 3" xfId="5350" xr:uid="{00000000-0005-0000-0000-00004C010000}"/>
    <cellStyle name="20% - Accent3 2 2 2 3 3 2" xfId="23975" xr:uid="{9396211E-68C0-427C-984F-F3776C248DF1}"/>
    <cellStyle name="20% - Accent3 2 2 2 3 3 3" xfId="14676" xr:uid="{2C1611C3-BCA8-498B-80FB-7E392D4B52E9}"/>
    <cellStyle name="20% - Accent3 2 2 2 3 4" xfId="19758" xr:uid="{BA49BDAB-901F-4CB9-9E23-239BE3B0EDD8}"/>
    <cellStyle name="20% - Accent3 2 2 2 3 5" xfId="10459" xr:uid="{32C96CE8-9EF1-46B7-9918-B7C463F89627}"/>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2 2 2" xfId="26533" xr:uid="{7E8DB97D-E309-46FE-A740-87EB4D971B0A}"/>
    <cellStyle name="20% - Accent3 2 2 2 4 2 2 3" xfId="17234" xr:uid="{00DEEC4D-4865-4688-98D4-B774F6020E75}"/>
    <cellStyle name="20% - Accent3 2 2 2 4 2 3" xfId="22316" xr:uid="{1FD2E94C-69C0-468B-8A72-29490516F2DE}"/>
    <cellStyle name="20% - Accent3 2 2 2 4 2 4" xfId="13017" xr:uid="{B35EC61E-FEFA-4F66-B529-7E443D268FF9}"/>
    <cellStyle name="20% - Accent3 2 2 2 4 3" xfId="5763" xr:uid="{00000000-0005-0000-0000-000050010000}"/>
    <cellStyle name="20% - Accent3 2 2 2 4 3 2" xfId="24388" xr:uid="{E90090BB-CD03-4479-8E83-0ABDD5042CB1}"/>
    <cellStyle name="20% - Accent3 2 2 2 4 3 3" xfId="15089" xr:uid="{A8C73C03-1667-4190-ADCD-A3321A820F07}"/>
    <cellStyle name="20% - Accent3 2 2 2 4 4" xfId="20171" xr:uid="{A7A39C9F-9F90-4633-A1BE-DE5591044AC6}"/>
    <cellStyle name="20% - Accent3 2 2 2 4 5" xfId="10872" xr:uid="{15CD7CD4-302C-46FC-996D-B1A5C69824CF}"/>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2 2 2" xfId="26946" xr:uid="{648B8957-D44B-4A3D-B867-76B241B9AB56}"/>
    <cellStyle name="20% - Accent3 2 2 2 5 2 2 3" xfId="17647" xr:uid="{78759B89-A40B-4041-9573-FB499E2E0B59}"/>
    <cellStyle name="20% - Accent3 2 2 2 5 2 3" xfId="22729" xr:uid="{90F61056-AD56-4CCB-B39C-E2139AC40814}"/>
    <cellStyle name="20% - Accent3 2 2 2 5 2 4" xfId="13430" xr:uid="{CAD06815-834F-4B53-B2C5-3BD76A37C95A}"/>
    <cellStyle name="20% - Accent3 2 2 2 5 3" xfId="6176" xr:uid="{00000000-0005-0000-0000-000054010000}"/>
    <cellStyle name="20% - Accent3 2 2 2 5 3 2" xfId="24801" xr:uid="{1332CEB2-0228-4A99-AE6F-6B38F698D450}"/>
    <cellStyle name="20% - Accent3 2 2 2 5 3 3" xfId="15502" xr:uid="{BCB3FC1B-6130-477D-95E3-3DD65C840C7B}"/>
    <cellStyle name="20% - Accent3 2 2 2 5 4" xfId="20584" xr:uid="{17D7EB9B-D378-47F5-8436-07123FE8DAFF}"/>
    <cellStyle name="20% - Accent3 2 2 2 5 5" xfId="11285" xr:uid="{A5B493CA-2765-4CDA-A2F0-E1BEAA237389}"/>
    <cellStyle name="20% - Accent3 2 2 2 6" xfId="2283" xr:uid="{00000000-0005-0000-0000-000055010000}"/>
    <cellStyle name="20% - Accent3 2 2 2 6 2" xfId="6589" xr:uid="{00000000-0005-0000-0000-000056010000}"/>
    <cellStyle name="20% - Accent3 2 2 2 6 2 2" xfId="25214" xr:uid="{7EEA9E26-5B17-41CD-87C6-0637EEF3A521}"/>
    <cellStyle name="20% - Accent3 2 2 2 6 2 3" xfId="15915" xr:uid="{06F948EA-6E69-4C3A-96C6-C568DF54506E}"/>
    <cellStyle name="20% - Accent3 2 2 2 6 3" xfId="20997" xr:uid="{0A5FE26E-52E5-416A-8405-42DB4809CD64}"/>
    <cellStyle name="20% - Accent3 2 2 2 6 4" xfId="11698" xr:uid="{79348B07-54C2-46D3-8AFB-CC518D5F427B}"/>
    <cellStyle name="20% - Accent3 2 2 2 7" xfId="4523" xr:uid="{00000000-0005-0000-0000-000057010000}"/>
    <cellStyle name="20% - Accent3 2 2 2 7 2" xfId="23148" xr:uid="{5E823795-861B-4E82-93E9-2755C75D5111}"/>
    <cellStyle name="20% - Accent3 2 2 2 7 3" xfId="13849" xr:uid="{81EBFB88-E1B1-4AFA-B41C-921225B65177}"/>
    <cellStyle name="20% - Accent3 2 2 2 8" xfId="9102" xr:uid="{77698EAD-FDE4-4105-BE80-980B5219F464}"/>
    <cellStyle name="20% - Accent3 2 2 2 8 2" xfId="27725" xr:uid="{91B33088-EF41-4FCA-8527-875A4E6D887F}"/>
    <cellStyle name="20% - Accent3 2 2 2 8 3" xfId="18426" xr:uid="{8C52DE58-3FCC-4B91-A061-D472343BE54E}"/>
    <cellStyle name="20% - Accent3 2 2 2 9" xfId="18931" xr:uid="{9562E272-9C2C-4728-9B45-7161D74FD34A}"/>
    <cellStyle name="20% - Accent3 2 2 3" xfId="588" xr:uid="{00000000-0005-0000-0000-000058010000}"/>
    <cellStyle name="20% - Accent3 2 2 3 2" xfId="2859" xr:uid="{00000000-0005-0000-0000-000059010000}"/>
    <cellStyle name="20% - Accent3 2 2 3 2 2" xfId="7081" xr:uid="{00000000-0005-0000-0000-00005A010000}"/>
    <cellStyle name="20% - Accent3 2 2 3 2 2 2" xfId="25706" xr:uid="{3C80AEC6-BFB8-48CD-A310-2E22D20710F1}"/>
    <cellStyle name="20% - Accent3 2 2 3 2 2 3" xfId="16407" xr:uid="{525D9C66-F95A-4694-A96F-FC49D6F5CE17}"/>
    <cellStyle name="20% - Accent3 2 2 3 2 3" xfId="21489" xr:uid="{40867A9D-3C06-4BB5-989B-E21F95B82D50}"/>
    <cellStyle name="20% - Accent3 2 2 3 2 4" xfId="12190" xr:uid="{FF795B50-E5CE-4690-9479-153484249188}"/>
    <cellStyle name="20% - Accent3 2 2 3 3" xfId="4936" xr:uid="{00000000-0005-0000-0000-00005B010000}"/>
    <cellStyle name="20% - Accent3 2 2 3 3 2" xfId="23561" xr:uid="{BD8DA12E-60FA-48C9-9DF0-952B8DAE14BA}"/>
    <cellStyle name="20% - Accent3 2 2 3 3 3" xfId="14262" xr:uid="{C3DE490D-6C81-46E9-B751-743597BED402}"/>
    <cellStyle name="20% - Accent3 2 2 3 4" xfId="9320" xr:uid="{BF070B19-D289-4211-B080-DBB621CAE7BA}"/>
    <cellStyle name="20% - Accent3 2 2 3 4 2" xfId="27934" xr:uid="{26FCCE4B-FB5F-45ED-AFD0-EB4AD3BCDC55}"/>
    <cellStyle name="20% - Accent3 2 2 3 4 3" xfId="18635" xr:uid="{592275A3-0C96-40AC-A843-9E243B3CC473}"/>
    <cellStyle name="20% - Accent3 2 2 3 5" xfId="19344" xr:uid="{50F4D7AC-8FFB-4037-AD73-11BA2E4CA5D2}"/>
    <cellStyle name="20% - Accent3 2 2 3 6" xfId="10045" xr:uid="{7F99246A-B37E-4EB8-A8C2-657F9FCDC9D3}"/>
    <cellStyle name="20% - Accent3 2 2 4" xfId="1041" xr:uid="{00000000-0005-0000-0000-00005C010000}"/>
    <cellStyle name="20% - Accent3 2 2 4 2" xfId="3272" xr:uid="{00000000-0005-0000-0000-00005D010000}"/>
    <cellStyle name="20% - Accent3 2 2 4 2 2" xfId="7494" xr:uid="{00000000-0005-0000-0000-00005E010000}"/>
    <cellStyle name="20% - Accent3 2 2 4 2 2 2" xfId="26119" xr:uid="{EF04FA8A-7BE2-40EB-B276-366E86274871}"/>
    <cellStyle name="20% - Accent3 2 2 4 2 2 3" xfId="16820" xr:uid="{B3D314CD-D444-47EA-BB8B-B2AA95095EB8}"/>
    <cellStyle name="20% - Accent3 2 2 4 2 3" xfId="21902" xr:uid="{9D9B86BB-E1ED-4074-A788-045A045615AB}"/>
    <cellStyle name="20% - Accent3 2 2 4 2 4" xfId="12603" xr:uid="{6D988E40-7866-40B5-9360-BFB84EE1E88F}"/>
    <cellStyle name="20% - Accent3 2 2 4 3" xfId="5349" xr:uid="{00000000-0005-0000-0000-00005F010000}"/>
    <cellStyle name="20% - Accent3 2 2 4 3 2" xfId="23974" xr:uid="{14553149-1642-4547-961F-737F3A81EC4A}"/>
    <cellStyle name="20% - Accent3 2 2 4 3 3" xfId="14675" xr:uid="{D5651FF9-0FFD-4BD1-8616-E9FEFBB03175}"/>
    <cellStyle name="20% - Accent3 2 2 4 4" xfId="19757" xr:uid="{4DFDD834-AC6A-4446-9584-B12F2542E5DD}"/>
    <cellStyle name="20% - Accent3 2 2 4 5" xfId="10458" xr:uid="{C4CB2F81-DF08-4B57-96C3-AF7D39CB4691}"/>
    <cellStyle name="20% - Accent3 2 2 5" xfId="1455" xr:uid="{00000000-0005-0000-0000-000060010000}"/>
    <cellStyle name="20% - Accent3 2 2 5 2" xfId="3685" xr:uid="{00000000-0005-0000-0000-000061010000}"/>
    <cellStyle name="20% - Accent3 2 2 5 2 2" xfId="7907" xr:uid="{00000000-0005-0000-0000-000062010000}"/>
    <cellStyle name="20% - Accent3 2 2 5 2 2 2" xfId="26532" xr:uid="{F2EF24FF-8AED-451F-BF3C-607831BD8376}"/>
    <cellStyle name="20% - Accent3 2 2 5 2 2 3" xfId="17233" xr:uid="{0AFC0B66-22E2-4353-825F-AB0085C73713}"/>
    <cellStyle name="20% - Accent3 2 2 5 2 3" xfId="22315" xr:uid="{EA753E9F-01DD-4313-8D20-5D822F14B864}"/>
    <cellStyle name="20% - Accent3 2 2 5 2 4" xfId="13016" xr:uid="{1E272D5F-614B-48B5-9777-9B78CD094386}"/>
    <cellStyle name="20% - Accent3 2 2 5 3" xfId="5762" xr:uid="{00000000-0005-0000-0000-000063010000}"/>
    <cellStyle name="20% - Accent3 2 2 5 3 2" xfId="24387" xr:uid="{7CFC93DE-2ADD-4A81-AA3C-2D55FACE761A}"/>
    <cellStyle name="20% - Accent3 2 2 5 3 3" xfId="15088" xr:uid="{55F03FB0-B33B-4DFC-9B3D-433F9D66E6F3}"/>
    <cellStyle name="20% - Accent3 2 2 5 4" xfId="20170" xr:uid="{E05CA780-3AA0-4215-8CEE-61586E2BD144}"/>
    <cellStyle name="20% - Accent3 2 2 5 5" xfId="10871" xr:uid="{BB808145-3D8D-43D4-AEC5-BD18A976141E}"/>
    <cellStyle name="20% - Accent3 2 2 6" xfId="1869" xr:uid="{00000000-0005-0000-0000-000064010000}"/>
    <cellStyle name="20% - Accent3 2 2 6 2" xfId="4098" xr:uid="{00000000-0005-0000-0000-000065010000}"/>
    <cellStyle name="20% - Accent3 2 2 6 2 2" xfId="8320" xr:uid="{00000000-0005-0000-0000-000066010000}"/>
    <cellStyle name="20% - Accent3 2 2 6 2 2 2" xfId="26945" xr:uid="{5888DC89-66B2-46D4-9860-0382765E2B15}"/>
    <cellStyle name="20% - Accent3 2 2 6 2 2 3" xfId="17646" xr:uid="{E3E5AE0C-495D-4F48-A026-9526B5ACE9C6}"/>
    <cellStyle name="20% - Accent3 2 2 6 2 3" xfId="22728" xr:uid="{CF750B7A-E0E2-40C8-8CB1-BF2D8D3A6E12}"/>
    <cellStyle name="20% - Accent3 2 2 6 2 4" xfId="13429" xr:uid="{809C5F04-9FEC-41FA-9B47-46C9CE965027}"/>
    <cellStyle name="20% - Accent3 2 2 6 3" xfId="6175" xr:uid="{00000000-0005-0000-0000-000067010000}"/>
    <cellStyle name="20% - Accent3 2 2 6 3 2" xfId="24800" xr:uid="{20849619-04C8-4CC7-8C8B-F5E8F5FAF0C1}"/>
    <cellStyle name="20% - Accent3 2 2 6 3 3" xfId="15501" xr:uid="{9E1AA444-ED3C-4EE1-A1A8-88F8170C1D58}"/>
    <cellStyle name="20% - Accent3 2 2 6 4" xfId="20583" xr:uid="{DB903B29-AF5F-4431-B4BE-558C4598ED2B}"/>
    <cellStyle name="20% - Accent3 2 2 6 5" xfId="11284" xr:uid="{2DA5DA75-8D57-473C-B521-C679453DCEB4}"/>
    <cellStyle name="20% - Accent3 2 2 7" xfId="2282" xr:uid="{00000000-0005-0000-0000-000068010000}"/>
    <cellStyle name="20% - Accent3 2 2 7 2" xfId="6588" xr:uid="{00000000-0005-0000-0000-000069010000}"/>
    <cellStyle name="20% - Accent3 2 2 7 2 2" xfId="25213" xr:uid="{FC6A96D3-7152-4006-B967-CB738BE37D7F}"/>
    <cellStyle name="20% - Accent3 2 2 7 2 3" xfId="15914" xr:uid="{184E1B93-A29D-41F1-8A60-8ABA48708F6C}"/>
    <cellStyle name="20% - Accent3 2 2 7 3" xfId="20996" xr:uid="{15D20818-16BA-4115-B064-A8CB69F078E6}"/>
    <cellStyle name="20% - Accent3 2 2 7 4" xfId="11697" xr:uid="{7DA23427-A959-4065-AB9C-9226132ED8BD}"/>
    <cellStyle name="20% - Accent3 2 2 8" xfId="4522" xr:uid="{00000000-0005-0000-0000-00006A010000}"/>
    <cellStyle name="20% - Accent3 2 2 8 2" xfId="23147" xr:uid="{9B270120-998C-49E9-9AB0-AD5EC86883FF}"/>
    <cellStyle name="20% - Accent3 2 2 8 3" xfId="13848" xr:uid="{41D504AE-E89C-47C5-A55F-1BC9E8213520}"/>
    <cellStyle name="20% - Accent3 2 2 9" xfId="8895" xr:uid="{0ADDC6BA-FD9D-420D-8F5A-13E0A04BBC7C}"/>
    <cellStyle name="20% - Accent3 2 2 9 2" xfId="27518" xr:uid="{BBD9EB84-BCDA-40B0-B732-2511CD26FB15}"/>
    <cellStyle name="20% - Accent3 2 2 9 3" xfId="18219" xr:uid="{B06618AB-D24D-4718-801B-666099281601}"/>
    <cellStyle name="20% - Accent3 2 3" xfId="21" xr:uid="{00000000-0005-0000-0000-00006B010000}"/>
    <cellStyle name="20% - Accent3 2 3 10" xfId="9633" xr:uid="{3C9DC535-97F2-4C7B-8C0C-46CF97594E1F}"/>
    <cellStyle name="20% - Accent3 2 3 2" xfId="590" xr:uid="{00000000-0005-0000-0000-00006C010000}"/>
    <cellStyle name="20% - Accent3 2 3 2 2" xfId="2861" xr:uid="{00000000-0005-0000-0000-00006D010000}"/>
    <cellStyle name="20% - Accent3 2 3 2 2 2" xfId="7083" xr:uid="{00000000-0005-0000-0000-00006E010000}"/>
    <cellStyle name="20% - Accent3 2 3 2 2 2 2" xfId="25708" xr:uid="{DFD9E20E-0BFC-447B-B168-5191E4665DB4}"/>
    <cellStyle name="20% - Accent3 2 3 2 2 2 3" xfId="16409" xr:uid="{9E9A914D-BB0F-45EA-B2DB-3E1623397B0F}"/>
    <cellStyle name="20% - Accent3 2 3 2 2 3" xfId="21491" xr:uid="{7A441018-479F-4495-A38C-F4E62C2FA6DE}"/>
    <cellStyle name="20% - Accent3 2 3 2 2 4" xfId="12192" xr:uid="{4ABE8B7D-0BDE-46E0-AD04-3C8B90946DF5}"/>
    <cellStyle name="20% - Accent3 2 3 2 3" xfId="4938" xr:uid="{00000000-0005-0000-0000-00006F010000}"/>
    <cellStyle name="20% - Accent3 2 3 2 3 2" xfId="23563" xr:uid="{4794540F-C6D3-4CCE-9038-8C3960F86E36}"/>
    <cellStyle name="20% - Accent3 2 3 2 3 3" xfId="14264" xr:uid="{A431C3B3-6756-416C-BCD4-CF476E9C3450}"/>
    <cellStyle name="20% - Accent3 2 3 2 4" xfId="9424" xr:uid="{C3588D98-6F24-4F2C-9F96-F34501405613}"/>
    <cellStyle name="20% - Accent3 2 3 2 4 2" xfId="28038" xr:uid="{C22418D4-0F7A-46B8-93C0-D3125C530C4A}"/>
    <cellStyle name="20% - Accent3 2 3 2 4 3" xfId="18739" xr:uid="{62E2C90D-F1FF-4003-ACC2-9C9F710DA482}"/>
    <cellStyle name="20% - Accent3 2 3 2 5" xfId="19346" xr:uid="{8D4584DC-F9FA-44E0-9165-939006662996}"/>
    <cellStyle name="20% - Accent3 2 3 2 6" xfId="10047" xr:uid="{47576E7E-2878-4B96-A3E0-68003377EA0E}"/>
    <cellStyle name="20% - Accent3 2 3 3" xfId="1043" xr:uid="{00000000-0005-0000-0000-000070010000}"/>
    <cellStyle name="20% - Accent3 2 3 3 2" xfId="3274" xr:uid="{00000000-0005-0000-0000-000071010000}"/>
    <cellStyle name="20% - Accent3 2 3 3 2 2" xfId="7496" xr:uid="{00000000-0005-0000-0000-000072010000}"/>
    <cellStyle name="20% - Accent3 2 3 3 2 2 2" xfId="26121" xr:uid="{1A9118B2-E3AA-4F00-A422-9BA1F49FECA7}"/>
    <cellStyle name="20% - Accent3 2 3 3 2 2 3" xfId="16822" xr:uid="{5F2D7B9F-848E-4F96-9296-06CC5A4B450E}"/>
    <cellStyle name="20% - Accent3 2 3 3 2 3" xfId="21904" xr:uid="{43B7ADCC-C94C-42E0-B177-B0C885BA750C}"/>
    <cellStyle name="20% - Accent3 2 3 3 2 4" xfId="12605" xr:uid="{3CD8E4BE-42AC-4D90-8B10-3BB65948DCEE}"/>
    <cellStyle name="20% - Accent3 2 3 3 3" xfId="5351" xr:uid="{00000000-0005-0000-0000-000073010000}"/>
    <cellStyle name="20% - Accent3 2 3 3 3 2" xfId="23976" xr:uid="{6C366851-73BE-4ABB-AE12-FE7076AD5ABA}"/>
    <cellStyle name="20% - Accent3 2 3 3 3 3" xfId="14677" xr:uid="{B6856B57-47B0-44C7-8DED-EB7AA260B6A0}"/>
    <cellStyle name="20% - Accent3 2 3 3 4" xfId="19759" xr:uid="{6F7D0914-14E9-4BE8-94EC-C7F069629C2C}"/>
    <cellStyle name="20% - Accent3 2 3 3 5" xfId="10460" xr:uid="{D33400A4-72C7-4797-A168-E41038111346}"/>
    <cellStyle name="20% - Accent3 2 3 4" xfId="1457" xr:uid="{00000000-0005-0000-0000-000074010000}"/>
    <cellStyle name="20% - Accent3 2 3 4 2" xfId="3687" xr:uid="{00000000-0005-0000-0000-000075010000}"/>
    <cellStyle name="20% - Accent3 2 3 4 2 2" xfId="7909" xr:uid="{00000000-0005-0000-0000-000076010000}"/>
    <cellStyle name="20% - Accent3 2 3 4 2 2 2" xfId="26534" xr:uid="{46BBA5CD-6C47-463F-99EB-3969C0D023D1}"/>
    <cellStyle name="20% - Accent3 2 3 4 2 2 3" xfId="17235" xr:uid="{D82C4410-84B4-4147-BB26-491BF8C83FE6}"/>
    <cellStyle name="20% - Accent3 2 3 4 2 3" xfId="22317" xr:uid="{A76B1F3E-7348-4F2F-833E-8C2A4DFC4243}"/>
    <cellStyle name="20% - Accent3 2 3 4 2 4" xfId="13018" xr:uid="{CE813F03-712A-4ADC-8ED5-D5749ED2C836}"/>
    <cellStyle name="20% - Accent3 2 3 4 3" xfId="5764" xr:uid="{00000000-0005-0000-0000-000077010000}"/>
    <cellStyle name="20% - Accent3 2 3 4 3 2" xfId="24389" xr:uid="{C42045B5-AF23-4DA3-8C1B-3A064D6B7684}"/>
    <cellStyle name="20% - Accent3 2 3 4 3 3" xfId="15090" xr:uid="{B55CF2D4-5181-4085-B3F4-12003A5475B7}"/>
    <cellStyle name="20% - Accent3 2 3 4 4" xfId="20172" xr:uid="{C5790BB2-222C-47D2-B251-052B0BEB0D2A}"/>
    <cellStyle name="20% - Accent3 2 3 4 5" xfId="10873" xr:uid="{DCA45799-15EA-4056-9954-28676C029C53}"/>
    <cellStyle name="20% - Accent3 2 3 5" xfId="1871" xr:uid="{00000000-0005-0000-0000-000078010000}"/>
    <cellStyle name="20% - Accent3 2 3 5 2" xfId="4100" xr:uid="{00000000-0005-0000-0000-000079010000}"/>
    <cellStyle name="20% - Accent3 2 3 5 2 2" xfId="8322" xr:uid="{00000000-0005-0000-0000-00007A010000}"/>
    <cellStyle name="20% - Accent3 2 3 5 2 2 2" xfId="26947" xr:uid="{4EF6E4A7-97AC-4271-AA15-BB96C8EE8003}"/>
    <cellStyle name="20% - Accent3 2 3 5 2 2 3" xfId="17648" xr:uid="{0D2FA7B4-9841-47E2-8CD0-3900B545702D}"/>
    <cellStyle name="20% - Accent3 2 3 5 2 3" xfId="22730" xr:uid="{160F7508-A912-4BEC-9901-C1EB29721536}"/>
    <cellStyle name="20% - Accent3 2 3 5 2 4" xfId="13431" xr:uid="{A3238AE8-044C-4730-AF9D-1F7DAE894C0F}"/>
    <cellStyle name="20% - Accent3 2 3 5 3" xfId="6177" xr:uid="{00000000-0005-0000-0000-00007B010000}"/>
    <cellStyle name="20% - Accent3 2 3 5 3 2" xfId="24802" xr:uid="{B97430CE-3B5F-4C79-B037-7F4AB4B1EF6E}"/>
    <cellStyle name="20% - Accent3 2 3 5 3 3" xfId="15503" xr:uid="{EE0C5B9F-8255-4787-8C58-E7B476D5A896}"/>
    <cellStyle name="20% - Accent3 2 3 5 4" xfId="20585" xr:uid="{01D3C5A8-44FE-4B15-8795-83BC784A799F}"/>
    <cellStyle name="20% - Accent3 2 3 5 5" xfId="11286" xr:uid="{19699420-9AC0-4ABA-B536-B0E4782144A9}"/>
    <cellStyle name="20% - Accent3 2 3 6" xfId="2284" xr:uid="{00000000-0005-0000-0000-00007C010000}"/>
    <cellStyle name="20% - Accent3 2 3 6 2" xfId="6590" xr:uid="{00000000-0005-0000-0000-00007D010000}"/>
    <cellStyle name="20% - Accent3 2 3 6 2 2" xfId="25215" xr:uid="{5589E6C0-F524-442E-9462-056F1F109666}"/>
    <cellStyle name="20% - Accent3 2 3 6 2 3" xfId="15916" xr:uid="{F0A230B1-2B6D-431C-B172-EB0C718DB6C4}"/>
    <cellStyle name="20% - Accent3 2 3 6 3" xfId="20998" xr:uid="{A55F4038-64D1-471C-A87D-214B65D7C0F2}"/>
    <cellStyle name="20% - Accent3 2 3 6 4" xfId="11699" xr:uid="{8C3944B6-350E-42A6-84F7-7AEB79147C81}"/>
    <cellStyle name="20% - Accent3 2 3 7" xfId="4524" xr:uid="{00000000-0005-0000-0000-00007E010000}"/>
    <cellStyle name="20% - Accent3 2 3 7 2" xfId="23149" xr:uid="{410AD5E5-D94C-44A8-BDB1-1A7AB13F6E2E}"/>
    <cellStyle name="20% - Accent3 2 3 7 3" xfId="13850" xr:uid="{2BDAE06D-C912-4D38-8243-A5769C209ECA}"/>
    <cellStyle name="20% - Accent3 2 3 8" xfId="8999" xr:uid="{2B5D0148-B6EA-4DEA-92B1-644886C27051}"/>
    <cellStyle name="20% - Accent3 2 3 8 2" xfId="27622" xr:uid="{6BB4F879-023D-4365-AE9F-99E75804BA75}"/>
    <cellStyle name="20% - Accent3 2 3 8 3" xfId="18323" xr:uid="{E885842C-F697-47CB-88F3-C9758320AC2B}"/>
    <cellStyle name="20% - Accent3 2 3 9" xfId="18932" xr:uid="{F863E7C6-994D-4E53-8F60-9DCFA1F5E409}"/>
    <cellStyle name="20% - Accent3 2 4" xfId="587" xr:uid="{00000000-0005-0000-0000-00007F010000}"/>
    <cellStyle name="20% - Accent3 2 4 2" xfId="2858" xr:uid="{00000000-0005-0000-0000-000080010000}"/>
    <cellStyle name="20% - Accent3 2 4 2 2" xfId="7080" xr:uid="{00000000-0005-0000-0000-000081010000}"/>
    <cellStyle name="20% - Accent3 2 4 2 2 2" xfId="25705" xr:uid="{190739D5-BBD1-4125-A67B-912D0A905C12}"/>
    <cellStyle name="20% - Accent3 2 4 2 2 3" xfId="16406" xr:uid="{A97BFE0D-DF67-4AAF-92C0-50CD57743A54}"/>
    <cellStyle name="20% - Accent3 2 4 2 3" xfId="21488" xr:uid="{56765FF3-8EBE-436E-AD66-F7D6D375A516}"/>
    <cellStyle name="20% - Accent3 2 4 2 4" xfId="12189" xr:uid="{46F44506-D029-4B9E-90E3-61325311ED61}"/>
    <cellStyle name="20% - Accent3 2 4 3" xfId="4935" xr:uid="{00000000-0005-0000-0000-000082010000}"/>
    <cellStyle name="20% - Accent3 2 4 3 2" xfId="23560" xr:uid="{9E7442DB-99C0-4D6D-950E-0D06C0A47CF7}"/>
    <cellStyle name="20% - Accent3 2 4 3 3" xfId="14261" xr:uid="{6332029A-FCC0-4ECC-B4F8-1554693ACAB4}"/>
    <cellStyle name="20% - Accent3 2 4 4" xfId="9216" xr:uid="{A12C3877-5492-4CD3-AD22-81B3F0AB1EDD}"/>
    <cellStyle name="20% - Accent3 2 4 4 2" xfId="27831" xr:uid="{D9B6FA61-07E5-48D4-8DDD-9DE84F6D77A9}"/>
    <cellStyle name="20% - Accent3 2 4 4 3" xfId="18532" xr:uid="{DEA60D77-C765-44D0-8FDC-543E56B78207}"/>
    <cellStyle name="20% - Accent3 2 4 5" xfId="19343" xr:uid="{83CF32BB-D976-47A0-BD44-7D8A2A470E71}"/>
    <cellStyle name="20% - Accent3 2 4 6" xfId="10044" xr:uid="{97A9B550-9D0A-41F9-A520-CF194EF04C09}"/>
    <cellStyle name="20% - Accent3 2 5" xfId="1040" xr:uid="{00000000-0005-0000-0000-000083010000}"/>
    <cellStyle name="20% - Accent3 2 5 2" xfId="3271" xr:uid="{00000000-0005-0000-0000-000084010000}"/>
    <cellStyle name="20% - Accent3 2 5 2 2" xfId="7493" xr:uid="{00000000-0005-0000-0000-000085010000}"/>
    <cellStyle name="20% - Accent3 2 5 2 2 2" xfId="26118" xr:uid="{D115EF4F-E283-4047-8AE4-F8FBBCA8EE27}"/>
    <cellStyle name="20% - Accent3 2 5 2 2 3" xfId="16819" xr:uid="{00CC99CA-939B-40E8-90C8-47EE9945DC5A}"/>
    <cellStyle name="20% - Accent3 2 5 2 3" xfId="21901" xr:uid="{7C5F7513-7028-4B89-B52E-6217AFBDCD13}"/>
    <cellStyle name="20% - Accent3 2 5 2 4" xfId="12602" xr:uid="{23572094-A400-4133-AA37-27A697987951}"/>
    <cellStyle name="20% - Accent3 2 5 3" xfId="5348" xr:uid="{00000000-0005-0000-0000-000086010000}"/>
    <cellStyle name="20% - Accent3 2 5 3 2" xfId="23973" xr:uid="{7CE8C58C-FB17-4DB2-857F-F28847140BDE}"/>
    <cellStyle name="20% - Accent3 2 5 3 3" xfId="14674" xr:uid="{DD90B281-C92A-416B-82A4-916FD4E2A899}"/>
    <cellStyle name="20% - Accent3 2 5 4" xfId="19756" xr:uid="{0B7DAC37-3F84-49C8-85DF-02A3F54BB8E3}"/>
    <cellStyle name="20% - Accent3 2 5 5" xfId="10457" xr:uid="{68751E74-7405-4FF1-B6DC-AD8D34E67393}"/>
    <cellStyle name="20% - Accent3 2 6" xfId="1454" xr:uid="{00000000-0005-0000-0000-000087010000}"/>
    <cellStyle name="20% - Accent3 2 6 2" xfId="3684" xr:uid="{00000000-0005-0000-0000-000088010000}"/>
    <cellStyle name="20% - Accent3 2 6 2 2" xfId="7906" xr:uid="{00000000-0005-0000-0000-000089010000}"/>
    <cellStyle name="20% - Accent3 2 6 2 2 2" xfId="26531" xr:uid="{99B708C1-84FD-403B-BA95-BA58FB9668F1}"/>
    <cellStyle name="20% - Accent3 2 6 2 2 3" xfId="17232" xr:uid="{0F774F59-EFFE-4A5C-9AE3-1E678CBD4306}"/>
    <cellStyle name="20% - Accent3 2 6 2 3" xfId="22314" xr:uid="{9BB7C95C-A942-48EE-813D-85B374183B39}"/>
    <cellStyle name="20% - Accent3 2 6 2 4" xfId="13015" xr:uid="{8980C631-E107-4440-9C58-04F3F95E3D9F}"/>
    <cellStyle name="20% - Accent3 2 6 3" xfId="5761" xr:uid="{00000000-0005-0000-0000-00008A010000}"/>
    <cellStyle name="20% - Accent3 2 6 3 2" xfId="24386" xr:uid="{0D7FDEDC-390C-4ACF-8286-F9F76A9E70ED}"/>
    <cellStyle name="20% - Accent3 2 6 3 3" xfId="15087" xr:uid="{085B484B-0A47-4C9E-A86B-A50A4B8B1573}"/>
    <cellStyle name="20% - Accent3 2 6 4" xfId="20169" xr:uid="{B33E6209-B0CA-4DEA-AD2C-4E96AE710C23}"/>
    <cellStyle name="20% - Accent3 2 6 5" xfId="10870" xr:uid="{77AF2958-43A9-49FB-8414-1EE04985BAF0}"/>
    <cellStyle name="20% - Accent3 2 7" xfId="1868" xr:uid="{00000000-0005-0000-0000-00008B010000}"/>
    <cellStyle name="20% - Accent3 2 7 2" xfId="4097" xr:uid="{00000000-0005-0000-0000-00008C010000}"/>
    <cellStyle name="20% - Accent3 2 7 2 2" xfId="8319" xr:uid="{00000000-0005-0000-0000-00008D010000}"/>
    <cellStyle name="20% - Accent3 2 7 2 2 2" xfId="26944" xr:uid="{A2C83DB5-CFD0-44E0-AE09-EE7C2BAB0A4F}"/>
    <cellStyle name="20% - Accent3 2 7 2 2 3" xfId="17645" xr:uid="{B3C81AC8-25F6-48ED-AE0C-4C7EFE429C5D}"/>
    <cellStyle name="20% - Accent3 2 7 2 3" xfId="22727" xr:uid="{4DB0215E-54F0-4DD6-B393-90B244668E62}"/>
    <cellStyle name="20% - Accent3 2 7 2 4" xfId="13428" xr:uid="{B3C4F4C4-2180-43F3-ABD2-6101D2584506}"/>
    <cellStyle name="20% - Accent3 2 7 3" xfId="6174" xr:uid="{00000000-0005-0000-0000-00008E010000}"/>
    <cellStyle name="20% - Accent3 2 7 3 2" xfId="24799" xr:uid="{5B0C638F-C2ED-46E0-9B1E-CD40BE6F0FBE}"/>
    <cellStyle name="20% - Accent3 2 7 3 3" xfId="15500" xr:uid="{BFC49DFB-B382-4AD2-ABC0-1FADCC0574C1}"/>
    <cellStyle name="20% - Accent3 2 7 4" xfId="20582" xr:uid="{A9F91606-5F51-4676-B33B-678C3A189946}"/>
    <cellStyle name="20% - Accent3 2 7 5" xfId="11283" xr:uid="{703C5D1B-D090-4B03-8D9D-9220BCEA5B22}"/>
    <cellStyle name="20% - Accent3 2 8" xfId="2281" xr:uid="{00000000-0005-0000-0000-00008F010000}"/>
    <cellStyle name="20% - Accent3 2 8 2" xfId="6587" xr:uid="{00000000-0005-0000-0000-000090010000}"/>
    <cellStyle name="20% - Accent3 2 8 2 2" xfId="25212" xr:uid="{85149711-0981-4FAD-99E2-C8198625525A}"/>
    <cellStyle name="20% - Accent3 2 8 2 3" xfId="15913" xr:uid="{71A56CBB-09A6-4363-AE29-5F68C3B89753}"/>
    <cellStyle name="20% - Accent3 2 8 3" xfId="20995" xr:uid="{B19BEFF6-9928-4F5A-9DC8-BFE2465939D6}"/>
    <cellStyle name="20% - Accent3 2 8 4" xfId="11696" xr:uid="{DFADD565-67D3-4896-98BE-F0EE630182AC}"/>
    <cellStyle name="20% - Accent3 2 9" xfId="4521" xr:uid="{00000000-0005-0000-0000-000091010000}"/>
    <cellStyle name="20% - Accent3 2 9 2" xfId="23146" xr:uid="{3AA5AC01-646D-40F3-8514-91B96142A0D3}"/>
    <cellStyle name="20% - Accent3 2 9 3" xfId="13847" xr:uid="{31BE52B4-62C9-44D0-B6AA-6E983CDF34CA}"/>
    <cellStyle name="20% - Accent3 3" xfId="22" xr:uid="{00000000-0005-0000-0000-000092010000}"/>
    <cellStyle name="20% - Accent3 3 10" xfId="18933" xr:uid="{39D5BBBE-6D0F-474F-980C-AB16E2A2B464}"/>
    <cellStyle name="20% - Accent3 3 11" xfId="9634" xr:uid="{55EC0C5D-C017-413B-8913-C7CAA07FC051}"/>
    <cellStyle name="20% - Accent3 3 2" xfId="23" xr:uid="{00000000-0005-0000-0000-000093010000}"/>
    <cellStyle name="20% - Accent3 3 2 10" xfId="9635" xr:uid="{5AB1254F-33FA-4F00-B201-0A1C18901F3D}"/>
    <cellStyle name="20% - Accent3 3 2 2" xfId="592" xr:uid="{00000000-0005-0000-0000-000094010000}"/>
    <cellStyle name="20% - Accent3 3 2 2 2" xfId="2863" xr:uid="{00000000-0005-0000-0000-000095010000}"/>
    <cellStyle name="20% - Accent3 3 2 2 2 2" xfId="7085" xr:uid="{00000000-0005-0000-0000-000096010000}"/>
    <cellStyle name="20% - Accent3 3 2 2 2 2 2" xfId="25710" xr:uid="{1C3250B6-CC1D-48CA-BB16-830E00DF2E82}"/>
    <cellStyle name="20% - Accent3 3 2 2 2 2 3" xfId="16411" xr:uid="{BF34278A-1EC3-490A-A949-CA968A7323DE}"/>
    <cellStyle name="20% - Accent3 3 2 2 2 3" xfId="21493" xr:uid="{22E8EEB6-E76D-4129-8302-59ACCDF8521A}"/>
    <cellStyle name="20% - Accent3 3 2 2 2 4" xfId="12194" xr:uid="{2F25D19E-16CD-4782-84BF-EB347283795A}"/>
    <cellStyle name="20% - Accent3 3 2 2 3" xfId="4940" xr:uid="{00000000-0005-0000-0000-000097010000}"/>
    <cellStyle name="20% - Accent3 3 2 2 3 2" xfId="23565" xr:uid="{E4FF734B-2847-4505-984E-122F87B83FD4}"/>
    <cellStyle name="20% - Accent3 3 2 2 3 3" xfId="14266" xr:uid="{26BD99E7-9EA1-4AA8-8307-25B9D0707679}"/>
    <cellStyle name="20% - Accent3 3 2 2 4" xfId="9497" xr:uid="{43A0E151-F418-49A1-AF18-121DEB02B6D4}"/>
    <cellStyle name="20% - Accent3 3 2 2 4 2" xfId="28111" xr:uid="{B147DA92-D848-4A08-9C6F-9382E1355AFF}"/>
    <cellStyle name="20% - Accent3 3 2 2 4 3" xfId="18812" xr:uid="{B6524F53-8D8E-4577-A640-D5842CC267F1}"/>
    <cellStyle name="20% - Accent3 3 2 2 5" xfId="19348" xr:uid="{42BE87C7-5A50-4032-91A0-6A8D62AF69DD}"/>
    <cellStyle name="20% - Accent3 3 2 2 6" xfId="10049" xr:uid="{51C77E6D-334C-4CA6-B423-CB7FB522F7CD}"/>
    <cellStyle name="20% - Accent3 3 2 3" xfId="1045" xr:uid="{00000000-0005-0000-0000-000098010000}"/>
    <cellStyle name="20% - Accent3 3 2 3 2" xfId="3276" xr:uid="{00000000-0005-0000-0000-000099010000}"/>
    <cellStyle name="20% - Accent3 3 2 3 2 2" xfId="7498" xr:uid="{00000000-0005-0000-0000-00009A010000}"/>
    <cellStyle name="20% - Accent3 3 2 3 2 2 2" xfId="26123" xr:uid="{6F56349A-B6BB-4FD5-BB3A-457244E7B941}"/>
    <cellStyle name="20% - Accent3 3 2 3 2 2 3" xfId="16824" xr:uid="{6B73D27A-B75D-4AB4-9D04-3E933690C281}"/>
    <cellStyle name="20% - Accent3 3 2 3 2 3" xfId="21906" xr:uid="{F7F5B9DD-EFC7-4177-8879-A00E75C9CD9D}"/>
    <cellStyle name="20% - Accent3 3 2 3 2 4" xfId="12607" xr:uid="{5A995173-4FA4-4A1E-BB82-19F91C82A30C}"/>
    <cellStyle name="20% - Accent3 3 2 3 3" xfId="5353" xr:uid="{00000000-0005-0000-0000-00009B010000}"/>
    <cellStyle name="20% - Accent3 3 2 3 3 2" xfId="23978" xr:uid="{152BCDEC-C258-414C-9AD4-13A02C9B5AF3}"/>
    <cellStyle name="20% - Accent3 3 2 3 3 3" xfId="14679" xr:uid="{19847088-088D-401B-AC59-793FD81760A8}"/>
    <cellStyle name="20% - Accent3 3 2 3 4" xfId="19761" xr:uid="{A39716AB-A981-4B3F-9D60-8E5E23DF4139}"/>
    <cellStyle name="20% - Accent3 3 2 3 5" xfId="10462" xr:uid="{B68BE3AE-6E41-4F25-910D-7FE5B6D69E57}"/>
    <cellStyle name="20% - Accent3 3 2 4" xfId="1459" xr:uid="{00000000-0005-0000-0000-00009C010000}"/>
    <cellStyle name="20% - Accent3 3 2 4 2" xfId="3689" xr:uid="{00000000-0005-0000-0000-00009D010000}"/>
    <cellStyle name="20% - Accent3 3 2 4 2 2" xfId="7911" xr:uid="{00000000-0005-0000-0000-00009E010000}"/>
    <cellStyle name="20% - Accent3 3 2 4 2 2 2" xfId="26536" xr:uid="{C6810B47-4AB2-4BEB-9ADC-369AEC085E2F}"/>
    <cellStyle name="20% - Accent3 3 2 4 2 2 3" xfId="17237" xr:uid="{EE144307-8723-440B-8FFC-7F8411A6EBFB}"/>
    <cellStyle name="20% - Accent3 3 2 4 2 3" xfId="22319" xr:uid="{5FBA2648-BADA-4CE9-8127-049BC2E83DFB}"/>
    <cellStyle name="20% - Accent3 3 2 4 2 4" xfId="13020" xr:uid="{5D5A0837-0196-4DD5-A538-B5722D03112B}"/>
    <cellStyle name="20% - Accent3 3 2 4 3" xfId="5766" xr:uid="{00000000-0005-0000-0000-00009F010000}"/>
    <cellStyle name="20% - Accent3 3 2 4 3 2" xfId="24391" xr:uid="{431BAC8A-4FB5-4711-9B49-75E37DAE091E}"/>
    <cellStyle name="20% - Accent3 3 2 4 3 3" xfId="15092" xr:uid="{FB9A9FF3-4060-4B7B-8550-F6C38B59A6FC}"/>
    <cellStyle name="20% - Accent3 3 2 4 4" xfId="20174" xr:uid="{D517A37D-F32F-4D88-AE66-E35C1254885A}"/>
    <cellStyle name="20% - Accent3 3 2 4 5" xfId="10875" xr:uid="{DFADC651-C6F3-488B-B603-32C68C3C8FEF}"/>
    <cellStyle name="20% - Accent3 3 2 5" xfId="1873" xr:uid="{00000000-0005-0000-0000-0000A0010000}"/>
    <cellStyle name="20% - Accent3 3 2 5 2" xfId="4102" xr:uid="{00000000-0005-0000-0000-0000A1010000}"/>
    <cellStyle name="20% - Accent3 3 2 5 2 2" xfId="8324" xr:uid="{00000000-0005-0000-0000-0000A2010000}"/>
    <cellStyle name="20% - Accent3 3 2 5 2 2 2" xfId="26949" xr:uid="{F62C7D41-E9E3-465D-ACA6-50B0F2C34DDC}"/>
    <cellStyle name="20% - Accent3 3 2 5 2 2 3" xfId="17650" xr:uid="{2D0BF693-9F9B-4A60-B864-EC6103F84546}"/>
    <cellStyle name="20% - Accent3 3 2 5 2 3" xfId="22732" xr:uid="{81DB698A-00AC-42B9-96BD-1E62F58F9621}"/>
    <cellStyle name="20% - Accent3 3 2 5 2 4" xfId="13433" xr:uid="{9FE7B9D8-D7C3-423B-A9FF-6E09A65BC71E}"/>
    <cellStyle name="20% - Accent3 3 2 5 3" xfId="6179" xr:uid="{00000000-0005-0000-0000-0000A3010000}"/>
    <cellStyle name="20% - Accent3 3 2 5 3 2" xfId="24804" xr:uid="{66977D80-4481-4003-8B04-4AB082C7D651}"/>
    <cellStyle name="20% - Accent3 3 2 5 3 3" xfId="15505" xr:uid="{A04047BE-9D39-41B7-8494-7978C2A4B40D}"/>
    <cellStyle name="20% - Accent3 3 2 5 4" xfId="20587" xr:uid="{A5DBDC7B-8482-472A-A908-4B4D755BF55B}"/>
    <cellStyle name="20% - Accent3 3 2 5 5" xfId="11288" xr:uid="{5D66BD96-8420-4094-A3A0-287F64D625AD}"/>
    <cellStyle name="20% - Accent3 3 2 6" xfId="2286" xr:uid="{00000000-0005-0000-0000-0000A4010000}"/>
    <cellStyle name="20% - Accent3 3 2 6 2" xfId="6592" xr:uid="{00000000-0005-0000-0000-0000A5010000}"/>
    <cellStyle name="20% - Accent3 3 2 6 2 2" xfId="25217" xr:uid="{C57BE91F-9568-497D-A96B-C66924FE9E30}"/>
    <cellStyle name="20% - Accent3 3 2 6 2 3" xfId="15918" xr:uid="{6434B733-F41E-4153-8ACB-1E332D4A5EFE}"/>
    <cellStyle name="20% - Accent3 3 2 6 3" xfId="21000" xr:uid="{0F519FCB-0089-4907-B6D8-B9CA8381E47E}"/>
    <cellStyle name="20% - Accent3 3 2 6 4" xfId="11701" xr:uid="{6A75ECD1-D09D-4DA0-9A94-4E33C32E9BCA}"/>
    <cellStyle name="20% - Accent3 3 2 7" xfId="4526" xr:uid="{00000000-0005-0000-0000-0000A6010000}"/>
    <cellStyle name="20% - Accent3 3 2 7 2" xfId="23151" xr:uid="{D5861FF0-B7BC-4D6F-8013-1C073DF5E4B2}"/>
    <cellStyle name="20% - Accent3 3 2 7 3" xfId="13852" xr:uid="{67E0ED8B-348D-4E6D-90D3-3A888B6EE443}"/>
    <cellStyle name="20% - Accent3 3 2 8" xfId="9072" xr:uid="{422EC144-F6F8-460E-8B93-316BBF9707FB}"/>
    <cellStyle name="20% - Accent3 3 2 8 2" xfId="27695" xr:uid="{4B8447D5-DDA9-4184-ABD9-332AD3E9F20C}"/>
    <cellStyle name="20% - Accent3 3 2 8 3" xfId="18396" xr:uid="{E1233449-862A-423D-8863-6F92B0D65073}"/>
    <cellStyle name="20% - Accent3 3 2 9" xfId="18934" xr:uid="{B28594AE-0C51-400B-B4DF-7CE36B893480}"/>
    <cellStyle name="20% - Accent3 3 3" xfId="591" xr:uid="{00000000-0005-0000-0000-0000A7010000}"/>
    <cellStyle name="20% - Accent3 3 3 2" xfId="2862" xr:uid="{00000000-0005-0000-0000-0000A8010000}"/>
    <cellStyle name="20% - Accent3 3 3 2 2" xfId="7084" xr:uid="{00000000-0005-0000-0000-0000A9010000}"/>
    <cellStyle name="20% - Accent3 3 3 2 2 2" xfId="25709" xr:uid="{D763275E-34B0-4656-A6B4-22633111CE19}"/>
    <cellStyle name="20% - Accent3 3 3 2 2 3" xfId="16410" xr:uid="{90F768AB-F633-4452-8609-16DFAF08D047}"/>
    <cellStyle name="20% - Accent3 3 3 2 3" xfId="21492" xr:uid="{C943237A-1A58-4044-BDA6-9DC55D2F266B}"/>
    <cellStyle name="20% - Accent3 3 3 2 4" xfId="12193" xr:uid="{C8F4BB8C-1340-4D73-AD9A-BE76E066FA74}"/>
    <cellStyle name="20% - Accent3 3 3 3" xfId="4939" xr:uid="{00000000-0005-0000-0000-0000AA010000}"/>
    <cellStyle name="20% - Accent3 3 3 3 2" xfId="23564" xr:uid="{B4A6A5FB-E7C6-411F-B485-27F026E407CE}"/>
    <cellStyle name="20% - Accent3 3 3 3 3" xfId="14265" xr:uid="{AA135B0C-530E-4A81-9EDD-ADB117CA3952}"/>
    <cellStyle name="20% - Accent3 3 3 4" xfId="9290" xr:uid="{8511D0A3-BAF4-4D49-BFEA-2ED828678819}"/>
    <cellStyle name="20% - Accent3 3 3 4 2" xfId="27904" xr:uid="{E71B5C36-7D5F-4CCE-B976-53E8DBEBE2BC}"/>
    <cellStyle name="20% - Accent3 3 3 4 3" xfId="18605" xr:uid="{6B2BFAEB-1820-4359-BD78-B2DAD8642BBD}"/>
    <cellStyle name="20% - Accent3 3 3 5" xfId="19347" xr:uid="{7CC02817-3DC4-4973-817D-D20C44369F43}"/>
    <cellStyle name="20% - Accent3 3 3 6" xfId="10048" xr:uid="{12301F83-182B-4CEF-9D32-E1C33862041A}"/>
    <cellStyle name="20% - Accent3 3 4" xfId="1044" xr:uid="{00000000-0005-0000-0000-0000AB010000}"/>
    <cellStyle name="20% - Accent3 3 4 2" xfId="3275" xr:uid="{00000000-0005-0000-0000-0000AC010000}"/>
    <cellStyle name="20% - Accent3 3 4 2 2" xfId="7497" xr:uid="{00000000-0005-0000-0000-0000AD010000}"/>
    <cellStyle name="20% - Accent3 3 4 2 2 2" xfId="26122" xr:uid="{4C55CD26-4A52-4D75-AB0D-E8398CE9F3BB}"/>
    <cellStyle name="20% - Accent3 3 4 2 2 3" xfId="16823" xr:uid="{7C510B96-8946-4B29-997C-AF2921CDEAAE}"/>
    <cellStyle name="20% - Accent3 3 4 2 3" xfId="21905" xr:uid="{565CE753-1CFC-4051-B34F-ABFB9FD73343}"/>
    <cellStyle name="20% - Accent3 3 4 2 4" xfId="12606" xr:uid="{8F02065B-13CF-491C-BDE2-6BE021EE96AF}"/>
    <cellStyle name="20% - Accent3 3 4 3" xfId="5352" xr:uid="{00000000-0005-0000-0000-0000AE010000}"/>
    <cellStyle name="20% - Accent3 3 4 3 2" xfId="23977" xr:uid="{0FBDAE33-94B4-4ED1-9C59-975DC343DAF3}"/>
    <cellStyle name="20% - Accent3 3 4 3 3" xfId="14678" xr:uid="{0B0EF477-E382-4B32-99B2-66C116328B02}"/>
    <cellStyle name="20% - Accent3 3 4 4" xfId="19760" xr:uid="{2BE30926-616A-457D-9CE5-3C07B7BEBD12}"/>
    <cellStyle name="20% - Accent3 3 4 5" xfId="10461" xr:uid="{79708912-DA49-4312-BD78-201E59923C72}"/>
    <cellStyle name="20% - Accent3 3 5" xfId="1458" xr:uid="{00000000-0005-0000-0000-0000AF010000}"/>
    <cellStyle name="20% - Accent3 3 5 2" xfId="3688" xr:uid="{00000000-0005-0000-0000-0000B0010000}"/>
    <cellStyle name="20% - Accent3 3 5 2 2" xfId="7910" xr:uid="{00000000-0005-0000-0000-0000B1010000}"/>
    <cellStyle name="20% - Accent3 3 5 2 2 2" xfId="26535" xr:uid="{2E123D17-856B-43E5-9212-E4C7E4B897BE}"/>
    <cellStyle name="20% - Accent3 3 5 2 2 3" xfId="17236" xr:uid="{B74CE56C-5FA2-4C75-84C4-C9DE3B25A487}"/>
    <cellStyle name="20% - Accent3 3 5 2 3" xfId="22318" xr:uid="{834E00F6-4D9A-4F8A-9C22-3BBAF140CC8A}"/>
    <cellStyle name="20% - Accent3 3 5 2 4" xfId="13019" xr:uid="{9113638C-46CA-452B-83F2-1A5B269C4A80}"/>
    <cellStyle name="20% - Accent3 3 5 3" xfId="5765" xr:uid="{00000000-0005-0000-0000-0000B2010000}"/>
    <cellStyle name="20% - Accent3 3 5 3 2" xfId="24390" xr:uid="{742E0E9F-E832-4C22-96CD-A6549A63DDEA}"/>
    <cellStyle name="20% - Accent3 3 5 3 3" xfId="15091" xr:uid="{1F5A9457-CB72-4988-BF89-1D7CDF5487C0}"/>
    <cellStyle name="20% - Accent3 3 5 4" xfId="20173" xr:uid="{6EE1A5FF-6A0D-418A-A496-61BCA38E78E8}"/>
    <cellStyle name="20% - Accent3 3 5 5" xfId="10874" xr:uid="{8E465752-1920-4BA8-A77B-0487ECD717DA}"/>
    <cellStyle name="20% - Accent3 3 6" xfId="1872" xr:uid="{00000000-0005-0000-0000-0000B3010000}"/>
    <cellStyle name="20% - Accent3 3 6 2" xfId="4101" xr:uid="{00000000-0005-0000-0000-0000B4010000}"/>
    <cellStyle name="20% - Accent3 3 6 2 2" xfId="8323" xr:uid="{00000000-0005-0000-0000-0000B5010000}"/>
    <cellStyle name="20% - Accent3 3 6 2 2 2" xfId="26948" xr:uid="{40BD8C6A-6703-443C-85E0-7D510EE6193F}"/>
    <cellStyle name="20% - Accent3 3 6 2 2 3" xfId="17649" xr:uid="{63520944-9507-41D4-91C1-C5CE4ED83F16}"/>
    <cellStyle name="20% - Accent3 3 6 2 3" xfId="22731" xr:uid="{D9ADD4EC-EB0E-44BD-BCD7-703AFF9EBBBD}"/>
    <cellStyle name="20% - Accent3 3 6 2 4" xfId="13432" xr:uid="{432CB1E6-DFE6-47C8-B5D9-3E2BE2766BA1}"/>
    <cellStyle name="20% - Accent3 3 6 3" xfId="6178" xr:uid="{00000000-0005-0000-0000-0000B6010000}"/>
    <cellStyle name="20% - Accent3 3 6 3 2" xfId="24803" xr:uid="{97A55AFF-434C-47C8-AF95-BCF2D67E339F}"/>
    <cellStyle name="20% - Accent3 3 6 3 3" xfId="15504" xr:uid="{5196F35F-F245-4AA9-909C-5A589EB0ED26}"/>
    <cellStyle name="20% - Accent3 3 6 4" xfId="20586" xr:uid="{68B1392D-27DD-4F63-808F-1FB3AA45FF14}"/>
    <cellStyle name="20% - Accent3 3 6 5" xfId="11287" xr:uid="{D684D0DA-36DB-4B4F-BEFF-417FF8729443}"/>
    <cellStyle name="20% - Accent3 3 7" xfId="2285" xr:uid="{00000000-0005-0000-0000-0000B7010000}"/>
    <cellStyle name="20% - Accent3 3 7 2" xfId="6591" xr:uid="{00000000-0005-0000-0000-0000B8010000}"/>
    <cellStyle name="20% - Accent3 3 7 2 2" xfId="25216" xr:uid="{D8BEC599-6520-4148-892B-CF7DD8270E19}"/>
    <cellStyle name="20% - Accent3 3 7 2 3" xfId="15917" xr:uid="{A5AC92FB-9540-44F9-9231-D41902DD61E6}"/>
    <cellStyle name="20% - Accent3 3 7 3" xfId="20999" xr:uid="{7978FAC0-4BC7-4B03-91DC-B79DDFD0BB25}"/>
    <cellStyle name="20% - Accent3 3 7 4" xfId="11700" xr:uid="{38321226-5A43-45A0-9ADC-8C4E818E8E8D}"/>
    <cellStyle name="20% - Accent3 3 8" xfId="4525" xr:uid="{00000000-0005-0000-0000-0000B9010000}"/>
    <cellStyle name="20% - Accent3 3 8 2" xfId="23150" xr:uid="{C67D68F5-031C-4CCA-8143-FE7DD4901A7F}"/>
    <cellStyle name="20% - Accent3 3 8 3" xfId="13851" xr:uid="{2166F830-41BA-4884-841D-89B502C6E01D}"/>
    <cellStyle name="20% - Accent3 3 9" xfId="8865" xr:uid="{FFA3EBA3-F40D-47A2-8AA1-A3A9E7BB9A8E}"/>
    <cellStyle name="20% - Accent3 3 9 2" xfId="27488" xr:uid="{A3CD326D-F565-40AE-95A2-E4BFA4AD0D92}"/>
    <cellStyle name="20% - Accent3 3 9 3" xfId="18189" xr:uid="{2D95FEA4-052A-4886-AFBB-42BEA4EB81A2}"/>
    <cellStyle name="20% - Accent3 4" xfId="24" xr:uid="{00000000-0005-0000-0000-0000BA010000}"/>
    <cellStyle name="20% - Accent3 4 10" xfId="9636" xr:uid="{556CDA07-433D-4C9F-AC5C-4441DC483148}"/>
    <cellStyle name="20% - Accent3 4 2" xfId="593" xr:uid="{00000000-0005-0000-0000-0000BB010000}"/>
    <cellStyle name="20% - Accent3 4 2 2" xfId="2864" xr:uid="{00000000-0005-0000-0000-0000BC010000}"/>
    <cellStyle name="20% - Accent3 4 2 2 2" xfId="7086" xr:uid="{00000000-0005-0000-0000-0000BD010000}"/>
    <cellStyle name="20% - Accent3 4 2 2 2 2" xfId="25711" xr:uid="{9229BB9F-7FB6-4581-911D-A1F32B4BA7EA}"/>
    <cellStyle name="20% - Accent3 4 2 2 2 3" xfId="16412" xr:uid="{92E51CD3-32A1-4DE4-BBD2-2FA6BB298053}"/>
    <cellStyle name="20% - Accent3 4 2 2 3" xfId="21494" xr:uid="{1EA5653F-F281-4902-9358-3A897057959A}"/>
    <cellStyle name="20% - Accent3 4 2 2 4" xfId="12195" xr:uid="{F4C62DBD-2FA9-4567-8D6C-FAE4462EC4A4}"/>
    <cellStyle name="20% - Accent3 4 2 3" xfId="4941" xr:uid="{00000000-0005-0000-0000-0000BE010000}"/>
    <cellStyle name="20% - Accent3 4 2 3 2" xfId="23566" xr:uid="{7DCC69E1-F346-4FE0-9E36-8B7C02448D87}"/>
    <cellStyle name="20% - Accent3 4 2 3 3" xfId="14267" xr:uid="{58F791C2-2C00-4D39-977A-4EACDCBF8B8C}"/>
    <cellStyle name="20% - Accent3 4 2 4" xfId="9376" xr:uid="{92AC27CA-0B0B-4AFE-8457-D3F19BE2837F}"/>
    <cellStyle name="20% - Accent3 4 2 4 2" xfId="27990" xr:uid="{BB2669F3-9319-4E1C-861C-FB7403B20E5F}"/>
    <cellStyle name="20% - Accent3 4 2 4 3" xfId="18691" xr:uid="{DD8D2DE9-1E2A-4309-BD60-B2837C12ADF0}"/>
    <cellStyle name="20% - Accent3 4 2 5" xfId="19349" xr:uid="{E3FB6311-98AE-495E-B2BB-1A19ED280B0E}"/>
    <cellStyle name="20% - Accent3 4 2 6" xfId="10050" xr:uid="{329512FD-9752-4B55-B8E1-97DF1BC4C914}"/>
    <cellStyle name="20% - Accent3 4 3" xfId="1046" xr:uid="{00000000-0005-0000-0000-0000BF010000}"/>
    <cellStyle name="20% - Accent3 4 3 2" xfId="3277" xr:uid="{00000000-0005-0000-0000-0000C0010000}"/>
    <cellStyle name="20% - Accent3 4 3 2 2" xfId="7499" xr:uid="{00000000-0005-0000-0000-0000C1010000}"/>
    <cellStyle name="20% - Accent3 4 3 2 2 2" xfId="26124" xr:uid="{981A8900-85C7-4EB3-9590-B8605A39B46B}"/>
    <cellStyle name="20% - Accent3 4 3 2 2 3" xfId="16825" xr:uid="{04608D53-6F39-4863-A12B-219625C0DF02}"/>
    <cellStyle name="20% - Accent3 4 3 2 3" xfId="21907" xr:uid="{4133030B-6FC4-4CB5-90EE-133BC69D3699}"/>
    <cellStyle name="20% - Accent3 4 3 2 4" xfId="12608" xr:uid="{1B07A56F-CA63-4C73-B643-9895FA465AEE}"/>
    <cellStyle name="20% - Accent3 4 3 3" xfId="5354" xr:uid="{00000000-0005-0000-0000-0000C2010000}"/>
    <cellStyle name="20% - Accent3 4 3 3 2" xfId="23979" xr:uid="{73B933FA-F79E-4A22-B569-307099A97B5B}"/>
    <cellStyle name="20% - Accent3 4 3 3 3" xfId="14680" xr:uid="{62BCA7D8-FEA6-4747-A08F-52E5E7F1959C}"/>
    <cellStyle name="20% - Accent3 4 3 4" xfId="19762" xr:uid="{FB1C3B6D-3965-45BF-A206-D546C8ED2F30}"/>
    <cellStyle name="20% - Accent3 4 3 5" xfId="10463" xr:uid="{B4744DB9-DF47-43AC-B5C5-C47EDFBA4F22}"/>
    <cellStyle name="20% - Accent3 4 4" xfId="1460" xr:uid="{00000000-0005-0000-0000-0000C3010000}"/>
    <cellStyle name="20% - Accent3 4 4 2" xfId="3690" xr:uid="{00000000-0005-0000-0000-0000C4010000}"/>
    <cellStyle name="20% - Accent3 4 4 2 2" xfId="7912" xr:uid="{00000000-0005-0000-0000-0000C5010000}"/>
    <cellStyle name="20% - Accent3 4 4 2 2 2" xfId="26537" xr:uid="{4A61AAA9-09D8-4F85-8C9E-D077E9265D64}"/>
    <cellStyle name="20% - Accent3 4 4 2 2 3" xfId="17238" xr:uid="{893B6403-E7B0-48A1-899C-800ECA1F074D}"/>
    <cellStyle name="20% - Accent3 4 4 2 3" xfId="22320" xr:uid="{3A9CEB5A-9B9E-4798-8F54-8CA67F42716E}"/>
    <cellStyle name="20% - Accent3 4 4 2 4" xfId="13021" xr:uid="{B2E3F73D-9D6C-4F14-A28C-A4E6B72DC112}"/>
    <cellStyle name="20% - Accent3 4 4 3" xfId="5767" xr:uid="{00000000-0005-0000-0000-0000C6010000}"/>
    <cellStyle name="20% - Accent3 4 4 3 2" xfId="24392" xr:uid="{EF322A5F-D13A-4250-BD3D-31A84942CB53}"/>
    <cellStyle name="20% - Accent3 4 4 3 3" xfId="15093" xr:uid="{66B75C40-A039-453D-A9AB-E9137A69DD65}"/>
    <cellStyle name="20% - Accent3 4 4 4" xfId="20175" xr:uid="{B3C7F287-DDC9-4306-8081-7F2DD81EF4D6}"/>
    <cellStyle name="20% - Accent3 4 4 5" xfId="10876" xr:uid="{D9CFE577-287B-47D7-AC56-B947EB29B0E5}"/>
    <cellStyle name="20% - Accent3 4 5" xfId="1874" xr:uid="{00000000-0005-0000-0000-0000C7010000}"/>
    <cellStyle name="20% - Accent3 4 5 2" xfId="4103" xr:uid="{00000000-0005-0000-0000-0000C8010000}"/>
    <cellStyle name="20% - Accent3 4 5 2 2" xfId="8325" xr:uid="{00000000-0005-0000-0000-0000C9010000}"/>
    <cellStyle name="20% - Accent3 4 5 2 2 2" xfId="26950" xr:uid="{5A4784B8-AFCD-45C5-B4C2-836BAFFA66D2}"/>
    <cellStyle name="20% - Accent3 4 5 2 2 3" xfId="17651" xr:uid="{84BDC572-FD0E-48EA-9A96-241DF509CDD9}"/>
    <cellStyle name="20% - Accent3 4 5 2 3" xfId="22733" xr:uid="{51633848-77FA-4C63-9678-B8B938A6EE11}"/>
    <cellStyle name="20% - Accent3 4 5 2 4" xfId="13434" xr:uid="{4FC1F776-A610-4893-BE8E-B94777F5CCFE}"/>
    <cellStyle name="20% - Accent3 4 5 3" xfId="6180" xr:uid="{00000000-0005-0000-0000-0000CA010000}"/>
    <cellStyle name="20% - Accent3 4 5 3 2" xfId="24805" xr:uid="{94A57ADF-9482-46D9-956D-E78E02B40052}"/>
    <cellStyle name="20% - Accent3 4 5 3 3" xfId="15506" xr:uid="{EFF1A6D2-8F81-4EF4-BED9-1EDFF76FF2A7}"/>
    <cellStyle name="20% - Accent3 4 5 4" xfId="20588" xr:uid="{0BC6E9C2-95EB-41D2-9075-EB95933232FE}"/>
    <cellStyle name="20% - Accent3 4 5 5" xfId="11289" xr:uid="{C8320530-38D8-4DA6-9C8B-B8F3C59FC63E}"/>
    <cellStyle name="20% - Accent3 4 6" xfId="2287" xr:uid="{00000000-0005-0000-0000-0000CB010000}"/>
    <cellStyle name="20% - Accent3 4 6 2" xfId="6593" xr:uid="{00000000-0005-0000-0000-0000CC010000}"/>
    <cellStyle name="20% - Accent3 4 6 2 2" xfId="25218" xr:uid="{473C87E3-81E2-4A0F-B0A5-0E40846A57F3}"/>
    <cellStyle name="20% - Accent3 4 6 2 3" xfId="15919" xr:uid="{C18D6CCF-5106-4FED-92E4-3A823E134246}"/>
    <cellStyle name="20% - Accent3 4 6 3" xfId="21001" xr:uid="{91A9F0DB-D6F4-43BC-BD03-CCE22A304E04}"/>
    <cellStyle name="20% - Accent3 4 6 4" xfId="11702" xr:uid="{C3BDE886-E673-4EA0-B29C-5751D5A49F5D}"/>
    <cellStyle name="20% - Accent3 4 7" xfId="4527" xr:uid="{00000000-0005-0000-0000-0000CD010000}"/>
    <cellStyle name="20% - Accent3 4 7 2" xfId="23152" xr:uid="{327E0D58-9996-43BE-82EC-1B72A9E9B0A1}"/>
    <cellStyle name="20% - Accent3 4 7 3" xfId="13853" xr:uid="{F0212B5D-2F5D-4814-A916-AE35868856FA}"/>
    <cellStyle name="20% - Accent3 4 8" xfId="8951" xr:uid="{3CB7770B-4F12-4C44-B65D-06C641FEE851}"/>
    <cellStyle name="20% - Accent3 4 8 2" xfId="27574" xr:uid="{DF39CBFF-24DD-4E7A-8DC1-96467D58ECC6}"/>
    <cellStyle name="20% - Accent3 4 8 3" xfId="18275" xr:uid="{065011B8-2DFA-482B-BDC3-0778B92C49D2}"/>
    <cellStyle name="20% - Accent3 4 9" xfId="18935" xr:uid="{C9FF6699-0BF5-494B-A61D-4679009C8BD3}"/>
    <cellStyle name="20% - Accent3 5" xfId="586" xr:uid="{00000000-0005-0000-0000-0000CE010000}"/>
    <cellStyle name="20% - Accent3 5 2" xfId="2857" xr:uid="{00000000-0005-0000-0000-0000CF010000}"/>
    <cellStyle name="20% - Accent3 5 2 2" xfId="7079" xr:uid="{00000000-0005-0000-0000-0000D0010000}"/>
    <cellStyle name="20% - Accent3 5 2 2 2" xfId="25704" xr:uid="{4F3A27D4-29AE-4995-9355-5B1079F85D71}"/>
    <cellStyle name="20% - Accent3 5 2 2 3" xfId="16405" xr:uid="{1984A88B-D26E-4B88-A5A7-73D41B9AC56A}"/>
    <cellStyle name="20% - Accent3 5 2 3" xfId="21487" xr:uid="{0FF78EA0-EF83-440F-BBEE-A851B344F033}"/>
    <cellStyle name="20% - Accent3 5 2 4" xfId="12188" xr:uid="{1D42B43D-B666-4AE7-ABA4-1BA455CEE133}"/>
    <cellStyle name="20% - Accent3 5 3" xfId="4934" xr:uid="{00000000-0005-0000-0000-0000D1010000}"/>
    <cellStyle name="20% - Accent3 5 3 2" xfId="23559" xr:uid="{AB645E2D-0E7E-40F3-A738-3072410B8958}"/>
    <cellStyle name="20% - Accent3 5 3 3" xfId="14260" xr:uid="{A175BF7A-B4D4-4F2D-A5CA-4EFF07C1C382}"/>
    <cellStyle name="20% - Accent3 5 4" xfId="9184" xr:uid="{F51B2D95-9593-4370-A6D2-AFEF087D7920}"/>
    <cellStyle name="20% - Accent3 5 4 2" xfId="27801" xr:uid="{9C63920B-29F3-42F9-9FA8-C88C1913EA1B}"/>
    <cellStyle name="20% - Accent3 5 4 3" xfId="18502" xr:uid="{B5E633EC-287E-4CC0-ACCA-EC36CBA1B550}"/>
    <cellStyle name="20% - Accent3 5 5" xfId="19342" xr:uid="{A1644983-9B10-4533-961D-04A1ECDFD71C}"/>
    <cellStyle name="20% - Accent3 5 6" xfId="10043" xr:uid="{B3EE84BE-0341-48E3-8F86-E77566511B57}"/>
    <cellStyle name="20% - Accent3 6" xfId="1039" xr:uid="{00000000-0005-0000-0000-0000D2010000}"/>
    <cellStyle name="20% - Accent3 6 2" xfId="3270" xr:uid="{00000000-0005-0000-0000-0000D3010000}"/>
    <cellStyle name="20% - Accent3 6 2 2" xfId="7492" xr:uid="{00000000-0005-0000-0000-0000D4010000}"/>
    <cellStyle name="20% - Accent3 6 2 2 2" xfId="26117" xr:uid="{E638931C-E8EF-4372-81DA-EA13922962D2}"/>
    <cellStyle name="20% - Accent3 6 2 2 3" xfId="16818" xr:uid="{E6ACC81F-0C1D-430B-974D-C7D7DB790199}"/>
    <cellStyle name="20% - Accent3 6 2 3" xfId="21900" xr:uid="{8F89EA8D-BEDD-482A-A3CC-CAB7519D2540}"/>
    <cellStyle name="20% - Accent3 6 2 4" xfId="12601" xr:uid="{24D6D6C9-7C4D-48D0-A41C-931142AA52F3}"/>
    <cellStyle name="20% - Accent3 6 3" xfId="5347" xr:uid="{00000000-0005-0000-0000-0000D5010000}"/>
    <cellStyle name="20% - Accent3 6 3 2" xfId="23972" xr:uid="{000F756A-E0C8-4B38-9C38-4019C4A6244F}"/>
    <cellStyle name="20% - Accent3 6 3 3" xfId="14673" xr:uid="{9C580EDF-07D3-4C83-A88F-8CE9B1EF84F5}"/>
    <cellStyle name="20% - Accent3 6 4" xfId="19755" xr:uid="{08020091-1326-49BA-ADFB-18D4F172DE5F}"/>
    <cellStyle name="20% - Accent3 6 5" xfId="10456" xr:uid="{11E0191A-B3F5-4EFF-8842-3FEE2E6F2CEB}"/>
    <cellStyle name="20% - Accent3 7" xfId="1453" xr:uid="{00000000-0005-0000-0000-0000D6010000}"/>
    <cellStyle name="20% - Accent3 7 2" xfId="3683" xr:uid="{00000000-0005-0000-0000-0000D7010000}"/>
    <cellStyle name="20% - Accent3 7 2 2" xfId="7905" xr:uid="{00000000-0005-0000-0000-0000D8010000}"/>
    <cellStyle name="20% - Accent3 7 2 2 2" xfId="26530" xr:uid="{84E78D14-3072-4B18-94C7-CC6DF44FE207}"/>
    <cellStyle name="20% - Accent3 7 2 2 3" xfId="17231" xr:uid="{DDCDFE31-6B89-42A8-B930-B549EA09E776}"/>
    <cellStyle name="20% - Accent3 7 2 3" xfId="22313" xr:uid="{940A8864-F7C5-456C-87D3-FF9806FAF1AF}"/>
    <cellStyle name="20% - Accent3 7 2 4" xfId="13014" xr:uid="{33DC5C1E-5484-4996-AC8A-79BA9A3AEAAB}"/>
    <cellStyle name="20% - Accent3 7 3" xfId="5760" xr:uid="{00000000-0005-0000-0000-0000D9010000}"/>
    <cellStyle name="20% - Accent3 7 3 2" xfId="24385" xr:uid="{F380A393-37DE-41BD-A138-3C83BC066769}"/>
    <cellStyle name="20% - Accent3 7 3 3" xfId="15086" xr:uid="{088B6004-6CEF-4EB4-A709-CFF248CA6361}"/>
    <cellStyle name="20% - Accent3 7 4" xfId="20168" xr:uid="{BC03DA11-C13E-4D96-ABF9-E1B0B0A46F75}"/>
    <cellStyle name="20% - Accent3 7 5" xfId="10869" xr:uid="{D3B80FC7-4B25-40E7-851E-854FDA346558}"/>
    <cellStyle name="20% - Accent3 8" xfId="1867" xr:uid="{00000000-0005-0000-0000-0000DA010000}"/>
    <cellStyle name="20% - Accent3 8 2" xfId="4096" xr:uid="{00000000-0005-0000-0000-0000DB010000}"/>
    <cellStyle name="20% - Accent3 8 2 2" xfId="8318" xr:uid="{00000000-0005-0000-0000-0000DC010000}"/>
    <cellStyle name="20% - Accent3 8 2 2 2" xfId="26943" xr:uid="{40BEC722-2AC1-408B-9994-D760CDE43243}"/>
    <cellStyle name="20% - Accent3 8 2 2 3" xfId="17644" xr:uid="{8DB14E93-3204-4E09-BF39-FFC4B123622E}"/>
    <cellStyle name="20% - Accent3 8 2 3" xfId="22726" xr:uid="{CF30CBC6-3EE5-4DED-8B70-30BB872F0613}"/>
    <cellStyle name="20% - Accent3 8 2 4" xfId="13427" xr:uid="{35FAAA73-A1FD-486D-96E1-BDDD113246D0}"/>
    <cellStyle name="20% - Accent3 8 3" xfId="6173" xr:uid="{00000000-0005-0000-0000-0000DD010000}"/>
    <cellStyle name="20% - Accent3 8 3 2" xfId="24798" xr:uid="{15ADA81D-DED8-42AA-8A6E-D300176C1144}"/>
    <cellStyle name="20% - Accent3 8 3 3" xfId="15499" xr:uid="{A0D8181E-14E7-4E44-AF02-58663AD4E9EF}"/>
    <cellStyle name="20% - Accent3 8 4" xfId="20581" xr:uid="{C2DED25A-65F6-4E49-A65C-666DD42DF201}"/>
    <cellStyle name="20% - Accent3 8 5" xfId="11282" xr:uid="{A27B99E5-CD7C-43A7-B610-D69665830E66}"/>
    <cellStyle name="20% - Accent3 9" xfId="2280" xr:uid="{00000000-0005-0000-0000-0000DE010000}"/>
    <cellStyle name="20% - Accent3 9 2" xfId="6586" xr:uid="{00000000-0005-0000-0000-0000DF010000}"/>
    <cellStyle name="20% - Accent3 9 2 2" xfId="25211" xr:uid="{8C63B199-D157-4107-8767-30E9B4BD33C8}"/>
    <cellStyle name="20% - Accent3 9 2 3" xfId="15912" xr:uid="{0D2C9524-B261-47CA-B5F9-20FFA5D608D1}"/>
    <cellStyle name="20% - Accent3 9 3" xfId="20994" xr:uid="{980B545E-6ED0-468C-8D41-9F893EBA2E96}"/>
    <cellStyle name="20% - Accent3 9 4" xfId="11695" xr:uid="{7A492634-FAFA-4B8F-9221-9E097E758A47}"/>
    <cellStyle name="20% - Accent4" xfId="25" builtinId="42" customBuiltin="1"/>
    <cellStyle name="20% - Accent4 10" xfId="4528" xr:uid="{00000000-0005-0000-0000-0000E1010000}"/>
    <cellStyle name="20% - Accent4 10 2" xfId="23153" xr:uid="{7746BE58-E568-4C49-B8DD-0A09A0C5990D}"/>
    <cellStyle name="20% - Accent4 10 3" xfId="13854" xr:uid="{10B32AB7-821F-4F17-91B3-9524CED80284}"/>
    <cellStyle name="20% - Accent4 11" xfId="8764" xr:uid="{4A9BF508-806C-496D-AEC5-5842E4A62892}"/>
    <cellStyle name="20% - Accent4 11 2" xfId="27387" xr:uid="{EB1C678A-621F-48AA-956C-038826CA5D61}"/>
    <cellStyle name="20% - Accent4 11 3" xfId="18088" xr:uid="{53A898C3-8266-49EA-92A6-57F33F547B0E}"/>
    <cellStyle name="20% - Accent4 12" xfId="18936" xr:uid="{CA0901B4-2A13-44D1-B892-888D64CF75AF}"/>
    <cellStyle name="20% - Accent4 13" xfId="9637" xr:uid="{B4BCB15B-C136-4BEB-A958-1E257EC9879B}"/>
    <cellStyle name="20% - Accent4 2" xfId="26" xr:uid="{00000000-0005-0000-0000-0000E2010000}"/>
    <cellStyle name="20% - Accent4 2 10" xfId="8794" xr:uid="{31A2F477-5237-45C2-B43F-25AC049A95FF}"/>
    <cellStyle name="20% - Accent4 2 10 2" xfId="27417" xr:uid="{C0A1D892-5E6B-4D1C-A710-6F81C92E25C5}"/>
    <cellStyle name="20% - Accent4 2 10 3" xfId="18118" xr:uid="{92B54C7E-2541-4118-AFDE-7108A385883E}"/>
    <cellStyle name="20% - Accent4 2 11" xfId="18937" xr:uid="{64141938-A27E-4318-BCD1-C661341482FB}"/>
    <cellStyle name="20% - Accent4 2 12" xfId="9638" xr:uid="{28D49271-4026-4C85-AF77-B68147BF800F}"/>
    <cellStyle name="20% - Accent4 2 2" xfId="27" xr:uid="{00000000-0005-0000-0000-0000E3010000}"/>
    <cellStyle name="20% - Accent4 2 2 10" xfId="18938" xr:uid="{F01805BA-B58F-4B61-828C-8D0E55931F0E}"/>
    <cellStyle name="20% - Accent4 2 2 11" xfId="9639" xr:uid="{4DC01357-3380-4140-B70C-B47D0C5D2350}"/>
    <cellStyle name="20% - Accent4 2 2 2" xfId="28" xr:uid="{00000000-0005-0000-0000-0000E4010000}"/>
    <cellStyle name="20% - Accent4 2 2 2 10" xfId="9640" xr:uid="{33E4B2E0-4F3B-40BC-83FB-7A3627B7DD63}"/>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2 2 2" xfId="25715" xr:uid="{24F9502B-CE01-46E1-B277-462983FB2613}"/>
    <cellStyle name="20% - Accent4 2 2 2 2 2 2 3" xfId="16416" xr:uid="{F256C82B-FE48-4483-866B-F75EA6CBAF33}"/>
    <cellStyle name="20% - Accent4 2 2 2 2 2 3" xfId="21498" xr:uid="{7073B2CD-FD4E-4D18-B697-8DE0B09E25EB}"/>
    <cellStyle name="20% - Accent4 2 2 2 2 2 4" xfId="12199" xr:uid="{91E580B6-04F4-4515-AFA7-015BD033E23A}"/>
    <cellStyle name="20% - Accent4 2 2 2 2 3" xfId="4945" xr:uid="{00000000-0005-0000-0000-0000E8010000}"/>
    <cellStyle name="20% - Accent4 2 2 2 2 3 2" xfId="23570" xr:uid="{684E798F-51FC-4CC2-A66C-E438B46139FB}"/>
    <cellStyle name="20% - Accent4 2 2 2 2 3 3" xfId="14271" xr:uid="{6E6C6D84-0A0A-42D2-9FE5-5A868D05BEAC}"/>
    <cellStyle name="20% - Accent4 2 2 2 2 4" xfId="9529" xr:uid="{0C40CE19-1873-4316-818D-CC943AAFBB7B}"/>
    <cellStyle name="20% - Accent4 2 2 2 2 4 2" xfId="28143" xr:uid="{9FCDC6F5-A215-494C-9143-394DC3690E2E}"/>
    <cellStyle name="20% - Accent4 2 2 2 2 4 3" xfId="18844" xr:uid="{2B122141-B70A-4C6F-909B-E0E8B974A532}"/>
    <cellStyle name="20% - Accent4 2 2 2 2 5" xfId="19353" xr:uid="{34724DC4-BEC8-4C7F-BD91-18A180AFDD9C}"/>
    <cellStyle name="20% - Accent4 2 2 2 2 6" xfId="10054" xr:uid="{3F3BBC1E-C6C5-4768-A8AE-A4E58C835151}"/>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2 2 2" xfId="26128" xr:uid="{F0AF8B37-7463-44EE-9155-CAD85EBF9A52}"/>
    <cellStyle name="20% - Accent4 2 2 2 3 2 2 3" xfId="16829" xr:uid="{CE612FDC-4F3E-464C-A006-1B75CAD849A6}"/>
    <cellStyle name="20% - Accent4 2 2 2 3 2 3" xfId="21911" xr:uid="{FC642659-0C76-401C-993A-50A103194C55}"/>
    <cellStyle name="20% - Accent4 2 2 2 3 2 4" xfId="12612" xr:uid="{ADB5E2C1-61A7-4D8D-9206-F8A6B5E21DE8}"/>
    <cellStyle name="20% - Accent4 2 2 2 3 3" xfId="5358" xr:uid="{00000000-0005-0000-0000-0000EC010000}"/>
    <cellStyle name="20% - Accent4 2 2 2 3 3 2" xfId="23983" xr:uid="{F94916D8-425A-4AA9-8576-46587419D9E6}"/>
    <cellStyle name="20% - Accent4 2 2 2 3 3 3" xfId="14684" xr:uid="{A5CA1E3C-F911-4547-B9A3-32E379B768E4}"/>
    <cellStyle name="20% - Accent4 2 2 2 3 4" xfId="19766" xr:uid="{AE163FD8-B540-42D8-B856-A45E56536771}"/>
    <cellStyle name="20% - Accent4 2 2 2 3 5" xfId="10467" xr:uid="{8F4C0FE9-9250-47FF-A978-6EEC18C11762}"/>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2 2 2" xfId="26541" xr:uid="{4663ECF0-E1D9-4A49-9DDE-E26A36A746FC}"/>
    <cellStyle name="20% - Accent4 2 2 2 4 2 2 3" xfId="17242" xr:uid="{54DE3C56-AF37-4361-9219-39A7BA912ABC}"/>
    <cellStyle name="20% - Accent4 2 2 2 4 2 3" xfId="22324" xr:uid="{E3D7CA7B-AEDC-4D8F-BEA8-105B5694B321}"/>
    <cellStyle name="20% - Accent4 2 2 2 4 2 4" xfId="13025" xr:uid="{954CAE9D-D4D8-4163-B8FB-D14D93400CC4}"/>
    <cellStyle name="20% - Accent4 2 2 2 4 3" xfId="5771" xr:uid="{00000000-0005-0000-0000-0000F0010000}"/>
    <cellStyle name="20% - Accent4 2 2 2 4 3 2" xfId="24396" xr:uid="{EB2AFB86-AA6E-415D-B0F3-7EE5E51B6BC3}"/>
    <cellStyle name="20% - Accent4 2 2 2 4 3 3" xfId="15097" xr:uid="{920342D9-F81F-4BB7-BD64-0D62100DD5C9}"/>
    <cellStyle name="20% - Accent4 2 2 2 4 4" xfId="20179" xr:uid="{8CE89009-10C0-45A5-9074-D65CD131F2C1}"/>
    <cellStyle name="20% - Accent4 2 2 2 4 5" xfId="10880" xr:uid="{EA73FA42-370F-4F53-8333-E7BF7924337B}"/>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2 2 2" xfId="26954" xr:uid="{8B71EBC8-718A-4826-8A56-66BB6E334365}"/>
    <cellStyle name="20% - Accent4 2 2 2 5 2 2 3" xfId="17655" xr:uid="{CD93C8E1-7B48-4E22-A219-4F771E136AB4}"/>
    <cellStyle name="20% - Accent4 2 2 2 5 2 3" xfId="22737" xr:uid="{D8D9C9BA-3153-48C5-AA43-5CCEB02177D5}"/>
    <cellStyle name="20% - Accent4 2 2 2 5 2 4" xfId="13438" xr:uid="{07BE53D5-335D-48C0-931C-4133B0AFFBAA}"/>
    <cellStyle name="20% - Accent4 2 2 2 5 3" xfId="6184" xr:uid="{00000000-0005-0000-0000-0000F4010000}"/>
    <cellStyle name="20% - Accent4 2 2 2 5 3 2" xfId="24809" xr:uid="{2BA4D376-DDF4-4BC9-B0E3-B14CAE0D5B16}"/>
    <cellStyle name="20% - Accent4 2 2 2 5 3 3" xfId="15510" xr:uid="{0F801001-4230-4F32-90BD-4D466323B94D}"/>
    <cellStyle name="20% - Accent4 2 2 2 5 4" xfId="20592" xr:uid="{F6C4D3FA-E3EB-4366-91B2-26287E54E378}"/>
    <cellStyle name="20% - Accent4 2 2 2 5 5" xfId="11293" xr:uid="{2C7E0F01-F1A3-405A-B531-80BFF761044E}"/>
    <cellStyle name="20% - Accent4 2 2 2 6" xfId="2291" xr:uid="{00000000-0005-0000-0000-0000F5010000}"/>
    <cellStyle name="20% - Accent4 2 2 2 6 2" xfId="6597" xr:uid="{00000000-0005-0000-0000-0000F6010000}"/>
    <cellStyle name="20% - Accent4 2 2 2 6 2 2" xfId="25222" xr:uid="{65D9611D-88B7-444C-82D4-7AD2EBF63081}"/>
    <cellStyle name="20% - Accent4 2 2 2 6 2 3" xfId="15923" xr:uid="{8F8A1A2B-EE6E-4C85-91DC-643914654C38}"/>
    <cellStyle name="20% - Accent4 2 2 2 6 3" xfId="21005" xr:uid="{D778BF89-3AFC-450F-8ECD-F9E04A970417}"/>
    <cellStyle name="20% - Accent4 2 2 2 6 4" xfId="11706" xr:uid="{2C245766-8E9B-4AF8-B50A-219577020BF0}"/>
    <cellStyle name="20% - Accent4 2 2 2 7" xfId="4531" xr:uid="{00000000-0005-0000-0000-0000F7010000}"/>
    <cellStyle name="20% - Accent4 2 2 2 7 2" xfId="23156" xr:uid="{AE10E0D0-BE2D-4573-9891-61C3AF0BE98F}"/>
    <cellStyle name="20% - Accent4 2 2 2 7 3" xfId="13857" xr:uid="{58EDE0DE-A4E8-4057-B0D0-7DB475E09925}"/>
    <cellStyle name="20% - Accent4 2 2 2 8" xfId="9104" xr:uid="{526BE306-22BA-4A85-81B2-34AEB56F0D90}"/>
    <cellStyle name="20% - Accent4 2 2 2 8 2" xfId="27727" xr:uid="{D13B6F09-7E4A-4497-A160-6437E7E8478B}"/>
    <cellStyle name="20% - Accent4 2 2 2 8 3" xfId="18428" xr:uid="{2B532514-AD57-4006-A2A7-E03720152B78}"/>
    <cellStyle name="20% - Accent4 2 2 2 9" xfId="18939" xr:uid="{9C2EA382-9988-4081-8E88-A86273AD0F92}"/>
    <cellStyle name="20% - Accent4 2 2 3" xfId="596" xr:uid="{00000000-0005-0000-0000-0000F8010000}"/>
    <cellStyle name="20% - Accent4 2 2 3 2" xfId="2867" xr:uid="{00000000-0005-0000-0000-0000F9010000}"/>
    <cellStyle name="20% - Accent4 2 2 3 2 2" xfId="7089" xr:uid="{00000000-0005-0000-0000-0000FA010000}"/>
    <cellStyle name="20% - Accent4 2 2 3 2 2 2" xfId="25714" xr:uid="{EB635AC3-9257-4C57-9A9C-EB8CB2D987CB}"/>
    <cellStyle name="20% - Accent4 2 2 3 2 2 3" xfId="16415" xr:uid="{1D904238-74E8-475B-83B5-7A58841AEC39}"/>
    <cellStyle name="20% - Accent4 2 2 3 2 3" xfId="21497" xr:uid="{CB371A29-3D42-4641-82F1-33FC6B7C2F07}"/>
    <cellStyle name="20% - Accent4 2 2 3 2 4" xfId="12198" xr:uid="{9D83ADE0-B313-4241-B540-7C1974BAF04D}"/>
    <cellStyle name="20% - Accent4 2 2 3 3" xfId="4944" xr:uid="{00000000-0005-0000-0000-0000FB010000}"/>
    <cellStyle name="20% - Accent4 2 2 3 3 2" xfId="23569" xr:uid="{A4199100-FAA6-4753-A988-11F43CEAE653}"/>
    <cellStyle name="20% - Accent4 2 2 3 3 3" xfId="14270" xr:uid="{B7ADE19A-54E5-4502-9701-04D35FECB57A}"/>
    <cellStyle name="20% - Accent4 2 2 3 4" xfId="9322" xr:uid="{003BBE99-27AA-4036-A373-4475953A88F4}"/>
    <cellStyle name="20% - Accent4 2 2 3 4 2" xfId="27936" xr:uid="{1D8CBC74-A496-4CE9-B8C8-E74B8ED6E278}"/>
    <cellStyle name="20% - Accent4 2 2 3 4 3" xfId="18637" xr:uid="{99B83FCF-5037-4525-8FAA-59444CB75817}"/>
    <cellStyle name="20% - Accent4 2 2 3 5" xfId="19352" xr:uid="{024DD55C-4BB5-4530-97FF-DAFA9948028A}"/>
    <cellStyle name="20% - Accent4 2 2 3 6" xfId="10053" xr:uid="{B7E9551F-14DA-4526-95A0-9F51CA039A8D}"/>
    <cellStyle name="20% - Accent4 2 2 4" xfId="1049" xr:uid="{00000000-0005-0000-0000-0000FC010000}"/>
    <cellStyle name="20% - Accent4 2 2 4 2" xfId="3280" xr:uid="{00000000-0005-0000-0000-0000FD010000}"/>
    <cellStyle name="20% - Accent4 2 2 4 2 2" xfId="7502" xr:uid="{00000000-0005-0000-0000-0000FE010000}"/>
    <cellStyle name="20% - Accent4 2 2 4 2 2 2" xfId="26127" xr:uid="{F40BA7FE-9AA6-4098-9388-BC8FCB1B481E}"/>
    <cellStyle name="20% - Accent4 2 2 4 2 2 3" xfId="16828" xr:uid="{ED662CA4-AA9F-410C-A538-57119BD04B08}"/>
    <cellStyle name="20% - Accent4 2 2 4 2 3" xfId="21910" xr:uid="{3F7BEBDE-5318-41BC-9993-0DFB6ADEF174}"/>
    <cellStyle name="20% - Accent4 2 2 4 2 4" xfId="12611" xr:uid="{A64C6651-C911-465C-9702-C01567E368CE}"/>
    <cellStyle name="20% - Accent4 2 2 4 3" xfId="5357" xr:uid="{00000000-0005-0000-0000-0000FF010000}"/>
    <cellStyle name="20% - Accent4 2 2 4 3 2" xfId="23982" xr:uid="{C6473CD7-D5A6-421A-8CDF-3AEBB7B24756}"/>
    <cellStyle name="20% - Accent4 2 2 4 3 3" xfId="14683" xr:uid="{BEE1958B-2C32-4749-A2B5-77AFE90F1CC1}"/>
    <cellStyle name="20% - Accent4 2 2 4 4" xfId="19765" xr:uid="{72F78C50-95C8-499B-AAD8-9C445975FE4F}"/>
    <cellStyle name="20% - Accent4 2 2 4 5" xfId="10466" xr:uid="{643CC09B-106C-4316-BBA5-4F1E92E557E7}"/>
    <cellStyle name="20% - Accent4 2 2 5" xfId="1463" xr:uid="{00000000-0005-0000-0000-000000020000}"/>
    <cellStyle name="20% - Accent4 2 2 5 2" xfId="3693" xr:uid="{00000000-0005-0000-0000-000001020000}"/>
    <cellStyle name="20% - Accent4 2 2 5 2 2" xfId="7915" xr:uid="{00000000-0005-0000-0000-000002020000}"/>
    <cellStyle name="20% - Accent4 2 2 5 2 2 2" xfId="26540" xr:uid="{5B72C6F1-158E-444F-A354-E92F19D53762}"/>
    <cellStyle name="20% - Accent4 2 2 5 2 2 3" xfId="17241" xr:uid="{CF56BFBD-8193-4518-8E24-0308754FDF8C}"/>
    <cellStyle name="20% - Accent4 2 2 5 2 3" xfId="22323" xr:uid="{7C9EBF08-9002-410B-8E4A-233F6AA5C81E}"/>
    <cellStyle name="20% - Accent4 2 2 5 2 4" xfId="13024" xr:uid="{F29795CA-6AB7-4B28-A365-6F0E4238F229}"/>
    <cellStyle name="20% - Accent4 2 2 5 3" xfId="5770" xr:uid="{00000000-0005-0000-0000-000003020000}"/>
    <cellStyle name="20% - Accent4 2 2 5 3 2" xfId="24395" xr:uid="{4E534981-61E0-42D4-82CE-E2F820C62866}"/>
    <cellStyle name="20% - Accent4 2 2 5 3 3" xfId="15096" xr:uid="{4942845F-E08D-42DB-91B3-79B11FBB97F7}"/>
    <cellStyle name="20% - Accent4 2 2 5 4" xfId="20178" xr:uid="{2A5CF423-BA39-4224-871C-1D6A2DEDFDBA}"/>
    <cellStyle name="20% - Accent4 2 2 5 5" xfId="10879" xr:uid="{F11E9DAA-47D0-46C4-A580-EA1AE401AEF9}"/>
    <cellStyle name="20% - Accent4 2 2 6" xfId="1877" xr:uid="{00000000-0005-0000-0000-000004020000}"/>
    <cellStyle name="20% - Accent4 2 2 6 2" xfId="4106" xr:uid="{00000000-0005-0000-0000-000005020000}"/>
    <cellStyle name="20% - Accent4 2 2 6 2 2" xfId="8328" xr:uid="{00000000-0005-0000-0000-000006020000}"/>
    <cellStyle name="20% - Accent4 2 2 6 2 2 2" xfId="26953" xr:uid="{55E58795-51B6-4600-8D97-EACE40A72060}"/>
    <cellStyle name="20% - Accent4 2 2 6 2 2 3" xfId="17654" xr:uid="{AD8B9B86-1DEC-410F-9504-351BAB41FC71}"/>
    <cellStyle name="20% - Accent4 2 2 6 2 3" xfId="22736" xr:uid="{1F84DE7C-C351-4385-99CA-022F8C6F6C62}"/>
    <cellStyle name="20% - Accent4 2 2 6 2 4" xfId="13437" xr:uid="{D04378C8-446D-481E-B073-EAF1237A81C3}"/>
    <cellStyle name="20% - Accent4 2 2 6 3" xfId="6183" xr:uid="{00000000-0005-0000-0000-000007020000}"/>
    <cellStyle name="20% - Accent4 2 2 6 3 2" xfId="24808" xr:uid="{EA188866-B265-4D4C-BB67-B3419A2A3826}"/>
    <cellStyle name="20% - Accent4 2 2 6 3 3" xfId="15509" xr:uid="{56C05A84-303B-490C-A08D-77EEC8B44A9E}"/>
    <cellStyle name="20% - Accent4 2 2 6 4" xfId="20591" xr:uid="{733EB5B9-46CD-4FCF-819B-73D85256EB17}"/>
    <cellStyle name="20% - Accent4 2 2 6 5" xfId="11292" xr:uid="{5B7B1556-7D60-4A7B-AE0F-937AEFD12CF9}"/>
    <cellStyle name="20% - Accent4 2 2 7" xfId="2290" xr:uid="{00000000-0005-0000-0000-000008020000}"/>
    <cellStyle name="20% - Accent4 2 2 7 2" xfId="6596" xr:uid="{00000000-0005-0000-0000-000009020000}"/>
    <cellStyle name="20% - Accent4 2 2 7 2 2" xfId="25221" xr:uid="{A7EF643A-CB1D-48B6-BEBD-6DF9B4E39977}"/>
    <cellStyle name="20% - Accent4 2 2 7 2 3" xfId="15922" xr:uid="{0E2ECDB4-9EE9-4934-8D54-7965396CB54B}"/>
    <cellStyle name="20% - Accent4 2 2 7 3" xfId="21004" xr:uid="{08276639-F2E9-491C-A44F-3291BAE3624E}"/>
    <cellStyle name="20% - Accent4 2 2 7 4" xfId="11705" xr:uid="{BBD5946E-2FF9-498D-869A-75F90A244892}"/>
    <cellStyle name="20% - Accent4 2 2 8" xfId="4530" xr:uid="{00000000-0005-0000-0000-00000A020000}"/>
    <cellStyle name="20% - Accent4 2 2 8 2" xfId="23155" xr:uid="{F9EBDBF5-0A5A-4AFC-B61F-AB3590D4737C}"/>
    <cellStyle name="20% - Accent4 2 2 8 3" xfId="13856" xr:uid="{C09F2B94-2592-4815-ACBD-0E70E7AA9668}"/>
    <cellStyle name="20% - Accent4 2 2 9" xfId="8897" xr:uid="{3A58A73C-0193-4EAC-8E12-5BF8743CE9BA}"/>
    <cellStyle name="20% - Accent4 2 2 9 2" xfId="27520" xr:uid="{39616F68-3FF5-43A8-8B6F-84040FF8E72F}"/>
    <cellStyle name="20% - Accent4 2 2 9 3" xfId="18221" xr:uid="{5EC5013A-94EC-4ABB-999D-FA770DD80AE1}"/>
    <cellStyle name="20% - Accent4 2 3" xfId="29" xr:uid="{00000000-0005-0000-0000-00000B020000}"/>
    <cellStyle name="20% - Accent4 2 3 10" xfId="9641" xr:uid="{5B3DD6F0-1923-44FD-B868-924F9069D80B}"/>
    <cellStyle name="20% - Accent4 2 3 2" xfId="598" xr:uid="{00000000-0005-0000-0000-00000C020000}"/>
    <cellStyle name="20% - Accent4 2 3 2 2" xfId="2869" xr:uid="{00000000-0005-0000-0000-00000D020000}"/>
    <cellStyle name="20% - Accent4 2 3 2 2 2" xfId="7091" xr:uid="{00000000-0005-0000-0000-00000E020000}"/>
    <cellStyle name="20% - Accent4 2 3 2 2 2 2" xfId="25716" xr:uid="{F3E1D3EB-A47B-4FF8-A717-E8E51B66AA6D}"/>
    <cellStyle name="20% - Accent4 2 3 2 2 2 3" xfId="16417" xr:uid="{4AED4399-4DD5-48BB-8FBE-340121F1031E}"/>
    <cellStyle name="20% - Accent4 2 3 2 2 3" xfId="21499" xr:uid="{9E1D6884-8792-43E9-BE9D-A4B6339F33F9}"/>
    <cellStyle name="20% - Accent4 2 3 2 2 4" xfId="12200" xr:uid="{0FF3ECA7-71E2-4766-AF2B-76EC27414E0E}"/>
    <cellStyle name="20% - Accent4 2 3 2 3" xfId="4946" xr:uid="{00000000-0005-0000-0000-00000F020000}"/>
    <cellStyle name="20% - Accent4 2 3 2 3 2" xfId="23571" xr:uid="{6B959600-6C7E-431B-8FFB-6F5CB0D6ED62}"/>
    <cellStyle name="20% - Accent4 2 3 2 3 3" xfId="14272" xr:uid="{12049ABA-934F-4FB8-AAC9-E9C7FF4C392E}"/>
    <cellStyle name="20% - Accent4 2 3 2 4" xfId="9426" xr:uid="{5B247D51-FBFD-4799-8395-E3F1C04297B8}"/>
    <cellStyle name="20% - Accent4 2 3 2 4 2" xfId="28040" xr:uid="{10E1E864-0471-48FE-8B64-8ECE50B6EDB4}"/>
    <cellStyle name="20% - Accent4 2 3 2 4 3" xfId="18741" xr:uid="{EC463287-34C1-44B9-9E7F-63595A7E0640}"/>
    <cellStyle name="20% - Accent4 2 3 2 5" xfId="19354" xr:uid="{E6E78C56-E3AD-457B-BF93-97BE00373D8C}"/>
    <cellStyle name="20% - Accent4 2 3 2 6" xfId="10055" xr:uid="{0C48662A-68C4-49CD-A935-72A8215CE83C}"/>
    <cellStyle name="20% - Accent4 2 3 3" xfId="1051" xr:uid="{00000000-0005-0000-0000-000010020000}"/>
    <cellStyle name="20% - Accent4 2 3 3 2" xfId="3282" xr:uid="{00000000-0005-0000-0000-000011020000}"/>
    <cellStyle name="20% - Accent4 2 3 3 2 2" xfId="7504" xr:uid="{00000000-0005-0000-0000-000012020000}"/>
    <cellStyle name="20% - Accent4 2 3 3 2 2 2" xfId="26129" xr:uid="{11BC9C93-721B-4329-A194-DC726BEA0A75}"/>
    <cellStyle name="20% - Accent4 2 3 3 2 2 3" xfId="16830" xr:uid="{4C8A5F1B-34B0-417C-9C0A-EFA837BF0288}"/>
    <cellStyle name="20% - Accent4 2 3 3 2 3" xfId="21912" xr:uid="{7782E98C-0F34-48E3-8C8D-F007C40D538B}"/>
    <cellStyle name="20% - Accent4 2 3 3 2 4" xfId="12613" xr:uid="{64449B84-F1B0-4136-A3CC-FBCF4BE0FFB8}"/>
    <cellStyle name="20% - Accent4 2 3 3 3" xfId="5359" xr:uid="{00000000-0005-0000-0000-000013020000}"/>
    <cellStyle name="20% - Accent4 2 3 3 3 2" xfId="23984" xr:uid="{19959F93-C599-4D28-922C-1C01720C60BB}"/>
    <cellStyle name="20% - Accent4 2 3 3 3 3" xfId="14685" xr:uid="{4B0BD063-12CA-4947-9007-ED37C81097B2}"/>
    <cellStyle name="20% - Accent4 2 3 3 4" xfId="19767" xr:uid="{15ABD8E9-AA18-4CAD-B706-48D4C13220F8}"/>
    <cellStyle name="20% - Accent4 2 3 3 5" xfId="10468" xr:uid="{D1F1AFF1-DE31-4721-981B-665E30D9AC43}"/>
    <cellStyle name="20% - Accent4 2 3 4" xfId="1465" xr:uid="{00000000-0005-0000-0000-000014020000}"/>
    <cellStyle name="20% - Accent4 2 3 4 2" xfId="3695" xr:uid="{00000000-0005-0000-0000-000015020000}"/>
    <cellStyle name="20% - Accent4 2 3 4 2 2" xfId="7917" xr:uid="{00000000-0005-0000-0000-000016020000}"/>
    <cellStyle name="20% - Accent4 2 3 4 2 2 2" xfId="26542" xr:uid="{9A278832-D689-4394-9EA6-3631E174520A}"/>
    <cellStyle name="20% - Accent4 2 3 4 2 2 3" xfId="17243" xr:uid="{A153FC98-2D9A-494D-ADF5-10E8546771CF}"/>
    <cellStyle name="20% - Accent4 2 3 4 2 3" xfId="22325" xr:uid="{771D794B-679E-444B-83B1-EE48D50FC02E}"/>
    <cellStyle name="20% - Accent4 2 3 4 2 4" xfId="13026" xr:uid="{212B9D2B-3CF5-4FCE-B099-E09AB6E56B8A}"/>
    <cellStyle name="20% - Accent4 2 3 4 3" xfId="5772" xr:uid="{00000000-0005-0000-0000-000017020000}"/>
    <cellStyle name="20% - Accent4 2 3 4 3 2" xfId="24397" xr:uid="{08B9957F-796A-4D88-AE6C-371335CD1CCF}"/>
    <cellStyle name="20% - Accent4 2 3 4 3 3" xfId="15098" xr:uid="{2D1EA719-69E8-43A3-AB2E-89534B065C22}"/>
    <cellStyle name="20% - Accent4 2 3 4 4" xfId="20180" xr:uid="{9E0CFB80-8983-4A73-ABDA-98DFA6E9909E}"/>
    <cellStyle name="20% - Accent4 2 3 4 5" xfId="10881" xr:uid="{8E2912A3-F07E-45FB-9E2D-7402D7EB7676}"/>
    <cellStyle name="20% - Accent4 2 3 5" xfId="1879" xr:uid="{00000000-0005-0000-0000-000018020000}"/>
    <cellStyle name="20% - Accent4 2 3 5 2" xfId="4108" xr:uid="{00000000-0005-0000-0000-000019020000}"/>
    <cellStyle name="20% - Accent4 2 3 5 2 2" xfId="8330" xr:uid="{00000000-0005-0000-0000-00001A020000}"/>
    <cellStyle name="20% - Accent4 2 3 5 2 2 2" xfId="26955" xr:uid="{88EF69A3-8CDB-4676-8BB5-8F3205101988}"/>
    <cellStyle name="20% - Accent4 2 3 5 2 2 3" xfId="17656" xr:uid="{9C639CEE-97D0-4C43-8ED0-A7D224A8C856}"/>
    <cellStyle name="20% - Accent4 2 3 5 2 3" xfId="22738" xr:uid="{2F82FDCE-AEBD-4E2F-8807-C085E177D2D9}"/>
    <cellStyle name="20% - Accent4 2 3 5 2 4" xfId="13439" xr:uid="{79C3C32C-F4B3-494A-AE76-F9614FEA6DB3}"/>
    <cellStyle name="20% - Accent4 2 3 5 3" xfId="6185" xr:uid="{00000000-0005-0000-0000-00001B020000}"/>
    <cellStyle name="20% - Accent4 2 3 5 3 2" xfId="24810" xr:uid="{7F295583-8B46-47D5-AEBE-08D20A2F822F}"/>
    <cellStyle name="20% - Accent4 2 3 5 3 3" xfId="15511" xr:uid="{0A33363D-CE69-48A7-A7D2-F8CC549F1339}"/>
    <cellStyle name="20% - Accent4 2 3 5 4" xfId="20593" xr:uid="{F02001CB-717B-40F5-BB4C-4861D685EAF1}"/>
    <cellStyle name="20% - Accent4 2 3 5 5" xfId="11294" xr:uid="{C1FC7E58-0959-4E7F-83B0-F732149287CC}"/>
    <cellStyle name="20% - Accent4 2 3 6" xfId="2292" xr:uid="{00000000-0005-0000-0000-00001C020000}"/>
    <cellStyle name="20% - Accent4 2 3 6 2" xfId="6598" xr:uid="{00000000-0005-0000-0000-00001D020000}"/>
    <cellStyle name="20% - Accent4 2 3 6 2 2" xfId="25223" xr:uid="{03AC6A7F-796B-4130-9C10-9ACA174840B7}"/>
    <cellStyle name="20% - Accent4 2 3 6 2 3" xfId="15924" xr:uid="{9A6EB436-D8B4-4F58-A31B-3C834753E5CD}"/>
    <cellStyle name="20% - Accent4 2 3 6 3" xfId="21006" xr:uid="{2E2A1390-0BE7-4763-907F-1C3150709E5C}"/>
    <cellStyle name="20% - Accent4 2 3 6 4" xfId="11707" xr:uid="{BCEF0BB7-36C7-4966-B45B-E5F4C0F51403}"/>
    <cellStyle name="20% - Accent4 2 3 7" xfId="4532" xr:uid="{00000000-0005-0000-0000-00001E020000}"/>
    <cellStyle name="20% - Accent4 2 3 7 2" xfId="23157" xr:uid="{3774F8A9-611C-447F-AD14-B0B4BC6AC4F4}"/>
    <cellStyle name="20% - Accent4 2 3 7 3" xfId="13858" xr:uid="{F281DFAC-FA3C-44BE-9223-0A3E806FC32A}"/>
    <cellStyle name="20% - Accent4 2 3 8" xfId="9001" xr:uid="{B9DE6BBA-06E2-4FC8-B645-F20E60244072}"/>
    <cellStyle name="20% - Accent4 2 3 8 2" xfId="27624" xr:uid="{080D744F-59E5-4F5B-B7B5-1C9F24134587}"/>
    <cellStyle name="20% - Accent4 2 3 8 3" xfId="18325" xr:uid="{BD4D6166-62E4-47DB-AC46-9BE6E394BB7C}"/>
    <cellStyle name="20% - Accent4 2 3 9" xfId="18940" xr:uid="{0CCF0EF3-4EFE-45BB-BD38-32E899B29A92}"/>
    <cellStyle name="20% - Accent4 2 4" xfId="595" xr:uid="{00000000-0005-0000-0000-00001F020000}"/>
    <cellStyle name="20% - Accent4 2 4 2" xfId="2866" xr:uid="{00000000-0005-0000-0000-000020020000}"/>
    <cellStyle name="20% - Accent4 2 4 2 2" xfId="7088" xr:uid="{00000000-0005-0000-0000-000021020000}"/>
    <cellStyle name="20% - Accent4 2 4 2 2 2" xfId="25713" xr:uid="{4EF0F8A0-A173-4E49-B204-6B05079CB708}"/>
    <cellStyle name="20% - Accent4 2 4 2 2 3" xfId="16414" xr:uid="{7746EA5F-8630-4A8F-AB2A-8A918DD4F557}"/>
    <cellStyle name="20% - Accent4 2 4 2 3" xfId="21496" xr:uid="{B796678A-C84D-4A37-AA5D-A52461461DC5}"/>
    <cellStyle name="20% - Accent4 2 4 2 4" xfId="12197" xr:uid="{F051E53B-2860-40AB-8F61-DC36F191CF05}"/>
    <cellStyle name="20% - Accent4 2 4 3" xfId="4943" xr:uid="{00000000-0005-0000-0000-000022020000}"/>
    <cellStyle name="20% - Accent4 2 4 3 2" xfId="23568" xr:uid="{B0D7A97A-4F39-4105-8746-D49FBFCA0562}"/>
    <cellStyle name="20% - Accent4 2 4 3 3" xfId="14269" xr:uid="{BF5EDE04-D95C-480B-A635-3A3A9FC65C15}"/>
    <cellStyle name="20% - Accent4 2 4 4" xfId="9218" xr:uid="{EEA9CEE5-7B27-41EB-B571-13D0ADC44445}"/>
    <cellStyle name="20% - Accent4 2 4 4 2" xfId="27833" xr:uid="{BCB1C38B-0D42-4F6D-88B2-18CA63073BF1}"/>
    <cellStyle name="20% - Accent4 2 4 4 3" xfId="18534" xr:uid="{FCC46DB9-2BA9-4C2C-BBE2-ECBA864E3B08}"/>
    <cellStyle name="20% - Accent4 2 4 5" xfId="19351" xr:uid="{2A27292F-9A0D-4857-801B-7ADF1FA720BB}"/>
    <cellStyle name="20% - Accent4 2 4 6" xfId="10052" xr:uid="{EF75AEB7-7E4E-4972-ADC6-DB1307BB3FDD}"/>
    <cellStyle name="20% - Accent4 2 5" xfId="1048" xr:uid="{00000000-0005-0000-0000-000023020000}"/>
    <cellStyle name="20% - Accent4 2 5 2" xfId="3279" xr:uid="{00000000-0005-0000-0000-000024020000}"/>
    <cellStyle name="20% - Accent4 2 5 2 2" xfId="7501" xr:uid="{00000000-0005-0000-0000-000025020000}"/>
    <cellStyle name="20% - Accent4 2 5 2 2 2" xfId="26126" xr:uid="{95B925BD-074F-49DD-A25B-DCA6F75176C6}"/>
    <cellStyle name="20% - Accent4 2 5 2 2 3" xfId="16827" xr:uid="{A5764A9A-7921-433A-A0F8-F605D7047A1B}"/>
    <cellStyle name="20% - Accent4 2 5 2 3" xfId="21909" xr:uid="{AE8A6D65-A052-46BD-890D-F9E60A3959E2}"/>
    <cellStyle name="20% - Accent4 2 5 2 4" xfId="12610" xr:uid="{22A5EDF6-AE98-47C9-806E-0F21B95DFB7E}"/>
    <cellStyle name="20% - Accent4 2 5 3" xfId="5356" xr:uid="{00000000-0005-0000-0000-000026020000}"/>
    <cellStyle name="20% - Accent4 2 5 3 2" xfId="23981" xr:uid="{CBDE77FE-975C-4287-9D03-BFA324E0CACA}"/>
    <cellStyle name="20% - Accent4 2 5 3 3" xfId="14682" xr:uid="{1640C064-7438-474C-A798-8D9210F2A8AC}"/>
    <cellStyle name="20% - Accent4 2 5 4" xfId="19764" xr:uid="{F9685E10-4731-4119-A265-BECD7A0B90FC}"/>
    <cellStyle name="20% - Accent4 2 5 5" xfId="10465" xr:uid="{401E43E0-E1B3-4B55-8C3D-789CEC317E79}"/>
    <cellStyle name="20% - Accent4 2 6" xfId="1462" xr:uid="{00000000-0005-0000-0000-000027020000}"/>
    <cellStyle name="20% - Accent4 2 6 2" xfId="3692" xr:uid="{00000000-0005-0000-0000-000028020000}"/>
    <cellStyle name="20% - Accent4 2 6 2 2" xfId="7914" xr:uid="{00000000-0005-0000-0000-000029020000}"/>
    <cellStyle name="20% - Accent4 2 6 2 2 2" xfId="26539" xr:uid="{8B174B23-81E9-4220-8424-C35158E270EB}"/>
    <cellStyle name="20% - Accent4 2 6 2 2 3" xfId="17240" xr:uid="{E2078024-A3DD-46B9-B2DB-75E931ABDAAD}"/>
    <cellStyle name="20% - Accent4 2 6 2 3" xfId="22322" xr:uid="{838A8517-4FAA-47C7-AF24-D84DD0A6E9AA}"/>
    <cellStyle name="20% - Accent4 2 6 2 4" xfId="13023" xr:uid="{9209D076-0259-4031-9077-8C6F3B40B319}"/>
    <cellStyle name="20% - Accent4 2 6 3" xfId="5769" xr:uid="{00000000-0005-0000-0000-00002A020000}"/>
    <cellStyle name="20% - Accent4 2 6 3 2" xfId="24394" xr:uid="{656AA032-D9A0-4880-8F20-6C79766C22E1}"/>
    <cellStyle name="20% - Accent4 2 6 3 3" xfId="15095" xr:uid="{58EF4EEA-C0C4-4F75-854B-639971C53FC6}"/>
    <cellStyle name="20% - Accent4 2 6 4" xfId="20177" xr:uid="{5669E155-3546-4ADB-9030-83DBC9EB5BE6}"/>
    <cellStyle name="20% - Accent4 2 6 5" xfId="10878" xr:uid="{8E252AD3-B870-4B3A-8D4F-8E4817EC892F}"/>
    <cellStyle name="20% - Accent4 2 7" xfId="1876" xr:uid="{00000000-0005-0000-0000-00002B020000}"/>
    <cellStyle name="20% - Accent4 2 7 2" xfId="4105" xr:uid="{00000000-0005-0000-0000-00002C020000}"/>
    <cellStyle name="20% - Accent4 2 7 2 2" xfId="8327" xr:uid="{00000000-0005-0000-0000-00002D020000}"/>
    <cellStyle name="20% - Accent4 2 7 2 2 2" xfId="26952" xr:uid="{CA9B52C0-7985-460D-BC97-8FC88BFED20D}"/>
    <cellStyle name="20% - Accent4 2 7 2 2 3" xfId="17653" xr:uid="{62E2A320-98E3-4348-B8F5-16DB651F7FC3}"/>
    <cellStyle name="20% - Accent4 2 7 2 3" xfId="22735" xr:uid="{10E4377A-43EC-470E-8C36-F5CB579AE9D0}"/>
    <cellStyle name="20% - Accent4 2 7 2 4" xfId="13436" xr:uid="{808D6621-6ED8-4D15-9589-AE6CDCEC7742}"/>
    <cellStyle name="20% - Accent4 2 7 3" xfId="6182" xr:uid="{00000000-0005-0000-0000-00002E020000}"/>
    <cellStyle name="20% - Accent4 2 7 3 2" xfId="24807" xr:uid="{C4665658-6CFF-40C4-8EB1-ECF953719797}"/>
    <cellStyle name="20% - Accent4 2 7 3 3" xfId="15508" xr:uid="{43BD9318-0702-4665-B6F6-E58C1C54B1AF}"/>
    <cellStyle name="20% - Accent4 2 7 4" xfId="20590" xr:uid="{EF9C82B1-C332-4F87-AAC2-15B22B0080F3}"/>
    <cellStyle name="20% - Accent4 2 7 5" xfId="11291" xr:uid="{D4F73D6F-2D52-43A2-B9AA-1A9AF6BAF4D5}"/>
    <cellStyle name="20% - Accent4 2 8" xfId="2289" xr:uid="{00000000-0005-0000-0000-00002F020000}"/>
    <cellStyle name="20% - Accent4 2 8 2" xfId="6595" xr:uid="{00000000-0005-0000-0000-000030020000}"/>
    <cellStyle name="20% - Accent4 2 8 2 2" xfId="25220" xr:uid="{58F79282-9382-4FE7-B52E-F1DC9E004C3B}"/>
    <cellStyle name="20% - Accent4 2 8 2 3" xfId="15921" xr:uid="{F471F1B6-A701-4034-AF03-38DB6973C0CB}"/>
    <cellStyle name="20% - Accent4 2 8 3" xfId="21003" xr:uid="{2AE26562-5347-4231-A756-194140D09690}"/>
    <cellStyle name="20% - Accent4 2 8 4" xfId="11704" xr:uid="{D5DEAB2C-9E92-449F-AFE1-CF641CB40297}"/>
    <cellStyle name="20% - Accent4 2 9" xfId="4529" xr:uid="{00000000-0005-0000-0000-000031020000}"/>
    <cellStyle name="20% - Accent4 2 9 2" xfId="23154" xr:uid="{8CC11A93-35EC-4611-800B-5FF307067AFA}"/>
    <cellStyle name="20% - Accent4 2 9 3" xfId="13855" xr:uid="{6CCDB1E8-2B8F-490E-B95E-9EB20DE9FAF0}"/>
    <cellStyle name="20% - Accent4 3" xfId="30" xr:uid="{00000000-0005-0000-0000-000032020000}"/>
    <cellStyle name="20% - Accent4 3 10" xfId="18941" xr:uid="{29BAACFC-F1E0-40AA-BC60-A3FB748F8D33}"/>
    <cellStyle name="20% - Accent4 3 11" xfId="9642" xr:uid="{3D6C76D3-23A5-43F9-B122-947D6EA6A9FA}"/>
    <cellStyle name="20% - Accent4 3 2" xfId="31" xr:uid="{00000000-0005-0000-0000-000033020000}"/>
    <cellStyle name="20% - Accent4 3 2 10" xfId="9643" xr:uid="{3F405DDF-3A10-4A08-81E8-01897056D838}"/>
    <cellStyle name="20% - Accent4 3 2 2" xfId="600" xr:uid="{00000000-0005-0000-0000-000034020000}"/>
    <cellStyle name="20% - Accent4 3 2 2 2" xfId="2871" xr:uid="{00000000-0005-0000-0000-000035020000}"/>
    <cellStyle name="20% - Accent4 3 2 2 2 2" xfId="7093" xr:uid="{00000000-0005-0000-0000-000036020000}"/>
    <cellStyle name="20% - Accent4 3 2 2 2 2 2" xfId="25718" xr:uid="{4CA4586C-40D4-42BD-B9BA-31669D3AB981}"/>
    <cellStyle name="20% - Accent4 3 2 2 2 2 3" xfId="16419" xr:uid="{237D95BF-AE78-45EB-BF8B-667A3E33E467}"/>
    <cellStyle name="20% - Accent4 3 2 2 2 3" xfId="21501" xr:uid="{B5E1398C-FB66-40C3-B3D3-D102627E3BBD}"/>
    <cellStyle name="20% - Accent4 3 2 2 2 4" xfId="12202" xr:uid="{AB468C19-7E6C-4CE8-AE86-AD24067CD311}"/>
    <cellStyle name="20% - Accent4 3 2 2 3" xfId="4948" xr:uid="{00000000-0005-0000-0000-000037020000}"/>
    <cellStyle name="20% - Accent4 3 2 2 3 2" xfId="23573" xr:uid="{A4F1A638-E071-4443-AF9B-DE880004B4C1}"/>
    <cellStyle name="20% - Accent4 3 2 2 3 3" xfId="14274" xr:uid="{8B0B0903-8D4D-42F2-9045-654799DFF4B7}"/>
    <cellStyle name="20% - Accent4 3 2 2 4" xfId="9499" xr:uid="{019308F4-938B-408B-A627-483AF94276A0}"/>
    <cellStyle name="20% - Accent4 3 2 2 4 2" xfId="28113" xr:uid="{55388583-A4E3-457A-A1B9-FA3EB1A9D480}"/>
    <cellStyle name="20% - Accent4 3 2 2 4 3" xfId="18814" xr:uid="{EDCAA820-9905-424E-92E0-2A80EBA1074A}"/>
    <cellStyle name="20% - Accent4 3 2 2 5" xfId="19356" xr:uid="{24BBBF84-CB4E-4DE0-997B-E44A0EB449FB}"/>
    <cellStyle name="20% - Accent4 3 2 2 6" xfId="10057" xr:uid="{62CF7DC2-75A0-4703-9925-9F5CF559D03C}"/>
    <cellStyle name="20% - Accent4 3 2 3" xfId="1053" xr:uid="{00000000-0005-0000-0000-000038020000}"/>
    <cellStyle name="20% - Accent4 3 2 3 2" xfId="3284" xr:uid="{00000000-0005-0000-0000-000039020000}"/>
    <cellStyle name="20% - Accent4 3 2 3 2 2" xfId="7506" xr:uid="{00000000-0005-0000-0000-00003A020000}"/>
    <cellStyle name="20% - Accent4 3 2 3 2 2 2" xfId="26131" xr:uid="{B8E0F031-30AF-4AE1-BC05-686396FD66FA}"/>
    <cellStyle name="20% - Accent4 3 2 3 2 2 3" xfId="16832" xr:uid="{7E986511-E10E-4E20-8996-BA332B4D1944}"/>
    <cellStyle name="20% - Accent4 3 2 3 2 3" xfId="21914" xr:uid="{F605354B-2C87-475E-AE71-47E34BF43FB9}"/>
    <cellStyle name="20% - Accent4 3 2 3 2 4" xfId="12615" xr:uid="{0660429A-C984-469B-94CC-586F5EE4977E}"/>
    <cellStyle name="20% - Accent4 3 2 3 3" xfId="5361" xr:uid="{00000000-0005-0000-0000-00003B020000}"/>
    <cellStyle name="20% - Accent4 3 2 3 3 2" xfId="23986" xr:uid="{050D4C57-5B59-4A0C-B39A-35DE7D4BD1F3}"/>
    <cellStyle name="20% - Accent4 3 2 3 3 3" xfId="14687" xr:uid="{01C695A3-EFE6-4913-94F6-63B6A8005598}"/>
    <cellStyle name="20% - Accent4 3 2 3 4" xfId="19769" xr:uid="{F621FC45-00B8-40D4-8BA8-F1865BBE801B}"/>
    <cellStyle name="20% - Accent4 3 2 3 5" xfId="10470" xr:uid="{4EAAA6A9-5818-4C1D-AAE9-3AAA4D6165B4}"/>
    <cellStyle name="20% - Accent4 3 2 4" xfId="1467" xr:uid="{00000000-0005-0000-0000-00003C020000}"/>
    <cellStyle name="20% - Accent4 3 2 4 2" xfId="3697" xr:uid="{00000000-0005-0000-0000-00003D020000}"/>
    <cellStyle name="20% - Accent4 3 2 4 2 2" xfId="7919" xr:uid="{00000000-0005-0000-0000-00003E020000}"/>
    <cellStyle name="20% - Accent4 3 2 4 2 2 2" xfId="26544" xr:uid="{20C9C867-2767-419E-9FDA-6DD4470C7908}"/>
    <cellStyle name="20% - Accent4 3 2 4 2 2 3" xfId="17245" xr:uid="{4AF74FC9-F0BE-4244-A9F3-5C0258D8EA7C}"/>
    <cellStyle name="20% - Accent4 3 2 4 2 3" xfId="22327" xr:uid="{5BBA6FB9-60AD-4002-9342-931BF304D3EE}"/>
    <cellStyle name="20% - Accent4 3 2 4 2 4" xfId="13028" xr:uid="{D39D85F4-13F0-430B-B1E8-1653F7B628CE}"/>
    <cellStyle name="20% - Accent4 3 2 4 3" xfId="5774" xr:uid="{00000000-0005-0000-0000-00003F020000}"/>
    <cellStyle name="20% - Accent4 3 2 4 3 2" xfId="24399" xr:uid="{818A4064-60A8-4693-9F18-A3E0DCF9DAB2}"/>
    <cellStyle name="20% - Accent4 3 2 4 3 3" xfId="15100" xr:uid="{96F91EC8-10CA-49C9-8F09-98595D8BE8FC}"/>
    <cellStyle name="20% - Accent4 3 2 4 4" xfId="20182" xr:uid="{57F16AB3-66C4-475F-89FB-1BA6D9816280}"/>
    <cellStyle name="20% - Accent4 3 2 4 5" xfId="10883" xr:uid="{F98D3AB4-3372-44DF-9131-AB838BC116FB}"/>
    <cellStyle name="20% - Accent4 3 2 5" xfId="1881" xr:uid="{00000000-0005-0000-0000-000040020000}"/>
    <cellStyle name="20% - Accent4 3 2 5 2" xfId="4110" xr:uid="{00000000-0005-0000-0000-000041020000}"/>
    <cellStyle name="20% - Accent4 3 2 5 2 2" xfId="8332" xr:uid="{00000000-0005-0000-0000-000042020000}"/>
    <cellStyle name="20% - Accent4 3 2 5 2 2 2" xfId="26957" xr:uid="{4F4BEC2F-C84D-4CD7-B82B-2F76214BF73B}"/>
    <cellStyle name="20% - Accent4 3 2 5 2 2 3" xfId="17658" xr:uid="{B76D097B-E41B-40B2-88FC-62C5C6956EBD}"/>
    <cellStyle name="20% - Accent4 3 2 5 2 3" xfId="22740" xr:uid="{E1CCDABB-B3F1-4BE5-8BF1-A02318F4A314}"/>
    <cellStyle name="20% - Accent4 3 2 5 2 4" xfId="13441" xr:uid="{4DC9DC83-D0D3-4C89-9738-90A66B26F0B6}"/>
    <cellStyle name="20% - Accent4 3 2 5 3" xfId="6187" xr:uid="{00000000-0005-0000-0000-000043020000}"/>
    <cellStyle name="20% - Accent4 3 2 5 3 2" xfId="24812" xr:uid="{89DED45C-63A9-4DA6-B9FC-AA0BA4AC993F}"/>
    <cellStyle name="20% - Accent4 3 2 5 3 3" xfId="15513" xr:uid="{C1DB78B1-32C0-4E7B-8D88-C9BD759A37AC}"/>
    <cellStyle name="20% - Accent4 3 2 5 4" xfId="20595" xr:uid="{B90C87AD-9661-4B16-AC14-74927D1D5A02}"/>
    <cellStyle name="20% - Accent4 3 2 5 5" xfId="11296" xr:uid="{6E35E195-2427-4E58-A5D2-55DB420FB66E}"/>
    <cellStyle name="20% - Accent4 3 2 6" xfId="2294" xr:uid="{00000000-0005-0000-0000-000044020000}"/>
    <cellStyle name="20% - Accent4 3 2 6 2" xfId="6600" xr:uid="{00000000-0005-0000-0000-000045020000}"/>
    <cellStyle name="20% - Accent4 3 2 6 2 2" xfId="25225" xr:uid="{C813D34E-ED33-4350-8CEE-18E82625EB2D}"/>
    <cellStyle name="20% - Accent4 3 2 6 2 3" xfId="15926" xr:uid="{1FAD50D3-5447-4896-96A4-176CDFB08D67}"/>
    <cellStyle name="20% - Accent4 3 2 6 3" xfId="21008" xr:uid="{5DD3699C-64C0-4E6C-8F2D-A64D47A552DC}"/>
    <cellStyle name="20% - Accent4 3 2 6 4" xfId="11709" xr:uid="{FDAEF0FE-9026-4536-B094-76E983957B31}"/>
    <cellStyle name="20% - Accent4 3 2 7" xfId="4534" xr:uid="{00000000-0005-0000-0000-000046020000}"/>
    <cellStyle name="20% - Accent4 3 2 7 2" xfId="23159" xr:uid="{AB4633B3-09DB-43EE-880D-353DC53307DA}"/>
    <cellStyle name="20% - Accent4 3 2 7 3" xfId="13860" xr:uid="{1022D156-FA64-48FD-BE5B-1950BA34EA95}"/>
    <cellStyle name="20% - Accent4 3 2 8" xfId="9074" xr:uid="{BA25EAA8-2B5F-4309-91A3-FC61FCEF209C}"/>
    <cellStyle name="20% - Accent4 3 2 8 2" xfId="27697" xr:uid="{503AA5BA-A619-44BB-9F58-5E9692F7BD83}"/>
    <cellStyle name="20% - Accent4 3 2 8 3" xfId="18398" xr:uid="{40950A92-E9BA-4A37-BEA8-03ABD1881AE2}"/>
    <cellStyle name="20% - Accent4 3 2 9" xfId="18942" xr:uid="{9F27B8B9-0CCF-48CD-8988-FCCBC35203D4}"/>
    <cellStyle name="20% - Accent4 3 3" xfId="599" xr:uid="{00000000-0005-0000-0000-000047020000}"/>
    <cellStyle name="20% - Accent4 3 3 2" xfId="2870" xr:uid="{00000000-0005-0000-0000-000048020000}"/>
    <cellStyle name="20% - Accent4 3 3 2 2" xfId="7092" xr:uid="{00000000-0005-0000-0000-000049020000}"/>
    <cellStyle name="20% - Accent4 3 3 2 2 2" xfId="25717" xr:uid="{D769F770-0324-43D7-9ADB-7207ED5FD3B0}"/>
    <cellStyle name="20% - Accent4 3 3 2 2 3" xfId="16418" xr:uid="{F26DD56C-6527-45ED-BE9B-40C6BB85D4B5}"/>
    <cellStyle name="20% - Accent4 3 3 2 3" xfId="21500" xr:uid="{A2AAE7B7-305F-4858-893F-0015AD751708}"/>
    <cellStyle name="20% - Accent4 3 3 2 4" xfId="12201" xr:uid="{927EE75D-DA06-41DE-B0A8-752C20E08A35}"/>
    <cellStyle name="20% - Accent4 3 3 3" xfId="4947" xr:uid="{00000000-0005-0000-0000-00004A020000}"/>
    <cellStyle name="20% - Accent4 3 3 3 2" xfId="23572" xr:uid="{35690B4E-DDA6-4B93-A9A6-ED388032C87C}"/>
    <cellStyle name="20% - Accent4 3 3 3 3" xfId="14273" xr:uid="{C68C0075-3F96-40AE-97EE-D97EFC216CC1}"/>
    <cellStyle name="20% - Accent4 3 3 4" xfId="9292" xr:uid="{E33AB5E9-A8F9-45CB-AD95-0E461E901C30}"/>
    <cellStyle name="20% - Accent4 3 3 4 2" xfId="27906" xr:uid="{6381ADAC-8D9B-4211-A67A-34222E71A58F}"/>
    <cellStyle name="20% - Accent4 3 3 4 3" xfId="18607" xr:uid="{53648C98-8216-49EB-8471-04E725AB74E0}"/>
    <cellStyle name="20% - Accent4 3 3 5" xfId="19355" xr:uid="{14C5AB4C-FF49-43E5-A453-48A52BA1D294}"/>
    <cellStyle name="20% - Accent4 3 3 6" xfId="10056" xr:uid="{B310D745-2926-48B6-9767-1B484C473218}"/>
    <cellStyle name="20% - Accent4 3 4" xfId="1052" xr:uid="{00000000-0005-0000-0000-00004B020000}"/>
    <cellStyle name="20% - Accent4 3 4 2" xfId="3283" xr:uid="{00000000-0005-0000-0000-00004C020000}"/>
    <cellStyle name="20% - Accent4 3 4 2 2" xfId="7505" xr:uid="{00000000-0005-0000-0000-00004D020000}"/>
    <cellStyle name="20% - Accent4 3 4 2 2 2" xfId="26130" xr:uid="{1CBD2C13-3DE9-425A-94EB-A5106237C64E}"/>
    <cellStyle name="20% - Accent4 3 4 2 2 3" xfId="16831" xr:uid="{D2CBC5E7-C044-4B75-A6B2-83D70F6652F3}"/>
    <cellStyle name="20% - Accent4 3 4 2 3" xfId="21913" xr:uid="{BA06C17B-EBF6-4BBE-9243-39EF0FA1D5C7}"/>
    <cellStyle name="20% - Accent4 3 4 2 4" xfId="12614" xr:uid="{75C2DF5D-982B-4C0C-A6B7-ABB4961261BE}"/>
    <cellStyle name="20% - Accent4 3 4 3" xfId="5360" xr:uid="{00000000-0005-0000-0000-00004E020000}"/>
    <cellStyle name="20% - Accent4 3 4 3 2" xfId="23985" xr:uid="{A2E5C5AC-D5A3-4083-BBE8-5801F6A4ABB0}"/>
    <cellStyle name="20% - Accent4 3 4 3 3" xfId="14686" xr:uid="{E1E9C58F-BFEE-439D-8842-F0F8675F7E58}"/>
    <cellStyle name="20% - Accent4 3 4 4" xfId="19768" xr:uid="{C3F1CD4E-3CD0-499D-B5D4-746D54C42EE2}"/>
    <cellStyle name="20% - Accent4 3 4 5" xfId="10469" xr:uid="{5264FF79-F7D2-4B6D-BE13-37FEFA65C69F}"/>
    <cellStyle name="20% - Accent4 3 5" xfId="1466" xr:uid="{00000000-0005-0000-0000-00004F020000}"/>
    <cellStyle name="20% - Accent4 3 5 2" xfId="3696" xr:uid="{00000000-0005-0000-0000-000050020000}"/>
    <cellStyle name="20% - Accent4 3 5 2 2" xfId="7918" xr:uid="{00000000-0005-0000-0000-000051020000}"/>
    <cellStyle name="20% - Accent4 3 5 2 2 2" xfId="26543" xr:uid="{55B5B45F-DE0B-452A-8359-297C91563A57}"/>
    <cellStyle name="20% - Accent4 3 5 2 2 3" xfId="17244" xr:uid="{6C562FAC-8EC5-430E-92E6-2C4363255CFC}"/>
    <cellStyle name="20% - Accent4 3 5 2 3" xfId="22326" xr:uid="{701A0FAF-51E5-4713-86B4-194957A31E89}"/>
    <cellStyle name="20% - Accent4 3 5 2 4" xfId="13027" xr:uid="{454EB5E7-A1E7-417B-946B-A92EBE44F95C}"/>
    <cellStyle name="20% - Accent4 3 5 3" xfId="5773" xr:uid="{00000000-0005-0000-0000-000052020000}"/>
    <cellStyle name="20% - Accent4 3 5 3 2" xfId="24398" xr:uid="{02D1280B-3BC8-4797-BD26-D2507C2DB0CD}"/>
    <cellStyle name="20% - Accent4 3 5 3 3" xfId="15099" xr:uid="{779118CC-D802-48E3-9981-869B40A649D4}"/>
    <cellStyle name="20% - Accent4 3 5 4" xfId="20181" xr:uid="{CD336BE6-C3A3-46A7-A1D9-945EEFA4AC2B}"/>
    <cellStyle name="20% - Accent4 3 5 5" xfId="10882" xr:uid="{11D8EF08-C04F-4932-95A9-7046599321A8}"/>
    <cellStyle name="20% - Accent4 3 6" xfId="1880" xr:uid="{00000000-0005-0000-0000-000053020000}"/>
    <cellStyle name="20% - Accent4 3 6 2" xfId="4109" xr:uid="{00000000-0005-0000-0000-000054020000}"/>
    <cellStyle name="20% - Accent4 3 6 2 2" xfId="8331" xr:uid="{00000000-0005-0000-0000-000055020000}"/>
    <cellStyle name="20% - Accent4 3 6 2 2 2" xfId="26956" xr:uid="{FAEA6CB6-9BCE-471F-906A-BFEC1D7DC79B}"/>
    <cellStyle name="20% - Accent4 3 6 2 2 3" xfId="17657" xr:uid="{B099A754-326E-401A-B5E6-2476C215072D}"/>
    <cellStyle name="20% - Accent4 3 6 2 3" xfId="22739" xr:uid="{D7914EFB-6962-42DE-BBF7-6C03B135FF3F}"/>
    <cellStyle name="20% - Accent4 3 6 2 4" xfId="13440" xr:uid="{87AE07D4-E998-4EBD-9A27-6E43C59E10AF}"/>
    <cellStyle name="20% - Accent4 3 6 3" xfId="6186" xr:uid="{00000000-0005-0000-0000-000056020000}"/>
    <cellStyle name="20% - Accent4 3 6 3 2" xfId="24811" xr:uid="{C71CC3CF-957F-474D-95DD-2C111255B55D}"/>
    <cellStyle name="20% - Accent4 3 6 3 3" xfId="15512" xr:uid="{1FA37C36-8689-4DF0-9B2B-34613D4217E3}"/>
    <cellStyle name="20% - Accent4 3 6 4" xfId="20594" xr:uid="{87277532-789C-4D2E-B4FB-67EAF13C035C}"/>
    <cellStyle name="20% - Accent4 3 6 5" xfId="11295" xr:uid="{AA933313-58C4-4EE6-B03E-E845BC5E351B}"/>
    <cellStyle name="20% - Accent4 3 7" xfId="2293" xr:uid="{00000000-0005-0000-0000-000057020000}"/>
    <cellStyle name="20% - Accent4 3 7 2" xfId="6599" xr:uid="{00000000-0005-0000-0000-000058020000}"/>
    <cellStyle name="20% - Accent4 3 7 2 2" xfId="25224" xr:uid="{AB2EDFF9-466A-43E4-853D-811B99E3BF85}"/>
    <cellStyle name="20% - Accent4 3 7 2 3" xfId="15925" xr:uid="{CDCB855A-635A-4D93-A4F6-1CA4438A3AEB}"/>
    <cellStyle name="20% - Accent4 3 7 3" xfId="21007" xr:uid="{AD467FEA-AB44-48AF-91DB-ED05B648DAC9}"/>
    <cellStyle name="20% - Accent4 3 7 4" xfId="11708" xr:uid="{14E5019A-8D9E-4D50-A714-FC50C1F1F688}"/>
    <cellStyle name="20% - Accent4 3 8" xfId="4533" xr:uid="{00000000-0005-0000-0000-000059020000}"/>
    <cellStyle name="20% - Accent4 3 8 2" xfId="23158" xr:uid="{DA7D1DCE-243B-4DDF-916A-A9A8B43E6CB5}"/>
    <cellStyle name="20% - Accent4 3 8 3" xfId="13859" xr:uid="{24B3DBBD-0658-4132-80FA-869B999C7F05}"/>
    <cellStyle name="20% - Accent4 3 9" xfId="8867" xr:uid="{27FB4CEF-7F56-4AEC-B5AC-6B6A1477FBD8}"/>
    <cellStyle name="20% - Accent4 3 9 2" xfId="27490" xr:uid="{070F2100-9EBF-4CD6-977E-061D7BF45883}"/>
    <cellStyle name="20% - Accent4 3 9 3" xfId="18191" xr:uid="{7301236C-F83F-4076-905C-861B797E3B49}"/>
    <cellStyle name="20% - Accent4 4" xfId="32" xr:uid="{00000000-0005-0000-0000-00005A020000}"/>
    <cellStyle name="20% - Accent4 4 10" xfId="9644" xr:uid="{84DD86EF-871A-4BA3-9C70-811550F415E5}"/>
    <cellStyle name="20% - Accent4 4 2" xfId="601" xr:uid="{00000000-0005-0000-0000-00005B020000}"/>
    <cellStyle name="20% - Accent4 4 2 2" xfId="2872" xr:uid="{00000000-0005-0000-0000-00005C020000}"/>
    <cellStyle name="20% - Accent4 4 2 2 2" xfId="7094" xr:uid="{00000000-0005-0000-0000-00005D020000}"/>
    <cellStyle name="20% - Accent4 4 2 2 2 2" xfId="25719" xr:uid="{9129A094-F39A-4A06-9769-E23494152D6D}"/>
    <cellStyle name="20% - Accent4 4 2 2 2 3" xfId="16420" xr:uid="{A726261C-7641-4444-AA85-9FEB83481635}"/>
    <cellStyle name="20% - Accent4 4 2 2 3" xfId="21502" xr:uid="{6319DC10-70FC-4DB3-BAC0-1B81FE6F5AC6}"/>
    <cellStyle name="20% - Accent4 4 2 2 4" xfId="12203" xr:uid="{7D994400-9E2E-48AE-9559-6C67F05B6773}"/>
    <cellStyle name="20% - Accent4 4 2 3" xfId="4949" xr:uid="{00000000-0005-0000-0000-00005E020000}"/>
    <cellStyle name="20% - Accent4 4 2 3 2" xfId="23574" xr:uid="{BC9BAF80-6AD6-4C74-82F6-2B13B0981AAC}"/>
    <cellStyle name="20% - Accent4 4 2 3 3" xfId="14275" xr:uid="{515DB8FA-0EC2-49CA-A88F-096E1A470478}"/>
    <cellStyle name="20% - Accent4 4 2 4" xfId="9378" xr:uid="{761B3D4A-2751-4646-8A50-05A0DD408525}"/>
    <cellStyle name="20% - Accent4 4 2 4 2" xfId="27992" xr:uid="{2895AA91-C304-4286-B8DA-316E9489AD5F}"/>
    <cellStyle name="20% - Accent4 4 2 4 3" xfId="18693" xr:uid="{ABAC35B0-6DE0-4C3A-9FF5-2839FBC0094F}"/>
    <cellStyle name="20% - Accent4 4 2 5" xfId="19357" xr:uid="{71629FF9-94BB-46AF-BD65-79FA521E1FBD}"/>
    <cellStyle name="20% - Accent4 4 2 6" xfId="10058" xr:uid="{064487CC-816C-4525-9B29-A4D0ACDE27D8}"/>
    <cellStyle name="20% - Accent4 4 3" xfId="1054" xr:uid="{00000000-0005-0000-0000-00005F020000}"/>
    <cellStyle name="20% - Accent4 4 3 2" xfId="3285" xr:uid="{00000000-0005-0000-0000-000060020000}"/>
    <cellStyle name="20% - Accent4 4 3 2 2" xfId="7507" xr:uid="{00000000-0005-0000-0000-000061020000}"/>
    <cellStyle name="20% - Accent4 4 3 2 2 2" xfId="26132" xr:uid="{25B8E64C-4C14-4FE3-9B46-C71E428DC448}"/>
    <cellStyle name="20% - Accent4 4 3 2 2 3" xfId="16833" xr:uid="{F4F5B37C-F184-4502-8440-9E64A0EDA9D3}"/>
    <cellStyle name="20% - Accent4 4 3 2 3" xfId="21915" xr:uid="{0571ABC6-A11F-41E5-8B3D-FA4687E3D284}"/>
    <cellStyle name="20% - Accent4 4 3 2 4" xfId="12616" xr:uid="{99915EAF-269B-4D67-90EB-B98B27342912}"/>
    <cellStyle name="20% - Accent4 4 3 3" xfId="5362" xr:uid="{00000000-0005-0000-0000-000062020000}"/>
    <cellStyle name="20% - Accent4 4 3 3 2" xfId="23987" xr:uid="{AEB1481F-3E4C-42A0-982A-B03BCED862E0}"/>
    <cellStyle name="20% - Accent4 4 3 3 3" xfId="14688" xr:uid="{A1A44B27-D657-4A61-90F9-A1C51F8045CF}"/>
    <cellStyle name="20% - Accent4 4 3 4" xfId="19770" xr:uid="{B355A7DD-A084-4879-817B-2DDD8BFAE0C1}"/>
    <cellStyle name="20% - Accent4 4 3 5" xfId="10471" xr:uid="{F7F34971-FA29-40EA-A871-F6BE016DA6D2}"/>
    <cellStyle name="20% - Accent4 4 4" xfId="1468" xr:uid="{00000000-0005-0000-0000-000063020000}"/>
    <cellStyle name="20% - Accent4 4 4 2" xfId="3698" xr:uid="{00000000-0005-0000-0000-000064020000}"/>
    <cellStyle name="20% - Accent4 4 4 2 2" xfId="7920" xr:uid="{00000000-0005-0000-0000-000065020000}"/>
    <cellStyle name="20% - Accent4 4 4 2 2 2" xfId="26545" xr:uid="{F9576021-2866-4DFB-88D0-E0477CDD26CF}"/>
    <cellStyle name="20% - Accent4 4 4 2 2 3" xfId="17246" xr:uid="{D3672C92-C16A-4634-9224-7604AB063210}"/>
    <cellStyle name="20% - Accent4 4 4 2 3" xfId="22328" xr:uid="{09E1E52E-56DA-49F7-950E-27CC59BA03CB}"/>
    <cellStyle name="20% - Accent4 4 4 2 4" xfId="13029" xr:uid="{E1169956-5757-42A6-9973-8077BDCCACF0}"/>
    <cellStyle name="20% - Accent4 4 4 3" xfId="5775" xr:uid="{00000000-0005-0000-0000-000066020000}"/>
    <cellStyle name="20% - Accent4 4 4 3 2" xfId="24400" xr:uid="{BB7AD887-58A6-40BE-8E59-EB1C5F640019}"/>
    <cellStyle name="20% - Accent4 4 4 3 3" xfId="15101" xr:uid="{63AB32B9-6D8A-4E6E-86F5-EC452A88EAF6}"/>
    <cellStyle name="20% - Accent4 4 4 4" xfId="20183" xr:uid="{64737248-0E00-4E19-82CE-8D09645F234D}"/>
    <cellStyle name="20% - Accent4 4 4 5" xfId="10884" xr:uid="{9D39C10B-FBEC-46C9-90C5-E7A95CD4B706}"/>
    <cellStyle name="20% - Accent4 4 5" xfId="1882" xr:uid="{00000000-0005-0000-0000-000067020000}"/>
    <cellStyle name="20% - Accent4 4 5 2" xfId="4111" xr:uid="{00000000-0005-0000-0000-000068020000}"/>
    <cellStyle name="20% - Accent4 4 5 2 2" xfId="8333" xr:uid="{00000000-0005-0000-0000-000069020000}"/>
    <cellStyle name="20% - Accent4 4 5 2 2 2" xfId="26958" xr:uid="{FA7E249B-48FE-42EB-9A0C-5BCE98D1C0D9}"/>
    <cellStyle name="20% - Accent4 4 5 2 2 3" xfId="17659" xr:uid="{1EF1D0AC-63AD-4B89-A9CB-8101985D2E23}"/>
    <cellStyle name="20% - Accent4 4 5 2 3" xfId="22741" xr:uid="{1B3E223C-1C80-4C5A-9F18-F3B4B17C3B38}"/>
    <cellStyle name="20% - Accent4 4 5 2 4" xfId="13442" xr:uid="{B297D758-6065-4B5A-9856-EB83D9696746}"/>
    <cellStyle name="20% - Accent4 4 5 3" xfId="6188" xr:uid="{00000000-0005-0000-0000-00006A020000}"/>
    <cellStyle name="20% - Accent4 4 5 3 2" xfId="24813" xr:uid="{0FD81F2D-F183-4C10-A0C8-EE9045275809}"/>
    <cellStyle name="20% - Accent4 4 5 3 3" xfId="15514" xr:uid="{730C7DE6-27DB-431E-86F1-9964D4308EF6}"/>
    <cellStyle name="20% - Accent4 4 5 4" xfId="20596" xr:uid="{55D1F74A-DA85-402F-A1D5-0ED97271415A}"/>
    <cellStyle name="20% - Accent4 4 5 5" xfId="11297" xr:uid="{950677CD-93E3-402D-8CD8-FC63E1741364}"/>
    <cellStyle name="20% - Accent4 4 6" xfId="2295" xr:uid="{00000000-0005-0000-0000-00006B020000}"/>
    <cellStyle name="20% - Accent4 4 6 2" xfId="6601" xr:uid="{00000000-0005-0000-0000-00006C020000}"/>
    <cellStyle name="20% - Accent4 4 6 2 2" xfId="25226" xr:uid="{151EEF53-36B7-4E3B-A4F9-83AF8187CE82}"/>
    <cellStyle name="20% - Accent4 4 6 2 3" xfId="15927" xr:uid="{81E4BA0A-8CF1-4919-B2AD-A76ECEC3E16B}"/>
    <cellStyle name="20% - Accent4 4 6 3" xfId="21009" xr:uid="{F85D0F45-FFCA-4AA0-A5EF-C83018B14774}"/>
    <cellStyle name="20% - Accent4 4 6 4" xfId="11710" xr:uid="{171B3954-9736-40EB-AFC3-D8D823E2EF25}"/>
    <cellStyle name="20% - Accent4 4 7" xfId="4535" xr:uid="{00000000-0005-0000-0000-00006D020000}"/>
    <cellStyle name="20% - Accent4 4 7 2" xfId="23160" xr:uid="{D3B9939C-B4C3-4787-8F35-CAB53729D880}"/>
    <cellStyle name="20% - Accent4 4 7 3" xfId="13861" xr:uid="{3AA7D4F7-8364-4EF1-931E-F07C9B2E3944}"/>
    <cellStyle name="20% - Accent4 4 8" xfId="8953" xr:uid="{66D1590A-BB3A-4B79-BA94-169F97E79370}"/>
    <cellStyle name="20% - Accent4 4 8 2" xfId="27576" xr:uid="{E8697471-E321-47A0-9B0A-D381D665F108}"/>
    <cellStyle name="20% - Accent4 4 8 3" xfId="18277" xr:uid="{ACB24C0F-046D-4CDD-B6CA-B737057CC863}"/>
    <cellStyle name="20% - Accent4 4 9" xfId="18943" xr:uid="{66CF4D4C-404C-47F7-933D-E5DEFD2F9891}"/>
    <cellStyle name="20% - Accent4 5" xfId="594" xr:uid="{00000000-0005-0000-0000-00006E020000}"/>
    <cellStyle name="20% - Accent4 5 2" xfId="2865" xr:uid="{00000000-0005-0000-0000-00006F020000}"/>
    <cellStyle name="20% - Accent4 5 2 2" xfId="7087" xr:uid="{00000000-0005-0000-0000-000070020000}"/>
    <cellStyle name="20% - Accent4 5 2 2 2" xfId="25712" xr:uid="{2A9E2BAA-5111-4C42-9D69-4C44BEB7073A}"/>
    <cellStyle name="20% - Accent4 5 2 2 3" xfId="16413" xr:uid="{452BB3D0-104E-41B1-8F68-1FECF4CE3E89}"/>
    <cellStyle name="20% - Accent4 5 2 3" xfId="21495" xr:uid="{B34AA4CA-ADDA-479F-AE27-63D1814BC333}"/>
    <cellStyle name="20% - Accent4 5 2 4" xfId="12196" xr:uid="{E73E3350-EE92-4072-8879-5BA34BE9938E}"/>
    <cellStyle name="20% - Accent4 5 3" xfId="4942" xr:uid="{00000000-0005-0000-0000-000071020000}"/>
    <cellStyle name="20% - Accent4 5 3 2" xfId="23567" xr:uid="{EFC34024-78AD-4837-9BBD-C41C529291CD}"/>
    <cellStyle name="20% - Accent4 5 3 3" xfId="14268" xr:uid="{5D58A9E1-64C4-4A33-8BCC-439098A77EE9}"/>
    <cellStyle name="20% - Accent4 5 4" xfId="9186" xr:uid="{E62ED282-F767-404B-ADA1-4F8E5B4D01EB}"/>
    <cellStyle name="20% - Accent4 5 4 2" xfId="27803" xr:uid="{65D79598-C290-4BF3-B56B-D76C05545EEC}"/>
    <cellStyle name="20% - Accent4 5 4 3" xfId="18504" xr:uid="{7B3013A6-BC6B-43D9-A17A-7422219C104A}"/>
    <cellStyle name="20% - Accent4 5 5" xfId="19350" xr:uid="{0F4E7CC9-9487-47FE-A0D4-7C68AF834E93}"/>
    <cellStyle name="20% - Accent4 5 6" xfId="10051" xr:uid="{53754916-5F64-4559-97D7-FD4A66D14476}"/>
    <cellStyle name="20% - Accent4 6" xfId="1047" xr:uid="{00000000-0005-0000-0000-000072020000}"/>
    <cellStyle name="20% - Accent4 6 2" xfId="3278" xr:uid="{00000000-0005-0000-0000-000073020000}"/>
    <cellStyle name="20% - Accent4 6 2 2" xfId="7500" xr:uid="{00000000-0005-0000-0000-000074020000}"/>
    <cellStyle name="20% - Accent4 6 2 2 2" xfId="26125" xr:uid="{5175DB5C-E06B-4274-9673-420CF7D1F631}"/>
    <cellStyle name="20% - Accent4 6 2 2 3" xfId="16826" xr:uid="{2E9EA877-2977-40B5-A42B-3377AACE97B8}"/>
    <cellStyle name="20% - Accent4 6 2 3" xfId="21908" xr:uid="{92EA6CA2-B4E4-4D6A-BD96-E6847B126880}"/>
    <cellStyle name="20% - Accent4 6 2 4" xfId="12609" xr:uid="{A5B828E6-806F-4E61-902A-27C97D789EC4}"/>
    <cellStyle name="20% - Accent4 6 3" xfId="5355" xr:uid="{00000000-0005-0000-0000-000075020000}"/>
    <cellStyle name="20% - Accent4 6 3 2" xfId="23980" xr:uid="{CA42AD89-79C1-4EF9-A054-D21016CFD976}"/>
    <cellStyle name="20% - Accent4 6 3 3" xfId="14681" xr:uid="{EAFFBD26-B564-4672-BB96-36EBFCDD0120}"/>
    <cellStyle name="20% - Accent4 6 4" xfId="19763" xr:uid="{1EABD4A1-576D-4204-AD7E-B0B06C605B70}"/>
    <cellStyle name="20% - Accent4 6 5" xfId="10464" xr:uid="{99B24FFC-3A1C-4CA0-8485-8B9BC500FFEC}"/>
    <cellStyle name="20% - Accent4 7" xfId="1461" xr:uid="{00000000-0005-0000-0000-000076020000}"/>
    <cellStyle name="20% - Accent4 7 2" xfId="3691" xr:uid="{00000000-0005-0000-0000-000077020000}"/>
    <cellStyle name="20% - Accent4 7 2 2" xfId="7913" xr:uid="{00000000-0005-0000-0000-000078020000}"/>
    <cellStyle name="20% - Accent4 7 2 2 2" xfId="26538" xr:uid="{8B4110CC-FC75-40B9-BCBE-AB03BF159935}"/>
    <cellStyle name="20% - Accent4 7 2 2 3" xfId="17239" xr:uid="{52826224-A197-4757-900B-5C22BAEBBC62}"/>
    <cellStyle name="20% - Accent4 7 2 3" xfId="22321" xr:uid="{654C3ECC-4C8F-48DA-B9E1-158B03F7C695}"/>
    <cellStyle name="20% - Accent4 7 2 4" xfId="13022" xr:uid="{6992ED31-CFFC-4D94-856D-EE8F7143D572}"/>
    <cellStyle name="20% - Accent4 7 3" xfId="5768" xr:uid="{00000000-0005-0000-0000-000079020000}"/>
    <cellStyle name="20% - Accent4 7 3 2" xfId="24393" xr:uid="{808DCF4F-C874-4B00-BE2F-74EED9E3C8BF}"/>
    <cellStyle name="20% - Accent4 7 3 3" xfId="15094" xr:uid="{999D38D6-9BDD-4633-B325-0D9A9A9554BC}"/>
    <cellStyle name="20% - Accent4 7 4" xfId="20176" xr:uid="{9F757517-128F-461F-ACBE-20D1D0BF7A77}"/>
    <cellStyle name="20% - Accent4 7 5" xfId="10877" xr:uid="{F85E01F4-4CB7-4419-817A-81CA52DAD4C4}"/>
    <cellStyle name="20% - Accent4 8" xfId="1875" xr:uid="{00000000-0005-0000-0000-00007A020000}"/>
    <cellStyle name="20% - Accent4 8 2" xfId="4104" xr:uid="{00000000-0005-0000-0000-00007B020000}"/>
    <cellStyle name="20% - Accent4 8 2 2" xfId="8326" xr:uid="{00000000-0005-0000-0000-00007C020000}"/>
    <cellStyle name="20% - Accent4 8 2 2 2" xfId="26951" xr:uid="{E8967EA0-855C-4C52-AE80-C6CEE9E2527D}"/>
    <cellStyle name="20% - Accent4 8 2 2 3" xfId="17652" xr:uid="{C8D431B9-49C0-48B5-A43D-5AC09EE189E7}"/>
    <cellStyle name="20% - Accent4 8 2 3" xfId="22734" xr:uid="{997612E6-1E9C-4533-850E-606D12E89567}"/>
    <cellStyle name="20% - Accent4 8 2 4" xfId="13435" xr:uid="{7D1BD4C9-338F-47CE-B393-E769ACD5C45F}"/>
    <cellStyle name="20% - Accent4 8 3" xfId="6181" xr:uid="{00000000-0005-0000-0000-00007D020000}"/>
    <cellStyle name="20% - Accent4 8 3 2" xfId="24806" xr:uid="{A3A6EC48-6CC5-47CA-A49B-7A8CB682BFD7}"/>
    <cellStyle name="20% - Accent4 8 3 3" xfId="15507" xr:uid="{414EAF17-A58C-443B-B478-7CFAC9597121}"/>
    <cellStyle name="20% - Accent4 8 4" xfId="20589" xr:uid="{779AEF33-EB9A-4050-8F1B-970AE560F00A}"/>
    <cellStyle name="20% - Accent4 8 5" xfId="11290" xr:uid="{1921408B-5FEF-4E35-8B29-EEFF2F3A3B8D}"/>
    <cellStyle name="20% - Accent4 9" xfId="2288" xr:uid="{00000000-0005-0000-0000-00007E020000}"/>
    <cellStyle name="20% - Accent4 9 2" xfId="6594" xr:uid="{00000000-0005-0000-0000-00007F020000}"/>
    <cellStyle name="20% - Accent4 9 2 2" xfId="25219" xr:uid="{05B0F6BB-B3A2-416E-8A3F-F1047CA1D102}"/>
    <cellStyle name="20% - Accent4 9 2 3" xfId="15920" xr:uid="{37C4ABC8-9B4B-45BC-B664-4180070E1175}"/>
    <cellStyle name="20% - Accent4 9 3" xfId="21002" xr:uid="{4C8EE4F2-50E4-41CA-865A-A1CE4D74F0ED}"/>
    <cellStyle name="20% - Accent4 9 4" xfId="11703" xr:uid="{C9DD6061-F7CB-45D6-8B68-09118748622F}"/>
    <cellStyle name="20% - Accent5" xfId="33" builtinId="46" customBuiltin="1"/>
    <cellStyle name="20% - Accent5 10" xfId="4536" xr:uid="{00000000-0005-0000-0000-000081020000}"/>
    <cellStyle name="20% - Accent5 10 2" xfId="23161" xr:uid="{DF64D283-40BC-4B25-8A74-5418C61AA9B1}"/>
    <cellStyle name="20% - Accent5 10 3" xfId="13862" xr:uid="{99E143CE-E818-48D1-9A63-455BDFE91F97}"/>
    <cellStyle name="20% - Accent5 11" xfId="8766" xr:uid="{A87C980D-48BC-4AA3-98F7-53B2F02F228C}"/>
    <cellStyle name="20% - Accent5 11 2" xfId="27389" xr:uid="{FEA3AC58-8F89-4F91-B949-F910CC894B52}"/>
    <cellStyle name="20% - Accent5 11 3" xfId="18090" xr:uid="{04978F52-919D-474E-94B7-E453356125E2}"/>
    <cellStyle name="20% - Accent5 12" xfId="18944" xr:uid="{89A540C6-7E00-43BB-8388-CADD85A1BBEC}"/>
    <cellStyle name="20% - Accent5 13" xfId="9645" xr:uid="{A89B861B-0FFC-43F1-B031-1ADE65347BD0}"/>
    <cellStyle name="20% - Accent5 2" xfId="34" xr:uid="{00000000-0005-0000-0000-000082020000}"/>
    <cellStyle name="20% - Accent5 2 10" xfId="8796" xr:uid="{5BBF4372-A7B1-47A0-AC3D-4A60EDC1A5F8}"/>
    <cellStyle name="20% - Accent5 2 10 2" xfId="27419" xr:uid="{E442A6F7-3769-47CF-A2C3-1AC129424405}"/>
    <cellStyle name="20% - Accent5 2 10 3" xfId="18120" xr:uid="{107B5D05-A3C5-413C-8FD2-176092EA679A}"/>
    <cellStyle name="20% - Accent5 2 11" xfId="18945" xr:uid="{0D5831B5-5E87-464A-81C3-B863BF957686}"/>
    <cellStyle name="20% - Accent5 2 12" xfId="9646" xr:uid="{89CEC37D-0B37-4534-8B25-D65F4B8018B5}"/>
    <cellStyle name="20% - Accent5 2 2" xfId="35" xr:uid="{00000000-0005-0000-0000-000083020000}"/>
    <cellStyle name="20% - Accent5 2 2 10" xfId="18946" xr:uid="{E63317BF-8FF6-45D1-8CB3-7944DB25B73A}"/>
    <cellStyle name="20% - Accent5 2 2 11" xfId="9647" xr:uid="{BF0C553E-0579-464C-8532-8E33A0F8D53F}"/>
    <cellStyle name="20% - Accent5 2 2 2" xfId="36" xr:uid="{00000000-0005-0000-0000-000084020000}"/>
    <cellStyle name="20% - Accent5 2 2 2 10" xfId="9648" xr:uid="{68C1215E-73EA-4607-B739-B91A522D83E4}"/>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2 2 2" xfId="25723" xr:uid="{B142424B-A943-4EA4-9D39-C7700DF27889}"/>
    <cellStyle name="20% - Accent5 2 2 2 2 2 2 3" xfId="16424" xr:uid="{B33E78E6-E2F4-446F-92DC-A7157C2A60D4}"/>
    <cellStyle name="20% - Accent5 2 2 2 2 2 3" xfId="21506" xr:uid="{76C3E572-8E34-4B2D-98F7-ABE2D441843F}"/>
    <cellStyle name="20% - Accent5 2 2 2 2 2 4" xfId="12207" xr:uid="{7E32B32C-D520-48A7-A275-E45C26DBAB7A}"/>
    <cellStyle name="20% - Accent5 2 2 2 2 3" xfId="4953" xr:uid="{00000000-0005-0000-0000-000088020000}"/>
    <cellStyle name="20% - Accent5 2 2 2 2 3 2" xfId="23578" xr:uid="{002D3228-A178-4FAD-8B27-297BEA16DB98}"/>
    <cellStyle name="20% - Accent5 2 2 2 2 3 3" xfId="14279" xr:uid="{47EEDE6C-9681-4FE2-8A91-A72AD3E8BF62}"/>
    <cellStyle name="20% - Accent5 2 2 2 2 4" xfId="9531" xr:uid="{5DC5F027-F767-49FB-B9DE-2ACABCF8AC5A}"/>
    <cellStyle name="20% - Accent5 2 2 2 2 4 2" xfId="28145" xr:uid="{8FB9E3C6-9EE9-4D3F-8339-20475448F4B0}"/>
    <cellStyle name="20% - Accent5 2 2 2 2 4 3" xfId="18846" xr:uid="{D1393E66-F909-4B2B-B3F1-C1522ACC82CB}"/>
    <cellStyle name="20% - Accent5 2 2 2 2 5" xfId="19361" xr:uid="{7570C38B-DB2A-4DB5-B209-578D94F6C1EC}"/>
    <cellStyle name="20% - Accent5 2 2 2 2 6" xfId="10062" xr:uid="{72AFC990-473B-4C82-A143-BDA30A731574}"/>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2 2 2" xfId="26136" xr:uid="{EE2452AE-061F-444C-A603-E59C692F8BD9}"/>
    <cellStyle name="20% - Accent5 2 2 2 3 2 2 3" xfId="16837" xr:uid="{1D3F6A1B-8F4B-4BED-B590-60646D1813BC}"/>
    <cellStyle name="20% - Accent5 2 2 2 3 2 3" xfId="21919" xr:uid="{8780D72D-5169-4F48-9077-1403FC0552E0}"/>
    <cellStyle name="20% - Accent5 2 2 2 3 2 4" xfId="12620" xr:uid="{57587860-B18D-4A24-9F90-BB74F7DA767F}"/>
    <cellStyle name="20% - Accent5 2 2 2 3 3" xfId="5366" xr:uid="{00000000-0005-0000-0000-00008C020000}"/>
    <cellStyle name="20% - Accent5 2 2 2 3 3 2" xfId="23991" xr:uid="{25E650AA-492D-42BE-8684-A484162C8DFD}"/>
    <cellStyle name="20% - Accent5 2 2 2 3 3 3" xfId="14692" xr:uid="{ECAD079B-5C35-441B-858E-BDB15148AF54}"/>
    <cellStyle name="20% - Accent5 2 2 2 3 4" xfId="19774" xr:uid="{B1E55242-4540-4D57-B686-4E9B94F3EEC0}"/>
    <cellStyle name="20% - Accent5 2 2 2 3 5" xfId="10475" xr:uid="{70C906E8-5ED6-477F-9544-84EBEBF607EA}"/>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2 2 2" xfId="26549" xr:uid="{3F40E193-9A7E-4F09-BF51-CEE37769A064}"/>
    <cellStyle name="20% - Accent5 2 2 2 4 2 2 3" xfId="17250" xr:uid="{F4249774-1FED-4C80-A031-2B91621C5B1D}"/>
    <cellStyle name="20% - Accent5 2 2 2 4 2 3" xfId="22332" xr:uid="{8893E50F-0A30-4C2D-B34E-8BB1CB831137}"/>
    <cellStyle name="20% - Accent5 2 2 2 4 2 4" xfId="13033" xr:uid="{7BB4106F-C599-468C-A26C-CFEDDAAD8859}"/>
    <cellStyle name="20% - Accent5 2 2 2 4 3" xfId="5779" xr:uid="{00000000-0005-0000-0000-000090020000}"/>
    <cellStyle name="20% - Accent5 2 2 2 4 3 2" xfId="24404" xr:uid="{E19F74BB-5C5D-422E-A1E9-FDF45BA13279}"/>
    <cellStyle name="20% - Accent5 2 2 2 4 3 3" xfId="15105" xr:uid="{EE7084AD-29DC-47B0-ACE5-B9DB49035915}"/>
    <cellStyle name="20% - Accent5 2 2 2 4 4" xfId="20187" xr:uid="{24D0078A-8FF7-4E06-921B-825E75AF40A8}"/>
    <cellStyle name="20% - Accent5 2 2 2 4 5" xfId="10888" xr:uid="{F15D6F46-2304-4EC1-9F4C-89DC364E4A87}"/>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2 2 2" xfId="26962" xr:uid="{DFA37E2B-2B7D-4ADC-AB84-013779681D02}"/>
    <cellStyle name="20% - Accent5 2 2 2 5 2 2 3" xfId="17663" xr:uid="{13299CFA-8E78-4EF1-AAEB-E7C7A3273DE6}"/>
    <cellStyle name="20% - Accent5 2 2 2 5 2 3" xfId="22745" xr:uid="{9F3BD4E0-EAF0-408F-AB76-7F500722C29B}"/>
    <cellStyle name="20% - Accent5 2 2 2 5 2 4" xfId="13446" xr:uid="{966D2642-F62E-4552-84AD-F5544BBBA4C1}"/>
    <cellStyle name="20% - Accent5 2 2 2 5 3" xfId="6192" xr:uid="{00000000-0005-0000-0000-000094020000}"/>
    <cellStyle name="20% - Accent5 2 2 2 5 3 2" xfId="24817" xr:uid="{53619068-3589-4C88-A8C6-B0B36218ECFD}"/>
    <cellStyle name="20% - Accent5 2 2 2 5 3 3" xfId="15518" xr:uid="{67C318E9-033B-4387-B509-73C9201E9CAB}"/>
    <cellStyle name="20% - Accent5 2 2 2 5 4" xfId="20600" xr:uid="{9B53B647-9E22-4CA0-9949-4F9EDD3DED4E}"/>
    <cellStyle name="20% - Accent5 2 2 2 5 5" xfId="11301" xr:uid="{0B4D8D7E-F79E-461C-B532-E8900CBBB791}"/>
    <cellStyle name="20% - Accent5 2 2 2 6" xfId="2299" xr:uid="{00000000-0005-0000-0000-000095020000}"/>
    <cellStyle name="20% - Accent5 2 2 2 6 2" xfId="6605" xr:uid="{00000000-0005-0000-0000-000096020000}"/>
    <cellStyle name="20% - Accent5 2 2 2 6 2 2" xfId="25230" xr:uid="{DD6FE13A-8421-4350-9E7B-ED7CDCC2C84C}"/>
    <cellStyle name="20% - Accent5 2 2 2 6 2 3" xfId="15931" xr:uid="{3D6EA991-26D8-4065-90A2-C2CFDFDD5EFC}"/>
    <cellStyle name="20% - Accent5 2 2 2 6 3" xfId="21013" xr:uid="{1FDDBD1B-AE63-4D87-9803-5B99673BCC49}"/>
    <cellStyle name="20% - Accent5 2 2 2 6 4" xfId="11714" xr:uid="{D74F65D8-4B3B-4CF1-9847-8710FF65991E}"/>
    <cellStyle name="20% - Accent5 2 2 2 7" xfId="4539" xr:uid="{00000000-0005-0000-0000-000097020000}"/>
    <cellStyle name="20% - Accent5 2 2 2 7 2" xfId="23164" xr:uid="{BC8B2B9A-F715-4243-8F0A-F85F02A577A0}"/>
    <cellStyle name="20% - Accent5 2 2 2 7 3" xfId="13865" xr:uid="{BF5F266F-F932-491A-8EA6-CA2D46B241B0}"/>
    <cellStyle name="20% - Accent5 2 2 2 8" xfId="9106" xr:uid="{E7B219CB-83A9-494A-83ED-783719A0F1D9}"/>
    <cellStyle name="20% - Accent5 2 2 2 8 2" xfId="27729" xr:uid="{CE07553E-C1E7-4EA0-8BA2-8FC3EB85E9BA}"/>
    <cellStyle name="20% - Accent5 2 2 2 8 3" xfId="18430" xr:uid="{EB329DBD-C295-42DA-9FBF-E8A9146479A9}"/>
    <cellStyle name="20% - Accent5 2 2 2 9" xfId="18947" xr:uid="{EDAFB735-913E-4CD7-A5B0-54F80AFD2BEA}"/>
    <cellStyle name="20% - Accent5 2 2 3" xfId="604" xr:uid="{00000000-0005-0000-0000-000098020000}"/>
    <cellStyle name="20% - Accent5 2 2 3 2" xfId="2875" xr:uid="{00000000-0005-0000-0000-000099020000}"/>
    <cellStyle name="20% - Accent5 2 2 3 2 2" xfId="7097" xr:uid="{00000000-0005-0000-0000-00009A020000}"/>
    <cellStyle name="20% - Accent5 2 2 3 2 2 2" xfId="25722" xr:uid="{8A832995-21AE-4FFC-A933-19338626B1D7}"/>
    <cellStyle name="20% - Accent5 2 2 3 2 2 3" xfId="16423" xr:uid="{3D666984-6F2F-4030-85FF-03DAAA65377B}"/>
    <cellStyle name="20% - Accent5 2 2 3 2 3" xfId="21505" xr:uid="{B9317E40-FC78-47E6-B2E9-C0E63B2BBFCB}"/>
    <cellStyle name="20% - Accent5 2 2 3 2 4" xfId="12206" xr:uid="{FF32F1B0-BC32-4DB5-8551-562F7DEA5865}"/>
    <cellStyle name="20% - Accent5 2 2 3 3" xfId="4952" xr:uid="{00000000-0005-0000-0000-00009B020000}"/>
    <cellStyle name="20% - Accent5 2 2 3 3 2" xfId="23577" xr:uid="{85573469-9EFE-4523-989B-9311982F5305}"/>
    <cellStyle name="20% - Accent5 2 2 3 3 3" xfId="14278" xr:uid="{C3E558F2-20D5-41F3-87D5-96D8501299EC}"/>
    <cellStyle name="20% - Accent5 2 2 3 4" xfId="9324" xr:uid="{6094FEE1-8E2A-466F-9CDF-43EB9EE581FF}"/>
    <cellStyle name="20% - Accent5 2 2 3 4 2" xfId="27938" xr:uid="{7CEB4016-8455-4B54-A105-A67F4D894F76}"/>
    <cellStyle name="20% - Accent5 2 2 3 4 3" xfId="18639" xr:uid="{AF2DCFAC-7D31-47E8-B131-FF7B36FFA04D}"/>
    <cellStyle name="20% - Accent5 2 2 3 5" xfId="19360" xr:uid="{1627B130-142C-4D03-9C64-1005F2C42917}"/>
    <cellStyle name="20% - Accent5 2 2 3 6" xfId="10061" xr:uid="{5F693168-59DB-4DA1-A138-4618286DF1DE}"/>
    <cellStyle name="20% - Accent5 2 2 4" xfId="1057" xr:uid="{00000000-0005-0000-0000-00009C020000}"/>
    <cellStyle name="20% - Accent5 2 2 4 2" xfId="3288" xr:uid="{00000000-0005-0000-0000-00009D020000}"/>
    <cellStyle name="20% - Accent5 2 2 4 2 2" xfId="7510" xr:uid="{00000000-0005-0000-0000-00009E020000}"/>
    <cellStyle name="20% - Accent5 2 2 4 2 2 2" xfId="26135" xr:uid="{2E790C74-8012-408C-8BB4-88E50DD6D183}"/>
    <cellStyle name="20% - Accent5 2 2 4 2 2 3" xfId="16836" xr:uid="{65312FBB-3208-4A78-8100-86DE46663300}"/>
    <cellStyle name="20% - Accent5 2 2 4 2 3" xfId="21918" xr:uid="{68654B2B-1AE6-45ED-B04F-864827CD9360}"/>
    <cellStyle name="20% - Accent5 2 2 4 2 4" xfId="12619" xr:uid="{25706ED7-F38A-4949-9820-2C6E0720A1F0}"/>
    <cellStyle name="20% - Accent5 2 2 4 3" xfId="5365" xr:uid="{00000000-0005-0000-0000-00009F020000}"/>
    <cellStyle name="20% - Accent5 2 2 4 3 2" xfId="23990" xr:uid="{C91B1DD5-7DC2-4C30-9336-3D099EC7D3D0}"/>
    <cellStyle name="20% - Accent5 2 2 4 3 3" xfId="14691" xr:uid="{C6A3D2D2-1AAB-4941-912C-5E963E634AAE}"/>
    <cellStyle name="20% - Accent5 2 2 4 4" xfId="19773" xr:uid="{8F6E8CAD-1EED-495D-B607-311C3AB5DCC6}"/>
    <cellStyle name="20% - Accent5 2 2 4 5" xfId="10474" xr:uid="{C55B9E6F-FBC5-42F6-A83C-9FDE77CD6EED}"/>
    <cellStyle name="20% - Accent5 2 2 5" xfId="1471" xr:uid="{00000000-0005-0000-0000-0000A0020000}"/>
    <cellStyle name="20% - Accent5 2 2 5 2" xfId="3701" xr:uid="{00000000-0005-0000-0000-0000A1020000}"/>
    <cellStyle name="20% - Accent5 2 2 5 2 2" xfId="7923" xr:uid="{00000000-0005-0000-0000-0000A2020000}"/>
    <cellStyle name="20% - Accent5 2 2 5 2 2 2" xfId="26548" xr:uid="{2E392E03-ADD0-4471-91B6-C21149AD000A}"/>
    <cellStyle name="20% - Accent5 2 2 5 2 2 3" xfId="17249" xr:uid="{BEBDA658-835B-4EF5-BD1B-1EC1F64BB3D4}"/>
    <cellStyle name="20% - Accent5 2 2 5 2 3" xfId="22331" xr:uid="{2DD61713-6C37-484D-ACF1-2C2373B549CE}"/>
    <cellStyle name="20% - Accent5 2 2 5 2 4" xfId="13032" xr:uid="{2F3D6037-323F-4939-A608-2EB2B0B7C6BB}"/>
    <cellStyle name="20% - Accent5 2 2 5 3" xfId="5778" xr:uid="{00000000-0005-0000-0000-0000A3020000}"/>
    <cellStyle name="20% - Accent5 2 2 5 3 2" xfId="24403" xr:uid="{8A1DE085-D1A8-42E8-8864-60D11A8D0F36}"/>
    <cellStyle name="20% - Accent5 2 2 5 3 3" xfId="15104" xr:uid="{B252449A-83E9-4390-BB40-F0F08576B24F}"/>
    <cellStyle name="20% - Accent5 2 2 5 4" xfId="20186" xr:uid="{33BAE015-7B15-419F-BA05-18D790AD0D95}"/>
    <cellStyle name="20% - Accent5 2 2 5 5" xfId="10887" xr:uid="{5215C6EE-C60E-4424-9185-69A9DA123DE8}"/>
    <cellStyle name="20% - Accent5 2 2 6" xfId="1885" xr:uid="{00000000-0005-0000-0000-0000A4020000}"/>
    <cellStyle name="20% - Accent5 2 2 6 2" xfId="4114" xr:uid="{00000000-0005-0000-0000-0000A5020000}"/>
    <cellStyle name="20% - Accent5 2 2 6 2 2" xfId="8336" xr:uid="{00000000-0005-0000-0000-0000A6020000}"/>
    <cellStyle name="20% - Accent5 2 2 6 2 2 2" xfId="26961" xr:uid="{7ACA7F99-422D-4A43-930E-EA5E52DFF194}"/>
    <cellStyle name="20% - Accent5 2 2 6 2 2 3" xfId="17662" xr:uid="{6476E8F6-3BF8-4784-897F-CDAB323FD3B0}"/>
    <cellStyle name="20% - Accent5 2 2 6 2 3" xfId="22744" xr:uid="{4B32BE58-1A3E-4F69-8896-B9777923D313}"/>
    <cellStyle name="20% - Accent5 2 2 6 2 4" xfId="13445" xr:uid="{5152E3D9-C988-4CF6-87A0-725AA16FD2C3}"/>
    <cellStyle name="20% - Accent5 2 2 6 3" xfId="6191" xr:uid="{00000000-0005-0000-0000-0000A7020000}"/>
    <cellStyle name="20% - Accent5 2 2 6 3 2" xfId="24816" xr:uid="{D5C59C57-0A1F-4150-9CCF-CB147DE473FB}"/>
    <cellStyle name="20% - Accent5 2 2 6 3 3" xfId="15517" xr:uid="{3094B59A-8CB4-4EF5-935F-A6F4DFC43DEE}"/>
    <cellStyle name="20% - Accent5 2 2 6 4" xfId="20599" xr:uid="{794ADA5A-B782-4EDF-8D58-6C3908F7FB87}"/>
    <cellStyle name="20% - Accent5 2 2 6 5" xfId="11300" xr:uid="{DEB2E555-0E5D-47C1-A621-9695026F516F}"/>
    <cellStyle name="20% - Accent5 2 2 7" xfId="2298" xr:uid="{00000000-0005-0000-0000-0000A8020000}"/>
    <cellStyle name="20% - Accent5 2 2 7 2" xfId="6604" xr:uid="{00000000-0005-0000-0000-0000A9020000}"/>
    <cellStyle name="20% - Accent5 2 2 7 2 2" xfId="25229" xr:uid="{F3413376-71C3-4967-9D48-02D0C47939A1}"/>
    <cellStyle name="20% - Accent5 2 2 7 2 3" xfId="15930" xr:uid="{9261E400-6CCE-4131-9E25-93337E8BF0AF}"/>
    <cellStyle name="20% - Accent5 2 2 7 3" xfId="21012" xr:uid="{052F2759-7C2D-4327-996E-BEF854D35D29}"/>
    <cellStyle name="20% - Accent5 2 2 7 4" xfId="11713" xr:uid="{AA9B0460-7BD5-40AB-93E8-81ADEDA67268}"/>
    <cellStyle name="20% - Accent5 2 2 8" xfId="4538" xr:uid="{00000000-0005-0000-0000-0000AA020000}"/>
    <cellStyle name="20% - Accent5 2 2 8 2" xfId="23163" xr:uid="{43CAA250-85B0-4F90-A923-0D0C7B696BE6}"/>
    <cellStyle name="20% - Accent5 2 2 8 3" xfId="13864" xr:uid="{CE8AC378-9716-433C-A68E-43C3B7A3B3C9}"/>
    <cellStyle name="20% - Accent5 2 2 9" xfId="8899" xr:uid="{0E8F9EC8-D565-41C9-B716-FF597FFF35B9}"/>
    <cellStyle name="20% - Accent5 2 2 9 2" xfId="27522" xr:uid="{E445835A-8C37-4E8B-8088-B6B038787EC6}"/>
    <cellStyle name="20% - Accent5 2 2 9 3" xfId="18223" xr:uid="{10DC078F-9BBE-4B10-B184-67250B9AF1E9}"/>
    <cellStyle name="20% - Accent5 2 3" xfId="37" xr:uid="{00000000-0005-0000-0000-0000AB020000}"/>
    <cellStyle name="20% - Accent5 2 3 10" xfId="9649" xr:uid="{14587CF0-1344-4803-8BD6-022B199C6F12}"/>
    <cellStyle name="20% - Accent5 2 3 2" xfId="606" xr:uid="{00000000-0005-0000-0000-0000AC020000}"/>
    <cellStyle name="20% - Accent5 2 3 2 2" xfId="2877" xr:uid="{00000000-0005-0000-0000-0000AD020000}"/>
    <cellStyle name="20% - Accent5 2 3 2 2 2" xfId="7099" xr:uid="{00000000-0005-0000-0000-0000AE020000}"/>
    <cellStyle name="20% - Accent5 2 3 2 2 2 2" xfId="25724" xr:uid="{9AC875F7-E0B3-4E49-9049-C6D88D990153}"/>
    <cellStyle name="20% - Accent5 2 3 2 2 2 3" xfId="16425" xr:uid="{127EA49B-0735-4E96-B616-4F84006894C3}"/>
    <cellStyle name="20% - Accent5 2 3 2 2 3" xfId="21507" xr:uid="{4EB1C81A-F2D9-4701-AA8E-056C2D79090B}"/>
    <cellStyle name="20% - Accent5 2 3 2 2 4" xfId="12208" xr:uid="{D04C8B00-6C69-4D8F-A6BF-E1D243596EC6}"/>
    <cellStyle name="20% - Accent5 2 3 2 3" xfId="4954" xr:uid="{00000000-0005-0000-0000-0000AF020000}"/>
    <cellStyle name="20% - Accent5 2 3 2 3 2" xfId="23579" xr:uid="{A926753C-165A-450F-9C89-5982D3911830}"/>
    <cellStyle name="20% - Accent5 2 3 2 3 3" xfId="14280" xr:uid="{71F1A138-6E10-4444-AE2C-483221DFCAA5}"/>
    <cellStyle name="20% - Accent5 2 3 2 4" xfId="9428" xr:uid="{B7820ACF-E1F3-4653-B5DD-FD829B169E84}"/>
    <cellStyle name="20% - Accent5 2 3 2 4 2" xfId="28042" xr:uid="{0EF42793-B458-48A6-AD62-4C9F38E4F366}"/>
    <cellStyle name="20% - Accent5 2 3 2 4 3" xfId="18743" xr:uid="{03746EFF-21BB-4DA0-8555-C6FB32123CAC}"/>
    <cellStyle name="20% - Accent5 2 3 2 5" xfId="19362" xr:uid="{C3A65A21-86C3-40C9-BA77-7FE875251753}"/>
    <cellStyle name="20% - Accent5 2 3 2 6" xfId="10063" xr:uid="{CD24F214-F030-4949-8FD9-2B4D9B0A8EB6}"/>
    <cellStyle name="20% - Accent5 2 3 3" xfId="1059" xr:uid="{00000000-0005-0000-0000-0000B0020000}"/>
    <cellStyle name="20% - Accent5 2 3 3 2" xfId="3290" xr:uid="{00000000-0005-0000-0000-0000B1020000}"/>
    <cellStyle name="20% - Accent5 2 3 3 2 2" xfId="7512" xr:uid="{00000000-0005-0000-0000-0000B2020000}"/>
    <cellStyle name="20% - Accent5 2 3 3 2 2 2" xfId="26137" xr:uid="{D6FAF714-9804-47F1-88CE-7C8CC123C4EE}"/>
    <cellStyle name="20% - Accent5 2 3 3 2 2 3" xfId="16838" xr:uid="{F11E6EE7-F74D-4513-B817-EFBC81677B4D}"/>
    <cellStyle name="20% - Accent5 2 3 3 2 3" xfId="21920" xr:uid="{707178C2-5983-4A99-AC3C-E7ED0E2FCA4F}"/>
    <cellStyle name="20% - Accent5 2 3 3 2 4" xfId="12621" xr:uid="{A16C9A2F-131D-44DD-83A4-A8C700F8235D}"/>
    <cellStyle name="20% - Accent5 2 3 3 3" xfId="5367" xr:uid="{00000000-0005-0000-0000-0000B3020000}"/>
    <cellStyle name="20% - Accent5 2 3 3 3 2" xfId="23992" xr:uid="{4EEE8755-A47E-4385-AD33-EE83FFB41C43}"/>
    <cellStyle name="20% - Accent5 2 3 3 3 3" xfId="14693" xr:uid="{4369D3D4-3EF2-4355-9D17-01B648D7FB13}"/>
    <cellStyle name="20% - Accent5 2 3 3 4" xfId="19775" xr:uid="{0FD89BEA-3E32-4D53-B9A6-FBB4D0D73404}"/>
    <cellStyle name="20% - Accent5 2 3 3 5" xfId="10476" xr:uid="{2E95FDD4-F292-499E-AD4D-1612542DE1BE}"/>
    <cellStyle name="20% - Accent5 2 3 4" xfId="1473" xr:uid="{00000000-0005-0000-0000-0000B4020000}"/>
    <cellStyle name="20% - Accent5 2 3 4 2" xfId="3703" xr:uid="{00000000-0005-0000-0000-0000B5020000}"/>
    <cellStyle name="20% - Accent5 2 3 4 2 2" xfId="7925" xr:uid="{00000000-0005-0000-0000-0000B6020000}"/>
    <cellStyle name="20% - Accent5 2 3 4 2 2 2" xfId="26550" xr:uid="{EB74F2AB-6C4B-4EA6-845F-C4DB472700EC}"/>
    <cellStyle name="20% - Accent5 2 3 4 2 2 3" xfId="17251" xr:uid="{CD5633DA-76A2-479E-8503-02A83E033D78}"/>
    <cellStyle name="20% - Accent5 2 3 4 2 3" xfId="22333" xr:uid="{467BE2CA-1494-4BA2-8B1E-B50F8AC233C1}"/>
    <cellStyle name="20% - Accent5 2 3 4 2 4" xfId="13034" xr:uid="{EB050BDA-492C-4F45-9B62-6632316AA59F}"/>
    <cellStyle name="20% - Accent5 2 3 4 3" xfId="5780" xr:uid="{00000000-0005-0000-0000-0000B7020000}"/>
    <cellStyle name="20% - Accent5 2 3 4 3 2" xfId="24405" xr:uid="{FE90CA31-B14D-496F-AA32-C209E260E570}"/>
    <cellStyle name="20% - Accent5 2 3 4 3 3" xfId="15106" xr:uid="{B250A567-1D92-4293-9232-2440419E809D}"/>
    <cellStyle name="20% - Accent5 2 3 4 4" xfId="20188" xr:uid="{C83A4BD9-3D50-4181-8A6A-77DE1E67912F}"/>
    <cellStyle name="20% - Accent5 2 3 4 5" xfId="10889" xr:uid="{4DD71862-C798-4494-957A-4DE18922BF73}"/>
    <cellStyle name="20% - Accent5 2 3 5" xfId="1887" xr:uid="{00000000-0005-0000-0000-0000B8020000}"/>
    <cellStyle name="20% - Accent5 2 3 5 2" xfId="4116" xr:uid="{00000000-0005-0000-0000-0000B9020000}"/>
    <cellStyle name="20% - Accent5 2 3 5 2 2" xfId="8338" xr:uid="{00000000-0005-0000-0000-0000BA020000}"/>
    <cellStyle name="20% - Accent5 2 3 5 2 2 2" xfId="26963" xr:uid="{35EEAFDB-91FB-476F-982C-0E9ECB4C3A76}"/>
    <cellStyle name="20% - Accent5 2 3 5 2 2 3" xfId="17664" xr:uid="{BF841039-64EB-467A-AA0C-2C649D890BB2}"/>
    <cellStyle name="20% - Accent5 2 3 5 2 3" xfId="22746" xr:uid="{383C89FC-6439-4008-9029-BE4FD251C16C}"/>
    <cellStyle name="20% - Accent5 2 3 5 2 4" xfId="13447" xr:uid="{98AE28B5-15E2-4532-B92A-F4091B11E9E2}"/>
    <cellStyle name="20% - Accent5 2 3 5 3" xfId="6193" xr:uid="{00000000-0005-0000-0000-0000BB020000}"/>
    <cellStyle name="20% - Accent5 2 3 5 3 2" xfId="24818" xr:uid="{AE63EA64-A898-4D5E-AF63-80BE0FA6690B}"/>
    <cellStyle name="20% - Accent5 2 3 5 3 3" xfId="15519" xr:uid="{7B73C57B-59F4-43C0-94DD-DD5BBB763B25}"/>
    <cellStyle name="20% - Accent5 2 3 5 4" xfId="20601" xr:uid="{D170E7DE-D729-4865-B778-01BCC80492B1}"/>
    <cellStyle name="20% - Accent5 2 3 5 5" xfId="11302" xr:uid="{DBCE6F63-B181-490D-8571-890CAFEE0F9C}"/>
    <cellStyle name="20% - Accent5 2 3 6" xfId="2300" xr:uid="{00000000-0005-0000-0000-0000BC020000}"/>
    <cellStyle name="20% - Accent5 2 3 6 2" xfId="6606" xr:uid="{00000000-0005-0000-0000-0000BD020000}"/>
    <cellStyle name="20% - Accent5 2 3 6 2 2" xfId="25231" xr:uid="{526966A7-5E23-4A09-B2FD-81A6F58DB0B1}"/>
    <cellStyle name="20% - Accent5 2 3 6 2 3" xfId="15932" xr:uid="{6E4A1231-B251-4E9B-806D-518CA69F0CEF}"/>
    <cellStyle name="20% - Accent5 2 3 6 3" xfId="21014" xr:uid="{6A8B967A-E8E1-4D7F-862F-FEC9E8F3C648}"/>
    <cellStyle name="20% - Accent5 2 3 6 4" xfId="11715" xr:uid="{A618E35E-1A0C-4FEA-AB3B-9D1154B0913E}"/>
    <cellStyle name="20% - Accent5 2 3 7" xfId="4540" xr:uid="{00000000-0005-0000-0000-0000BE020000}"/>
    <cellStyle name="20% - Accent5 2 3 7 2" xfId="23165" xr:uid="{C7752AE6-300F-4DD5-B0F2-82A562B3083F}"/>
    <cellStyle name="20% - Accent5 2 3 7 3" xfId="13866" xr:uid="{EBD61C42-EA18-47A9-B705-102864EB24DE}"/>
    <cellStyle name="20% - Accent5 2 3 8" xfId="9003" xr:uid="{9830E7D1-E361-4BA3-A986-3DCE647EEF8E}"/>
    <cellStyle name="20% - Accent5 2 3 8 2" xfId="27626" xr:uid="{2967A499-DC2B-4A29-B434-A424D5CE12CC}"/>
    <cellStyle name="20% - Accent5 2 3 8 3" xfId="18327" xr:uid="{722E589F-6951-4E85-929A-29183C07FB8A}"/>
    <cellStyle name="20% - Accent5 2 3 9" xfId="18948" xr:uid="{E2AB84F7-6F14-4A35-9792-B82175E640E9}"/>
    <cellStyle name="20% - Accent5 2 4" xfId="603" xr:uid="{00000000-0005-0000-0000-0000BF020000}"/>
    <cellStyle name="20% - Accent5 2 4 2" xfId="2874" xr:uid="{00000000-0005-0000-0000-0000C0020000}"/>
    <cellStyle name="20% - Accent5 2 4 2 2" xfId="7096" xr:uid="{00000000-0005-0000-0000-0000C1020000}"/>
    <cellStyle name="20% - Accent5 2 4 2 2 2" xfId="25721" xr:uid="{183AD15A-81E7-495C-BDF1-831152225558}"/>
    <cellStyle name="20% - Accent5 2 4 2 2 3" xfId="16422" xr:uid="{B57A0F92-B32A-4031-8607-CE16F64C7F2A}"/>
    <cellStyle name="20% - Accent5 2 4 2 3" xfId="21504" xr:uid="{20161874-F3B8-47F4-BD4E-72B1809C1552}"/>
    <cellStyle name="20% - Accent5 2 4 2 4" xfId="12205" xr:uid="{1A314991-DA38-4EE4-89E8-21CA71F7E708}"/>
    <cellStyle name="20% - Accent5 2 4 3" xfId="4951" xr:uid="{00000000-0005-0000-0000-0000C2020000}"/>
    <cellStyle name="20% - Accent5 2 4 3 2" xfId="23576" xr:uid="{F99F54A1-0970-473D-AD40-968E06BF309C}"/>
    <cellStyle name="20% - Accent5 2 4 3 3" xfId="14277" xr:uid="{77C2E9C1-08F5-4843-BD39-11C4C642C6E7}"/>
    <cellStyle name="20% - Accent5 2 4 4" xfId="9220" xr:uid="{A7B88928-FE72-4C1B-B74E-3CA76DBA84CC}"/>
    <cellStyle name="20% - Accent5 2 4 4 2" xfId="27835" xr:uid="{215E72CE-6EA6-4CB0-90E1-C3F1539CC9C0}"/>
    <cellStyle name="20% - Accent5 2 4 4 3" xfId="18536" xr:uid="{C25E8736-77A0-4C34-8433-B9A6D0156624}"/>
    <cellStyle name="20% - Accent5 2 4 5" xfId="19359" xr:uid="{5E536AF7-3B2D-4EEB-B3AB-2304EC6C3E83}"/>
    <cellStyle name="20% - Accent5 2 4 6" xfId="10060" xr:uid="{852BA729-9075-4B19-B8C4-CE7552C6F1BB}"/>
    <cellStyle name="20% - Accent5 2 5" xfId="1056" xr:uid="{00000000-0005-0000-0000-0000C3020000}"/>
    <cellStyle name="20% - Accent5 2 5 2" xfId="3287" xr:uid="{00000000-0005-0000-0000-0000C4020000}"/>
    <cellStyle name="20% - Accent5 2 5 2 2" xfId="7509" xr:uid="{00000000-0005-0000-0000-0000C5020000}"/>
    <cellStyle name="20% - Accent5 2 5 2 2 2" xfId="26134" xr:uid="{DDCB56A7-5321-4823-A3BA-AB65F6F13A9B}"/>
    <cellStyle name="20% - Accent5 2 5 2 2 3" xfId="16835" xr:uid="{CA16F8F2-AF66-4CAD-B795-B267E696AE50}"/>
    <cellStyle name="20% - Accent5 2 5 2 3" xfId="21917" xr:uid="{531446FB-D271-4F2C-A4C2-354F9B8208C3}"/>
    <cellStyle name="20% - Accent5 2 5 2 4" xfId="12618" xr:uid="{08DC2816-98D0-46BA-ACB8-6A667B12AA24}"/>
    <cellStyle name="20% - Accent5 2 5 3" xfId="5364" xr:uid="{00000000-0005-0000-0000-0000C6020000}"/>
    <cellStyle name="20% - Accent5 2 5 3 2" xfId="23989" xr:uid="{E4BD3863-BD6B-4F07-85F9-C9E680352560}"/>
    <cellStyle name="20% - Accent5 2 5 3 3" xfId="14690" xr:uid="{16BC2AAD-F6BA-4797-AABB-F2BBE35A0B81}"/>
    <cellStyle name="20% - Accent5 2 5 4" xfId="19772" xr:uid="{A2493345-6928-4B08-8902-D28ED9A1C154}"/>
    <cellStyle name="20% - Accent5 2 5 5" xfId="10473" xr:uid="{FB7EE578-138B-4CDA-A91D-4367E71EC60A}"/>
    <cellStyle name="20% - Accent5 2 6" xfId="1470" xr:uid="{00000000-0005-0000-0000-0000C7020000}"/>
    <cellStyle name="20% - Accent5 2 6 2" xfId="3700" xr:uid="{00000000-0005-0000-0000-0000C8020000}"/>
    <cellStyle name="20% - Accent5 2 6 2 2" xfId="7922" xr:uid="{00000000-0005-0000-0000-0000C9020000}"/>
    <cellStyle name="20% - Accent5 2 6 2 2 2" xfId="26547" xr:uid="{233DF5F1-AE2F-409D-B2F5-8360E3389E5E}"/>
    <cellStyle name="20% - Accent5 2 6 2 2 3" xfId="17248" xr:uid="{68624079-2A50-48EA-8BD2-0A7667EFF9BD}"/>
    <cellStyle name="20% - Accent5 2 6 2 3" xfId="22330" xr:uid="{7CB4DBF6-66F7-4A37-BDBA-2997F7171638}"/>
    <cellStyle name="20% - Accent5 2 6 2 4" xfId="13031" xr:uid="{A1D11207-E780-4AA0-B253-795CF1E74C82}"/>
    <cellStyle name="20% - Accent5 2 6 3" xfId="5777" xr:uid="{00000000-0005-0000-0000-0000CA020000}"/>
    <cellStyle name="20% - Accent5 2 6 3 2" xfId="24402" xr:uid="{A1F2C977-5BD0-46FF-AF3D-292DA817FED2}"/>
    <cellStyle name="20% - Accent5 2 6 3 3" xfId="15103" xr:uid="{12019703-EADB-400E-8BEE-89ADCEE21AE3}"/>
    <cellStyle name="20% - Accent5 2 6 4" xfId="20185" xr:uid="{ED82A8A6-98D4-48A5-9B5E-87CF486B9858}"/>
    <cellStyle name="20% - Accent5 2 6 5" xfId="10886" xr:uid="{AF2CAD44-BAF0-4569-8CEE-796D95102997}"/>
    <cellStyle name="20% - Accent5 2 7" xfId="1884" xr:uid="{00000000-0005-0000-0000-0000CB020000}"/>
    <cellStyle name="20% - Accent5 2 7 2" xfId="4113" xr:uid="{00000000-0005-0000-0000-0000CC020000}"/>
    <cellStyle name="20% - Accent5 2 7 2 2" xfId="8335" xr:uid="{00000000-0005-0000-0000-0000CD020000}"/>
    <cellStyle name="20% - Accent5 2 7 2 2 2" xfId="26960" xr:uid="{4CDE1648-C9C2-4858-ACD9-B1214D24295E}"/>
    <cellStyle name="20% - Accent5 2 7 2 2 3" xfId="17661" xr:uid="{CDF16FED-F803-4760-A0F3-204A80152331}"/>
    <cellStyle name="20% - Accent5 2 7 2 3" xfId="22743" xr:uid="{BD468ADD-9A66-4244-AB7E-9B36805C2B59}"/>
    <cellStyle name="20% - Accent5 2 7 2 4" xfId="13444" xr:uid="{2B7922C7-FDBD-4490-B8F6-F8FA25873250}"/>
    <cellStyle name="20% - Accent5 2 7 3" xfId="6190" xr:uid="{00000000-0005-0000-0000-0000CE020000}"/>
    <cellStyle name="20% - Accent5 2 7 3 2" xfId="24815" xr:uid="{2B1D7248-308E-431C-A583-D31CCDCD0E59}"/>
    <cellStyle name="20% - Accent5 2 7 3 3" xfId="15516" xr:uid="{DEF6B3C1-F6F1-4CB7-968A-89938420FEB2}"/>
    <cellStyle name="20% - Accent5 2 7 4" xfId="20598" xr:uid="{1A18EDA1-53BE-4D10-9298-64DAA44FCF75}"/>
    <cellStyle name="20% - Accent5 2 7 5" xfId="11299" xr:uid="{CD8B2DB8-9CE1-4333-A116-C4B0DA375B61}"/>
    <cellStyle name="20% - Accent5 2 8" xfId="2297" xr:uid="{00000000-0005-0000-0000-0000CF020000}"/>
    <cellStyle name="20% - Accent5 2 8 2" xfId="6603" xr:uid="{00000000-0005-0000-0000-0000D0020000}"/>
    <cellStyle name="20% - Accent5 2 8 2 2" xfId="25228" xr:uid="{CFD7EE4F-9BA1-4F65-B341-0B7A5C54E13A}"/>
    <cellStyle name="20% - Accent5 2 8 2 3" xfId="15929" xr:uid="{F02DA103-509E-443D-A522-28D9E6AC4812}"/>
    <cellStyle name="20% - Accent5 2 8 3" xfId="21011" xr:uid="{F3785B08-A2A4-4744-BD8A-4C12620170E7}"/>
    <cellStyle name="20% - Accent5 2 8 4" xfId="11712" xr:uid="{E8695962-6F78-4AB1-91CB-5548B88245DB}"/>
    <cellStyle name="20% - Accent5 2 9" xfId="4537" xr:uid="{00000000-0005-0000-0000-0000D1020000}"/>
    <cellStyle name="20% - Accent5 2 9 2" xfId="23162" xr:uid="{80D768CA-BBE1-4CAF-99F5-D2219F94145E}"/>
    <cellStyle name="20% - Accent5 2 9 3" xfId="13863" xr:uid="{18D3FD7F-5B6F-4463-A538-FF99F2059F9D}"/>
    <cellStyle name="20% - Accent5 3" xfId="38" xr:uid="{00000000-0005-0000-0000-0000D2020000}"/>
    <cellStyle name="20% - Accent5 3 10" xfId="18949" xr:uid="{5F7C8319-C592-4916-BB76-6CA4A06495A8}"/>
    <cellStyle name="20% - Accent5 3 11" xfId="9650" xr:uid="{C44819C7-4CC0-424E-810E-FB2DEF1B8CC2}"/>
    <cellStyle name="20% - Accent5 3 2" xfId="39" xr:uid="{00000000-0005-0000-0000-0000D3020000}"/>
    <cellStyle name="20% - Accent5 3 2 10" xfId="9651" xr:uid="{1B7F0D2B-8DF8-485C-9366-E2681B5C4CF2}"/>
    <cellStyle name="20% - Accent5 3 2 2" xfId="608" xr:uid="{00000000-0005-0000-0000-0000D4020000}"/>
    <cellStyle name="20% - Accent5 3 2 2 2" xfId="2879" xr:uid="{00000000-0005-0000-0000-0000D5020000}"/>
    <cellStyle name="20% - Accent5 3 2 2 2 2" xfId="7101" xr:uid="{00000000-0005-0000-0000-0000D6020000}"/>
    <cellStyle name="20% - Accent5 3 2 2 2 2 2" xfId="25726" xr:uid="{82EC0D80-F400-4A60-AFA0-5CB3FB234DD3}"/>
    <cellStyle name="20% - Accent5 3 2 2 2 2 3" xfId="16427" xr:uid="{9ABD65DF-6C15-499F-A17E-45C19A460E8D}"/>
    <cellStyle name="20% - Accent5 3 2 2 2 3" xfId="21509" xr:uid="{77C0243B-81D2-4B6E-9464-A40418E8BDEC}"/>
    <cellStyle name="20% - Accent5 3 2 2 2 4" xfId="12210" xr:uid="{8E1FD1E0-D88E-4A9D-A66C-31AA9C872417}"/>
    <cellStyle name="20% - Accent5 3 2 2 3" xfId="4956" xr:uid="{00000000-0005-0000-0000-0000D7020000}"/>
    <cellStyle name="20% - Accent5 3 2 2 3 2" xfId="23581" xr:uid="{6F588D73-EEFE-4BF9-B2C5-8404DC52C1BB}"/>
    <cellStyle name="20% - Accent5 3 2 2 3 3" xfId="14282" xr:uid="{20672FB4-DBFB-46E2-AF46-CDA5F6482FB0}"/>
    <cellStyle name="20% - Accent5 3 2 2 4" xfId="9501" xr:uid="{82A590A5-96D4-476E-8E6F-D81EEE08C409}"/>
    <cellStyle name="20% - Accent5 3 2 2 4 2" xfId="28115" xr:uid="{3F7311DD-44D8-4BAD-8345-E9EB1A550A02}"/>
    <cellStyle name="20% - Accent5 3 2 2 4 3" xfId="18816" xr:uid="{4B9C36AF-6DCD-4C6E-97BF-B7A6F42F7CED}"/>
    <cellStyle name="20% - Accent5 3 2 2 5" xfId="19364" xr:uid="{616652AA-2025-4A6B-984C-F8F861C894C2}"/>
    <cellStyle name="20% - Accent5 3 2 2 6" xfId="10065" xr:uid="{74D5C89D-94BF-4A11-AB45-3C6ADB76DFF1}"/>
    <cellStyle name="20% - Accent5 3 2 3" xfId="1061" xr:uid="{00000000-0005-0000-0000-0000D8020000}"/>
    <cellStyle name="20% - Accent5 3 2 3 2" xfId="3292" xr:uid="{00000000-0005-0000-0000-0000D9020000}"/>
    <cellStyle name="20% - Accent5 3 2 3 2 2" xfId="7514" xr:uid="{00000000-0005-0000-0000-0000DA020000}"/>
    <cellStyle name="20% - Accent5 3 2 3 2 2 2" xfId="26139" xr:uid="{B41FCB3A-EB1F-4268-A98B-0A0239D3B8E7}"/>
    <cellStyle name="20% - Accent5 3 2 3 2 2 3" xfId="16840" xr:uid="{18676773-3470-4CF0-9FB3-68BE24616E4E}"/>
    <cellStyle name="20% - Accent5 3 2 3 2 3" xfId="21922" xr:uid="{3BF183EF-9BE9-4ECB-9B2F-D29DB529D39C}"/>
    <cellStyle name="20% - Accent5 3 2 3 2 4" xfId="12623" xr:uid="{78D8EFDF-06C8-4EBA-B416-AB84600BE782}"/>
    <cellStyle name="20% - Accent5 3 2 3 3" xfId="5369" xr:uid="{00000000-0005-0000-0000-0000DB020000}"/>
    <cellStyle name="20% - Accent5 3 2 3 3 2" xfId="23994" xr:uid="{0EFE1653-B616-403B-B925-B4764E591085}"/>
    <cellStyle name="20% - Accent5 3 2 3 3 3" xfId="14695" xr:uid="{B245BA37-94B2-498F-A3EC-78EDA22A50E7}"/>
    <cellStyle name="20% - Accent5 3 2 3 4" xfId="19777" xr:uid="{C2CFBF11-5A83-4736-B214-D101535F4FD0}"/>
    <cellStyle name="20% - Accent5 3 2 3 5" xfId="10478" xr:uid="{6E03C642-FBDD-4085-9AAA-90146BC5837C}"/>
    <cellStyle name="20% - Accent5 3 2 4" xfId="1475" xr:uid="{00000000-0005-0000-0000-0000DC020000}"/>
    <cellStyle name="20% - Accent5 3 2 4 2" xfId="3705" xr:uid="{00000000-0005-0000-0000-0000DD020000}"/>
    <cellStyle name="20% - Accent5 3 2 4 2 2" xfId="7927" xr:uid="{00000000-0005-0000-0000-0000DE020000}"/>
    <cellStyle name="20% - Accent5 3 2 4 2 2 2" xfId="26552" xr:uid="{09C436B0-42D3-4121-8645-8AD8BE20C353}"/>
    <cellStyle name="20% - Accent5 3 2 4 2 2 3" xfId="17253" xr:uid="{5AA1BD89-9924-4AB1-8436-F3B9F89FC9F1}"/>
    <cellStyle name="20% - Accent5 3 2 4 2 3" xfId="22335" xr:uid="{DADC8474-345E-45A3-8DF7-1189FB8025E8}"/>
    <cellStyle name="20% - Accent5 3 2 4 2 4" xfId="13036" xr:uid="{3E047F68-4390-4FAC-BA3B-2CA45D09AD9B}"/>
    <cellStyle name="20% - Accent5 3 2 4 3" xfId="5782" xr:uid="{00000000-0005-0000-0000-0000DF020000}"/>
    <cellStyle name="20% - Accent5 3 2 4 3 2" xfId="24407" xr:uid="{B30DBBD6-587C-4330-94B1-14FCE311A224}"/>
    <cellStyle name="20% - Accent5 3 2 4 3 3" xfId="15108" xr:uid="{52DA1536-090D-4C30-9F40-B166A5A96578}"/>
    <cellStyle name="20% - Accent5 3 2 4 4" xfId="20190" xr:uid="{7E1D936C-C43C-485C-B29A-FA0D767A27E3}"/>
    <cellStyle name="20% - Accent5 3 2 4 5" xfId="10891" xr:uid="{BAAD59D0-D4AC-4733-B46B-52FEBBA452A4}"/>
    <cellStyle name="20% - Accent5 3 2 5" xfId="1889" xr:uid="{00000000-0005-0000-0000-0000E0020000}"/>
    <cellStyle name="20% - Accent5 3 2 5 2" xfId="4118" xr:uid="{00000000-0005-0000-0000-0000E1020000}"/>
    <cellStyle name="20% - Accent5 3 2 5 2 2" xfId="8340" xr:uid="{00000000-0005-0000-0000-0000E2020000}"/>
    <cellStyle name="20% - Accent5 3 2 5 2 2 2" xfId="26965" xr:uid="{8F04134F-A759-43B3-8D4E-E60F8CFF053D}"/>
    <cellStyle name="20% - Accent5 3 2 5 2 2 3" xfId="17666" xr:uid="{50931E6C-9F1E-4C23-97BB-8395D630F0E6}"/>
    <cellStyle name="20% - Accent5 3 2 5 2 3" xfId="22748" xr:uid="{CF8BB28C-E287-4532-9DBC-183FD31DDE3B}"/>
    <cellStyle name="20% - Accent5 3 2 5 2 4" xfId="13449" xr:uid="{71B51071-1FE0-4E92-B9D4-FB0AF4C5A701}"/>
    <cellStyle name="20% - Accent5 3 2 5 3" xfId="6195" xr:uid="{00000000-0005-0000-0000-0000E3020000}"/>
    <cellStyle name="20% - Accent5 3 2 5 3 2" xfId="24820" xr:uid="{FDADC456-0F8B-4BFE-8807-75DCCE14C77D}"/>
    <cellStyle name="20% - Accent5 3 2 5 3 3" xfId="15521" xr:uid="{0A67EB76-8235-40CC-917C-41E7E132B19C}"/>
    <cellStyle name="20% - Accent5 3 2 5 4" xfId="20603" xr:uid="{8FF7B025-BAC3-4EC3-86B3-DBF0BAD62246}"/>
    <cellStyle name="20% - Accent5 3 2 5 5" xfId="11304" xr:uid="{3563D5F6-38D8-4B42-93CF-413520863C03}"/>
    <cellStyle name="20% - Accent5 3 2 6" xfId="2302" xr:uid="{00000000-0005-0000-0000-0000E4020000}"/>
    <cellStyle name="20% - Accent5 3 2 6 2" xfId="6608" xr:uid="{00000000-0005-0000-0000-0000E5020000}"/>
    <cellStyle name="20% - Accent5 3 2 6 2 2" xfId="25233" xr:uid="{2300955E-31AC-4BF6-ADD7-53849753E8AD}"/>
    <cellStyle name="20% - Accent5 3 2 6 2 3" xfId="15934" xr:uid="{48D45A91-1071-40E9-AC70-2160E7B43B75}"/>
    <cellStyle name="20% - Accent5 3 2 6 3" xfId="21016" xr:uid="{F02E3816-1E69-4F19-998A-176F16D1AED8}"/>
    <cellStyle name="20% - Accent5 3 2 6 4" xfId="11717" xr:uid="{6E78679B-E50E-4605-80B4-E2D424AE2CC0}"/>
    <cellStyle name="20% - Accent5 3 2 7" xfId="4542" xr:uid="{00000000-0005-0000-0000-0000E6020000}"/>
    <cellStyle name="20% - Accent5 3 2 7 2" xfId="23167" xr:uid="{3B1E2B31-9840-467E-B58F-080F98838C41}"/>
    <cellStyle name="20% - Accent5 3 2 7 3" xfId="13868" xr:uid="{FDF47180-173B-4B49-B5E7-2E26DF0D1EB2}"/>
    <cellStyle name="20% - Accent5 3 2 8" xfId="9076" xr:uid="{BEDF1D01-35A3-4513-9363-9C1AFC748168}"/>
    <cellStyle name="20% - Accent5 3 2 8 2" xfId="27699" xr:uid="{AD6C00AF-B102-41CA-8821-3C1E07ACC8FC}"/>
    <cellStyle name="20% - Accent5 3 2 8 3" xfId="18400" xr:uid="{C77E370E-1527-4F78-8563-5E5C1B6AD90E}"/>
    <cellStyle name="20% - Accent5 3 2 9" xfId="18950" xr:uid="{99B33989-BA3E-497A-9237-A80993346AC7}"/>
    <cellStyle name="20% - Accent5 3 3" xfId="607" xr:uid="{00000000-0005-0000-0000-0000E7020000}"/>
    <cellStyle name="20% - Accent5 3 3 2" xfId="2878" xr:uid="{00000000-0005-0000-0000-0000E8020000}"/>
    <cellStyle name="20% - Accent5 3 3 2 2" xfId="7100" xr:uid="{00000000-0005-0000-0000-0000E9020000}"/>
    <cellStyle name="20% - Accent5 3 3 2 2 2" xfId="25725" xr:uid="{7E1CE623-3DF2-4904-81A4-B99620F9C7B2}"/>
    <cellStyle name="20% - Accent5 3 3 2 2 3" xfId="16426" xr:uid="{E1A95C04-6330-45D6-8696-972D52206C92}"/>
    <cellStyle name="20% - Accent5 3 3 2 3" xfId="21508" xr:uid="{1F8E5780-FB8B-4563-BF86-CF13F6B85F4B}"/>
    <cellStyle name="20% - Accent5 3 3 2 4" xfId="12209" xr:uid="{56085754-71FE-448F-8365-DCCD0AD02E7D}"/>
    <cellStyle name="20% - Accent5 3 3 3" xfId="4955" xr:uid="{00000000-0005-0000-0000-0000EA020000}"/>
    <cellStyle name="20% - Accent5 3 3 3 2" xfId="23580" xr:uid="{3915B8FD-7419-48B4-8C0D-E220CFA79C8D}"/>
    <cellStyle name="20% - Accent5 3 3 3 3" xfId="14281" xr:uid="{86B18D5D-8254-4D26-84EC-12EBE150C6D6}"/>
    <cellStyle name="20% - Accent5 3 3 4" xfId="9294" xr:uid="{124960EA-C7A4-4686-BF67-47D6C57F7EEB}"/>
    <cellStyle name="20% - Accent5 3 3 4 2" xfId="27908" xr:uid="{C72441EC-DA59-419D-8985-C5315F5ABE41}"/>
    <cellStyle name="20% - Accent5 3 3 4 3" xfId="18609" xr:uid="{A6C4BD50-AF84-498D-B423-185BE487B845}"/>
    <cellStyle name="20% - Accent5 3 3 5" xfId="19363" xr:uid="{7FDBC5AD-7D02-41F0-8380-FCC91C0A210E}"/>
    <cellStyle name="20% - Accent5 3 3 6" xfId="10064" xr:uid="{6226650A-718D-480A-9610-B9DE66DB1940}"/>
    <cellStyle name="20% - Accent5 3 4" xfId="1060" xr:uid="{00000000-0005-0000-0000-0000EB020000}"/>
    <cellStyle name="20% - Accent5 3 4 2" xfId="3291" xr:uid="{00000000-0005-0000-0000-0000EC020000}"/>
    <cellStyle name="20% - Accent5 3 4 2 2" xfId="7513" xr:uid="{00000000-0005-0000-0000-0000ED020000}"/>
    <cellStyle name="20% - Accent5 3 4 2 2 2" xfId="26138" xr:uid="{FA70D026-2539-4C9F-9480-76A6E959B855}"/>
    <cellStyle name="20% - Accent5 3 4 2 2 3" xfId="16839" xr:uid="{5ACD5A32-FFDE-42D5-89D9-C91BDBAE722C}"/>
    <cellStyle name="20% - Accent5 3 4 2 3" xfId="21921" xr:uid="{E17EA5AF-41DE-43EE-AC4D-7955F29C875E}"/>
    <cellStyle name="20% - Accent5 3 4 2 4" xfId="12622" xr:uid="{D068E48F-8F41-49EA-9458-1943F460B70D}"/>
    <cellStyle name="20% - Accent5 3 4 3" xfId="5368" xr:uid="{00000000-0005-0000-0000-0000EE020000}"/>
    <cellStyle name="20% - Accent5 3 4 3 2" xfId="23993" xr:uid="{7F15DEE2-7E8F-4244-8936-5FB27F766870}"/>
    <cellStyle name="20% - Accent5 3 4 3 3" xfId="14694" xr:uid="{4066E659-53F2-4319-83C2-283427EEB473}"/>
    <cellStyle name="20% - Accent5 3 4 4" xfId="19776" xr:uid="{136E29EA-FEB6-414A-B5FC-D68C25E003FA}"/>
    <cellStyle name="20% - Accent5 3 4 5" xfId="10477" xr:uid="{997616C3-A2B5-4E0A-9144-2DE11B1E6888}"/>
    <cellStyle name="20% - Accent5 3 5" xfId="1474" xr:uid="{00000000-0005-0000-0000-0000EF020000}"/>
    <cellStyle name="20% - Accent5 3 5 2" xfId="3704" xr:uid="{00000000-0005-0000-0000-0000F0020000}"/>
    <cellStyle name="20% - Accent5 3 5 2 2" xfId="7926" xr:uid="{00000000-0005-0000-0000-0000F1020000}"/>
    <cellStyle name="20% - Accent5 3 5 2 2 2" xfId="26551" xr:uid="{22759412-7E62-496E-9A31-8C0A213B8DFE}"/>
    <cellStyle name="20% - Accent5 3 5 2 2 3" xfId="17252" xr:uid="{97ADF701-0F7A-43F9-9ACD-5F9E0B5C3B96}"/>
    <cellStyle name="20% - Accent5 3 5 2 3" xfId="22334" xr:uid="{5E0DCBD7-A5C3-41C8-9A12-68399600ABB4}"/>
    <cellStyle name="20% - Accent5 3 5 2 4" xfId="13035" xr:uid="{A8FC8DFB-A661-4A19-ABFA-05ADEDBE69A8}"/>
    <cellStyle name="20% - Accent5 3 5 3" xfId="5781" xr:uid="{00000000-0005-0000-0000-0000F2020000}"/>
    <cellStyle name="20% - Accent5 3 5 3 2" xfId="24406" xr:uid="{825E0A09-9C52-4540-B634-D2E456BFC8A2}"/>
    <cellStyle name="20% - Accent5 3 5 3 3" xfId="15107" xr:uid="{1370C87C-288E-4B29-8219-E059D48A1162}"/>
    <cellStyle name="20% - Accent5 3 5 4" xfId="20189" xr:uid="{9DC1B0F0-0246-40B3-BC96-C5C221A93D7F}"/>
    <cellStyle name="20% - Accent5 3 5 5" xfId="10890" xr:uid="{00250A9E-A95E-4E0F-8496-B49EB299E547}"/>
    <cellStyle name="20% - Accent5 3 6" xfId="1888" xr:uid="{00000000-0005-0000-0000-0000F3020000}"/>
    <cellStyle name="20% - Accent5 3 6 2" xfId="4117" xr:uid="{00000000-0005-0000-0000-0000F4020000}"/>
    <cellStyle name="20% - Accent5 3 6 2 2" xfId="8339" xr:uid="{00000000-0005-0000-0000-0000F5020000}"/>
    <cellStyle name="20% - Accent5 3 6 2 2 2" xfId="26964" xr:uid="{4620DE4C-2AC7-42B7-8254-B25EB61A9437}"/>
    <cellStyle name="20% - Accent5 3 6 2 2 3" xfId="17665" xr:uid="{0B83E1CC-BC75-4D4E-BDDC-49E6F25E5EB5}"/>
    <cellStyle name="20% - Accent5 3 6 2 3" xfId="22747" xr:uid="{F821832C-9E1A-4E39-983A-62370B98E913}"/>
    <cellStyle name="20% - Accent5 3 6 2 4" xfId="13448" xr:uid="{1C36050C-9100-47D8-AAAB-AC74372B63D1}"/>
    <cellStyle name="20% - Accent5 3 6 3" xfId="6194" xr:uid="{00000000-0005-0000-0000-0000F6020000}"/>
    <cellStyle name="20% - Accent5 3 6 3 2" xfId="24819" xr:uid="{67A4B56D-55E5-4F42-BFA7-3AEBA132E537}"/>
    <cellStyle name="20% - Accent5 3 6 3 3" xfId="15520" xr:uid="{E3DBDDEA-47F9-421B-B2EF-5C2FB81562ED}"/>
    <cellStyle name="20% - Accent5 3 6 4" xfId="20602" xr:uid="{1C09027B-552E-4CED-B85E-761171897F5E}"/>
    <cellStyle name="20% - Accent5 3 6 5" xfId="11303" xr:uid="{224E10D5-0A61-4C25-8FBB-497B4BED5606}"/>
    <cellStyle name="20% - Accent5 3 7" xfId="2301" xr:uid="{00000000-0005-0000-0000-0000F7020000}"/>
    <cellStyle name="20% - Accent5 3 7 2" xfId="6607" xr:uid="{00000000-0005-0000-0000-0000F8020000}"/>
    <cellStyle name="20% - Accent5 3 7 2 2" xfId="25232" xr:uid="{EFF45812-D7F1-43D8-9FF5-E6AE8F08C3AC}"/>
    <cellStyle name="20% - Accent5 3 7 2 3" xfId="15933" xr:uid="{035CAFC6-9254-4267-84EB-3C10B34C1424}"/>
    <cellStyle name="20% - Accent5 3 7 3" xfId="21015" xr:uid="{12DDA0BF-58E9-4360-B59C-56DAC328E902}"/>
    <cellStyle name="20% - Accent5 3 7 4" xfId="11716" xr:uid="{89CE74E3-40E8-411E-88AD-069B9C3EBB13}"/>
    <cellStyle name="20% - Accent5 3 8" xfId="4541" xr:uid="{00000000-0005-0000-0000-0000F9020000}"/>
    <cellStyle name="20% - Accent5 3 8 2" xfId="23166" xr:uid="{08759938-0464-4D0B-AC4A-6459AF288B18}"/>
    <cellStyle name="20% - Accent5 3 8 3" xfId="13867" xr:uid="{3DD04CD1-B26F-4C37-B0FA-D455B990586F}"/>
    <cellStyle name="20% - Accent5 3 9" xfId="8869" xr:uid="{43CC8A87-AEEB-4E51-98E7-F8AE8D86AD2B}"/>
    <cellStyle name="20% - Accent5 3 9 2" xfId="27492" xr:uid="{1EF662CD-1461-4398-963F-A0D66801F720}"/>
    <cellStyle name="20% - Accent5 3 9 3" xfId="18193" xr:uid="{BF8B5287-8354-46B2-AAD9-1C4BA219F04C}"/>
    <cellStyle name="20% - Accent5 4" xfId="40" xr:uid="{00000000-0005-0000-0000-0000FA020000}"/>
    <cellStyle name="20% - Accent5 4 10" xfId="9652" xr:uid="{5152E0D0-DDCC-438D-ABAB-430FE632514D}"/>
    <cellStyle name="20% - Accent5 4 2" xfId="609" xr:uid="{00000000-0005-0000-0000-0000FB020000}"/>
    <cellStyle name="20% - Accent5 4 2 2" xfId="2880" xr:uid="{00000000-0005-0000-0000-0000FC020000}"/>
    <cellStyle name="20% - Accent5 4 2 2 2" xfId="7102" xr:uid="{00000000-0005-0000-0000-0000FD020000}"/>
    <cellStyle name="20% - Accent5 4 2 2 2 2" xfId="25727" xr:uid="{BCC12578-33CD-4340-92FA-8927D28772E9}"/>
    <cellStyle name="20% - Accent5 4 2 2 2 3" xfId="16428" xr:uid="{925E5831-1D92-465F-B9A6-72D729CDBFAF}"/>
    <cellStyle name="20% - Accent5 4 2 2 3" xfId="21510" xr:uid="{69824C89-DFCA-4C75-BA6B-565B7380B90A}"/>
    <cellStyle name="20% - Accent5 4 2 2 4" xfId="12211" xr:uid="{29B44153-B70B-44CB-88AC-C80D807A5D9D}"/>
    <cellStyle name="20% - Accent5 4 2 3" xfId="4957" xr:uid="{00000000-0005-0000-0000-0000FE020000}"/>
    <cellStyle name="20% - Accent5 4 2 3 2" xfId="23582" xr:uid="{1EBA7D89-C898-451D-8992-4CEAEC156D82}"/>
    <cellStyle name="20% - Accent5 4 2 3 3" xfId="14283" xr:uid="{E732BF3D-F73B-4B35-9EDC-5E36EA9E8965}"/>
    <cellStyle name="20% - Accent5 4 2 4" xfId="9380" xr:uid="{1C764D65-D71C-4646-AD86-15F83BDBF498}"/>
    <cellStyle name="20% - Accent5 4 2 4 2" xfId="27994" xr:uid="{433FF0E8-733C-4019-B511-421F8A05F117}"/>
    <cellStyle name="20% - Accent5 4 2 4 3" xfId="18695" xr:uid="{E0ED3F8B-EC41-47D0-9497-E12BE9C3AA52}"/>
    <cellStyle name="20% - Accent5 4 2 5" xfId="19365" xr:uid="{209E1F60-893A-4809-B1FB-BA081DC3879D}"/>
    <cellStyle name="20% - Accent5 4 2 6" xfId="10066" xr:uid="{5BEA7388-520E-434F-9C33-3CD8946E6EB6}"/>
    <cellStyle name="20% - Accent5 4 3" xfId="1062" xr:uid="{00000000-0005-0000-0000-0000FF020000}"/>
    <cellStyle name="20% - Accent5 4 3 2" xfId="3293" xr:uid="{00000000-0005-0000-0000-000000030000}"/>
    <cellStyle name="20% - Accent5 4 3 2 2" xfId="7515" xr:uid="{00000000-0005-0000-0000-000001030000}"/>
    <cellStyle name="20% - Accent5 4 3 2 2 2" xfId="26140" xr:uid="{9BD0A75C-0C30-4A9B-81FC-7DF1987B28CB}"/>
    <cellStyle name="20% - Accent5 4 3 2 2 3" xfId="16841" xr:uid="{F01A4C21-117F-4B78-9530-2E5CA0735423}"/>
    <cellStyle name="20% - Accent5 4 3 2 3" xfId="21923" xr:uid="{96DDAFAF-D128-48C8-8EC6-7CFA253C482F}"/>
    <cellStyle name="20% - Accent5 4 3 2 4" xfId="12624" xr:uid="{0D9CDD98-B596-4F17-9AD2-E5E81DA2F9D8}"/>
    <cellStyle name="20% - Accent5 4 3 3" xfId="5370" xr:uid="{00000000-0005-0000-0000-000002030000}"/>
    <cellStyle name="20% - Accent5 4 3 3 2" xfId="23995" xr:uid="{B4E19FDC-6AE3-44B4-8CA7-201FBC290B98}"/>
    <cellStyle name="20% - Accent5 4 3 3 3" xfId="14696" xr:uid="{E955BF44-86D6-4FB2-B39E-6BE1264DBD83}"/>
    <cellStyle name="20% - Accent5 4 3 4" xfId="19778" xr:uid="{EA39B345-3357-4E81-AAEC-4CEE47697ECE}"/>
    <cellStyle name="20% - Accent5 4 3 5" xfId="10479" xr:uid="{9108DF85-E600-44C4-9344-C174DB457145}"/>
    <cellStyle name="20% - Accent5 4 4" xfId="1476" xr:uid="{00000000-0005-0000-0000-000003030000}"/>
    <cellStyle name="20% - Accent5 4 4 2" xfId="3706" xr:uid="{00000000-0005-0000-0000-000004030000}"/>
    <cellStyle name="20% - Accent5 4 4 2 2" xfId="7928" xr:uid="{00000000-0005-0000-0000-000005030000}"/>
    <cellStyle name="20% - Accent5 4 4 2 2 2" xfId="26553" xr:uid="{07571B1E-BD64-45C1-8A55-8E24EEB49352}"/>
    <cellStyle name="20% - Accent5 4 4 2 2 3" xfId="17254" xr:uid="{0CF94E6B-CAED-4639-B9B1-70075B68978E}"/>
    <cellStyle name="20% - Accent5 4 4 2 3" xfId="22336" xr:uid="{CB6567CE-D4FD-4710-9196-BB2AB3CAAC4F}"/>
    <cellStyle name="20% - Accent5 4 4 2 4" xfId="13037" xr:uid="{DD3F40E3-D15A-4161-B4D6-0FA5BB2464BC}"/>
    <cellStyle name="20% - Accent5 4 4 3" xfId="5783" xr:uid="{00000000-0005-0000-0000-000006030000}"/>
    <cellStyle name="20% - Accent5 4 4 3 2" xfId="24408" xr:uid="{E6404C00-22B0-4442-9C16-AA3A731BA726}"/>
    <cellStyle name="20% - Accent5 4 4 3 3" xfId="15109" xr:uid="{CEAAE5BB-8D47-4EE2-A92E-B998AB457F76}"/>
    <cellStyle name="20% - Accent5 4 4 4" xfId="20191" xr:uid="{1045D37D-82F1-4A91-BDCA-59EF8C73435B}"/>
    <cellStyle name="20% - Accent5 4 4 5" xfId="10892" xr:uid="{B0D39A74-2038-4785-B223-D3FDF4DC5FEA}"/>
    <cellStyle name="20% - Accent5 4 5" xfId="1890" xr:uid="{00000000-0005-0000-0000-000007030000}"/>
    <cellStyle name="20% - Accent5 4 5 2" xfId="4119" xr:uid="{00000000-0005-0000-0000-000008030000}"/>
    <cellStyle name="20% - Accent5 4 5 2 2" xfId="8341" xr:uid="{00000000-0005-0000-0000-000009030000}"/>
    <cellStyle name="20% - Accent5 4 5 2 2 2" xfId="26966" xr:uid="{2280914D-B660-4E1C-9035-C470E55D65D9}"/>
    <cellStyle name="20% - Accent5 4 5 2 2 3" xfId="17667" xr:uid="{A8A7BB68-E388-41AB-92E0-EA5BA663F36F}"/>
    <cellStyle name="20% - Accent5 4 5 2 3" xfId="22749" xr:uid="{FA7967ED-542E-46A8-BDFF-AE9BDCD5EB73}"/>
    <cellStyle name="20% - Accent5 4 5 2 4" xfId="13450" xr:uid="{008E7804-DE5B-4378-B099-C205E6402C82}"/>
    <cellStyle name="20% - Accent5 4 5 3" xfId="6196" xr:uid="{00000000-0005-0000-0000-00000A030000}"/>
    <cellStyle name="20% - Accent5 4 5 3 2" xfId="24821" xr:uid="{F5EE1BDC-06D4-45B8-9C00-AFB0AAABF93F}"/>
    <cellStyle name="20% - Accent5 4 5 3 3" xfId="15522" xr:uid="{6529CB43-BDEC-40B4-95E8-47A9849BB576}"/>
    <cellStyle name="20% - Accent5 4 5 4" xfId="20604" xr:uid="{CC879A0A-0EE3-4412-9028-C39FF23A900A}"/>
    <cellStyle name="20% - Accent5 4 5 5" xfId="11305" xr:uid="{2AD983AF-3CFA-439A-9BBC-55DEEC85AF10}"/>
    <cellStyle name="20% - Accent5 4 6" xfId="2303" xr:uid="{00000000-0005-0000-0000-00000B030000}"/>
    <cellStyle name="20% - Accent5 4 6 2" xfId="6609" xr:uid="{00000000-0005-0000-0000-00000C030000}"/>
    <cellStyle name="20% - Accent5 4 6 2 2" xfId="25234" xr:uid="{295B9F08-8BF2-49E3-BBDD-AC1815693502}"/>
    <cellStyle name="20% - Accent5 4 6 2 3" xfId="15935" xr:uid="{3A98A880-0BDF-4260-A1A6-7CA77D2C8BAD}"/>
    <cellStyle name="20% - Accent5 4 6 3" xfId="21017" xr:uid="{4C68F1DA-FCF3-4BA1-A9B8-CBBF0D599C83}"/>
    <cellStyle name="20% - Accent5 4 6 4" xfId="11718" xr:uid="{AC3E0D52-5BFE-492B-BEF4-85DA620DF586}"/>
    <cellStyle name="20% - Accent5 4 7" xfId="4543" xr:uid="{00000000-0005-0000-0000-00000D030000}"/>
    <cellStyle name="20% - Accent5 4 7 2" xfId="23168" xr:uid="{3F1A4077-B918-45A4-8642-357197C0A1D8}"/>
    <cellStyle name="20% - Accent5 4 7 3" xfId="13869" xr:uid="{ACD77962-5EAB-48F2-8EFB-0F12E955EE8E}"/>
    <cellStyle name="20% - Accent5 4 8" xfId="8955" xr:uid="{8AD43D76-8747-44EC-8D3B-2720ADF9D1B1}"/>
    <cellStyle name="20% - Accent5 4 8 2" xfId="27578" xr:uid="{DB77133E-993C-485D-8C95-A384ECF91829}"/>
    <cellStyle name="20% - Accent5 4 8 3" xfId="18279" xr:uid="{05AAC3AB-5EB7-4829-B1A1-6672E2CAD8D2}"/>
    <cellStyle name="20% - Accent5 4 9" xfId="18951" xr:uid="{7D514292-8A72-4C19-9C11-49B20687CC96}"/>
    <cellStyle name="20% - Accent5 5" xfId="602" xr:uid="{00000000-0005-0000-0000-00000E030000}"/>
    <cellStyle name="20% - Accent5 5 2" xfId="2873" xr:uid="{00000000-0005-0000-0000-00000F030000}"/>
    <cellStyle name="20% - Accent5 5 2 2" xfId="7095" xr:uid="{00000000-0005-0000-0000-000010030000}"/>
    <cellStyle name="20% - Accent5 5 2 2 2" xfId="25720" xr:uid="{B2A84C72-05D7-488E-B5DD-6AF9447EDDD4}"/>
    <cellStyle name="20% - Accent5 5 2 2 3" xfId="16421" xr:uid="{D6AFCC0F-D926-4B91-B070-DB25191EE90A}"/>
    <cellStyle name="20% - Accent5 5 2 3" xfId="21503" xr:uid="{AA1F13D8-4011-4CA0-9B25-DFDC5F5C7E82}"/>
    <cellStyle name="20% - Accent5 5 2 4" xfId="12204" xr:uid="{79C7AF42-680C-4631-81A8-D98A2DA52A8A}"/>
    <cellStyle name="20% - Accent5 5 3" xfId="4950" xr:uid="{00000000-0005-0000-0000-000011030000}"/>
    <cellStyle name="20% - Accent5 5 3 2" xfId="23575" xr:uid="{EFEF2495-6F22-4E9D-9024-A55CEB9BDF61}"/>
    <cellStyle name="20% - Accent5 5 3 3" xfId="14276" xr:uid="{7E44CC45-2659-44FC-8CF8-9E28195553FA}"/>
    <cellStyle name="20% - Accent5 5 4" xfId="9188" xr:uid="{164CF7CE-7706-426C-90AA-4867A06E28BD}"/>
    <cellStyle name="20% - Accent5 5 4 2" xfId="27805" xr:uid="{502EA972-BE1D-4F8B-A697-CDFD1621FAB8}"/>
    <cellStyle name="20% - Accent5 5 4 3" xfId="18506" xr:uid="{202E8AFE-7E70-49CC-BFE5-E4B5C16F17A9}"/>
    <cellStyle name="20% - Accent5 5 5" xfId="19358" xr:uid="{BC57942F-C817-46D0-9949-011C7768026D}"/>
    <cellStyle name="20% - Accent5 5 6" xfId="10059" xr:uid="{E3F9D6BF-174E-48D6-BDFA-6202AA0A5CC0}"/>
    <cellStyle name="20% - Accent5 6" xfId="1055" xr:uid="{00000000-0005-0000-0000-000012030000}"/>
    <cellStyle name="20% - Accent5 6 2" xfId="3286" xr:uid="{00000000-0005-0000-0000-000013030000}"/>
    <cellStyle name="20% - Accent5 6 2 2" xfId="7508" xr:uid="{00000000-0005-0000-0000-000014030000}"/>
    <cellStyle name="20% - Accent5 6 2 2 2" xfId="26133" xr:uid="{43464912-67DB-4852-A5E2-9E80D1B5462C}"/>
    <cellStyle name="20% - Accent5 6 2 2 3" xfId="16834" xr:uid="{FF1C8BDF-3978-494B-A7FE-AA2AD4521B43}"/>
    <cellStyle name="20% - Accent5 6 2 3" xfId="21916" xr:uid="{66326AAC-47CB-4ABD-8202-3488E0015301}"/>
    <cellStyle name="20% - Accent5 6 2 4" xfId="12617" xr:uid="{B3D5073F-CDE0-45C9-BFC4-395E3792EC25}"/>
    <cellStyle name="20% - Accent5 6 3" xfId="5363" xr:uid="{00000000-0005-0000-0000-000015030000}"/>
    <cellStyle name="20% - Accent5 6 3 2" xfId="23988" xr:uid="{B38C87D4-4823-4273-84ED-0A8AC8FDE15D}"/>
    <cellStyle name="20% - Accent5 6 3 3" xfId="14689" xr:uid="{EC585C32-E893-4A82-A5E0-DDDA3ABD4210}"/>
    <cellStyle name="20% - Accent5 6 4" xfId="19771" xr:uid="{15451AEA-9452-425E-9118-A6F48A85EB63}"/>
    <cellStyle name="20% - Accent5 6 5" xfId="10472" xr:uid="{704B06AC-8219-44DC-A3D1-B6F515FA018D}"/>
    <cellStyle name="20% - Accent5 7" xfId="1469" xr:uid="{00000000-0005-0000-0000-000016030000}"/>
    <cellStyle name="20% - Accent5 7 2" xfId="3699" xr:uid="{00000000-0005-0000-0000-000017030000}"/>
    <cellStyle name="20% - Accent5 7 2 2" xfId="7921" xr:uid="{00000000-0005-0000-0000-000018030000}"/>
    <cellStyle name="20% - Accent5 7 2 2 2" xfId="26546" xr:uid="{D5631A09-9DF6-411E-B2FE-0F1B2DEA77E6}"/>
    <cellStyle name="20% - Accent5 7 2 2 3" xfId="17247" xr:uid="{9AA0FD06-FD5A-421F-84F6-B8F57B56ADDA}"/>
    <cellStyle name="20% - Accent5 7 2 3" xfId="22329" xr:uid="{BFB3892E-B84A-43EF-A00C-DC152EB87D99}"/>
    <cellStyle name="20% - Accent5 7 2 4" xfId="13030" xr:uid="{8780D0C6-77C2-4801-BB4F-BCDAF53B390F}"/>
    <cellStyle name="20% - Accent5 7 3" xfId="5776" xr:uid="{00000000-0005-0000-0000-000019030000}"/>
    <cellStyle name="20% - Accent5 7 3 2" xfId="24401" xr:uid="{210A4BAF-AC70-4954-B2A1-90706BF2933E}"/>
    <cellStyle name="20% - Accent5 7 3 3" xfId="15102" xr:uid="{FEA2BB15-F561-4BD6-B4E7-33528F2C8A64}"/>
    <cellStyle name="20% - Accent5 7 4" xfId="20184" xr:uid="{ABFC170B-3033-4868-A6AE-0823D9ADFE7E}"/>
    <cellStyle name="20% - Accent5 7 5" xfId="10885" xr:uid="{A9D2740C-9755-413F-8ECA-158CFB711812}"/>
    <cellStyle name="20% - Accent5 8" xfId="1883" xr:uid="{00000000-0005-0000-0000-00001A030000}"/>
    <cellStyle name="20% - Accent5 8 2" xfId="4112" xr:uid="{00000000-0005-0000-0000-00001B030000}"/>
    <cellStyle name="20% - Accent5 8 2 2" xfId="8334" xr:uid="{00000000-0005-0000-0000-00001C030000}"/>
    <cellStyle name="20% - Accent5 8 2 2 2" xfId="26959" xr:uid="{0A3695C6-6974-4C7F-A7D4-C68D2BCB047D}"/>
    <cellStyle name="20% - Accent5 8 2 2 3" xfId="17660" xr:uid="{F46DF884-EBAA-4A91-8351-0F0B5A77BA93}"/>
    <cellStyle name="20% - Accent5 8 2 3" xfId="22742" xr:uid="{8CE47E6A-FF04-4F7E-95A5-BF9B394CC627}"/>
    <cellStyle name="20% - Accent5 8 2 4" xfId="13443" xr:uid="{D4857C04-FD1E-4E27-8768-F86E73C1C5B8}"/>
    <cellStyle name="20% - Accent5 8 3" xfId="6189" xr:uid="{00000000-0005-0000-0000-00001D030000}"/>
    <cellStyle name="20% - Accent5 8 3 2" xfId="24814" xr:uid="{087568AF-8CAA-405D-A620-11FE2EC98400}"/>
    <cellStyle name="20% - Accent5 8 3 3" xfId="15515" xr:uid="{086C66B9-8277-4636-9690-72A7FF9F8617}"/>
    <cellStyle name="20% - Accent5 8 4" xfId="20597" xr:uid="{1E65EEF5-FBE1-4C1E-AA89-EE36CD7270B0}"/>
    <cellStyle name="20% - Accent5 8 5" xfId="11298" xr:uid="{BF0A47C6-0499-447D-A522-970B48123CE9}"/>
    <cellStyle name="20% - Accent5 9" xfId="2296" xr:uid="{00000000-0005-0000-0000-00001E030000}"/>
    <cellStyle name="20% - Accent5 9 2" xfId="6602" xr:uid="{00000000-0005-0000-0000-00001F030000}"/>
    <cellStyle name="20% - Accent5 9 2 2" xfId="25227" xr:uid="{7AA66BA5-FEFB-42E0-8DBD-23284495B8B6}"/>
    <cellStyle name="20% - Accent5 9 2 3" xfId="15928" xr:uid="{123EE294-5D0A-484E-A482-B695421B969B}"/>
    <cellStyle name="20% - Accent5 9 3" xfId="21010" xr:uid="{98D50B94-8134-41FE-B609-23C5175726DE}"/>
    <cellStyle name="20% - Accent5 9 4" xfId="11711" xr:uid="{BD7508EB-D6B3-47AE-BAD1-22B195D494E1}"/>
    <cellStyle name="20% - Accent6" xfId="41" builtinId="50" customBuiltin="1"/>
    <cellStyle name="20% - Accent6 10" xfId="4544" xr:uid="{00000000-0005-0000-0000-000021030000}"/>
    <cellStyle name="20% - Accent6 10 2" xfId="23169" xr:uid="{57BAF450-2BE5-4914-80B4-B75809CC870C}"/>
    <cellStyle name="20% - Accent6 10 3" xfId="13870" xr:uid="{C4B54D55-6AE4-4689-83D5-2EE0B4887F4C}"/>
    <cellStyle name="20% - Accent6 11" xfId="8768" xr:uid="{5A1F1293-A19F-445F-908A-D9DBB6265CA0}"/>
    <cellStyle name="20% - Accent6 11 2" xfId="27391" xr:uid="{03729C81-26BF-45EA-BA7A-0A801856D15B}"/>
    <cellStyle name="20% - Accent6 11 3" xfId="18092" xr:uid="{BAD58C4A-02C9-4F58-92B2-024188CBFB20}"/>
    <cellStyle name="20% - Accent6 12" xfId="18952" xr:uid="{17342B9B-A5E6-4F40-B931-1D371E18CF62}"/>
    <cellStyle name="20% - Accent6 13" xfId="9653" xr:uid="{092FE360-2E5F-47C4-B548-A398F2D2D30A}"/>
    <cellStyle name="20% - Accent6 2" xfId="42" xr:uid="{00000000-0005-0000-0000-000022030000}"/>
    <cellStyle name="20% - Accent6 2 10" xfId="8795" xr:uid="{9A35B19E-8802-437A-ABDC-7B06A4E07F58}"/>
    <cellStyle name="20% - Accent6 2 10 2" xfId="27418" xr:uid="{545F6034-2601-4B16-BDE3-8322532212AE}"/>
    <cellStyle name="20% - Accent6 2 10 3" xfId="18119" xr:uid="{B6C25F8C-0A13-41F3-A255-2A42309F01C1}"/>
    <cellStyle name="20% - Accent6 2 11" xfId="18953" xr:uid="{D8B9C036-D7B2-43EC-9602-1E3311E10907}"/>
    <cellStyle name="20% - Accent6 2 12" xfId="9654" xr:uid="{25443DE5-EA77-48E6-892E-EE0A7CBCFA97}"/>
    <cellStyle name="20% - Accent6 2 2" xfId="43" xr:uid="{00000000-0005-0000-0000-000023030000}"/>
    <cellStyle name="20% - Accent6 2 2 10" xfId="18954" xr:uid="{68E8FDAC-D5A7-4990-8A52-9386ABBF9737}"/>
    <cellStyle name="20% - Accent6 2 2 11" xfId="9655" xr:uid="{E58D3A7C-EAFC-45D8-B166-9E394EA84D37}"/>
    <cellStyle name="20% - Accent6 2 2 2" xfId="44" xr:uid="{00000000-0005-0000-0000-000024030000}"/>
    <cellStyle name="20% - Accent6 2 2 2 10" xfId="9656" xr:uid="{27C6AD2C-A9B0-4EDD-8243-9BA673BD1247}"/>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2 2 2" xfId="25731" xr:uid="{7CBA5619-1C7E-4159-A787-437DFA72BDB4}"/>
    <cellStyle name="20% - Accent6 2 2 2 2 2 2 3" xfId="16432" xr:uid="{AF671ACF-C05D-4F76-8307-7DE9DB928468}"/>
    <cellStyle name="20% - Accent6 2 2 2 2 2 3" xfId="21514" xr:uid="{92E7A37B-5A55-4BD7-B90B-BBB81C98F3CD}"/>
    <cellStyle name="20% - Accent6 2 2 2 2 2 4" xfId="12215" xr:uid="{D2D23097-5B12-4C23-A4FD-CF99949B52A5}"/>
    <cellStyle name="20% - Accent6 2 2 2 2 3" xfId="4961" xr:uid="{00000000-0005-0000-0000-000028030000}"/>
    <cellStyle name="20% - Accent6 2 2 2 2 3 2" xfId="23586" xr:uid="{CE5F394A-4921-45DF-AA86-BC396F9DD49A}"/>
    <cellStyle name="20% - Accent6 2 2 2 2 3 3" xfId="14287" xr:uid="{E724469E-131E-43BE-B32B-33D8BF1C8A4D}"/>
    <cellStyle name="20% - Accent6 2 2 2 2 4" xfId="9530" xr:uid="{AFD3EE0E-70EF-4C1B-B994-7B8E7E8187BC}"/>
    <cellStyle name="20% - Accent6 2 2 2 2 4 2" xfId="28144" xr:uid="{077A0D24-AE5B-4F56-9E49-DFA691910033}"/>
    <cellStyle name="20% - Accent6 2 2 2 2 4 3" xfId="18845" xr:uid="{A65B9A57-5FDD-45C0-B166-A0975077F596}"/>
    <cellStyle name="20% - Accent6 2 2 2 2 5" xfId="19369" xr:uid="{5909910D-6E0D-4B97-BCEB-3E95B3C518B7}"/>
    <cellStyle name="20% - Accent6 2 2 2 2 6" xfId="10070" xr:uid="{BC5E6D35-626C-44A2-85A7-533BE4230757}"/>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2 2 2" xfId="26144" xr:uid="{74B4D3C6-BEBA-4DDE-93DF-31FC68213761}"/>
    <cellStyle name="20% - Accent6 2 2 2 3 2 2 3" xfId="16845" xr:uid="{88BF81C3-CEF0-48F2-A1FA-DFA66E904D2C}"/>
    <cellStyle name="20% - Accent6 2 2 2 3 2 3" xfId="21927" xr:uid="{27F2FC41-F536-486A-8EB6-CCE18B08FEAA}"/>
    <cellStyle name="20% - Accent6 2 2 2 3 2 4" xfId="12628" xr:uid="{71F6A3F5-8BDF-4353-B0DE-9BC50072A6E0}"/>
    <cellStyle name="20% - Accent6 2 2 2 3 3" xfId="5374" xr:uid="{00000000-0005-0000-0000-00002C030000}"/>
    <cellStyle name="20% - Accent6 2 2 2 3 3 2" xfId="23999" xr:uid="{299D67E4-46A8-4302-B663-1D568B28C653}"/>
    <cellStyle name="20% - Accent6 2 2 2 3 3 3" xfId="14700" xr:uid="{64709B4D-E9D9-43DD-ABCF-CE109FFD8314}"/>
    <cellStyle name="20% - Accent6 2 2 2 3 4" xfId="19782" xr:uid="{E44C8ABC-2DA5-4B80-9BB1-705A285BA270}"/>
    <cellStyle name="20% - Accent6 2 2 2 3 5" xfId="10483" xr:uid="{82963E11-5C49-4BB2-A8C8-8D7A26304CF7}"/>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2 2 2" xfId="26557" xr:uid="{F3DCB999-E2BB-4303-A37C-5F980A8EA45B}"/>
    <cellStyle name="20% - Accent6 2 2 2 4 2 2 3" xfId="17258" xr:uid="{7B83A98C-CE76-41CB-9744-BF3B536FC25E}"/>
    <cellStyle name="20% - Accent6 2 2 2 4 2 3" xfId="22340" xr:uid="{D59AB79F-CC98-4DD3-9D7D-4F795F201B96}"/>
    <cellStyle name="20% - Accent6 2 2 2 4 2 4" xfId="13041" xr:uid="{8436DBBB-0929-47A3-8EBF-BF22E59478BC}"/>
    <cellStyle name="20% - Accent6 2 2 2 4 3" xfId="5787" xr:uid="{00000000-0005-0000-0000-000030030000}"/>
    <cellStyle name="20% - Accent6 2 2 2 4 3 2" xfId="24412" xr:uid="{4DCB22A7-965E-4395-9F8F-8C3E4CC1460F}"/>
    <cellStyle name="20% - Accent6 2 2 2 4 3 3" xfId="15113" xr:uid="{116B0324-0FB9-4D8F-BBE0-4A538A29A427}"/>
    <cellStyle name="20% - Accent6 2 2 2 4 4" xfId="20195" xr:uid="{BCFFD33B-749A-4EEE-81C9-70C31DCF02FD}"/>
    <cellStyle name="20% - Accent6 2 2 2 4 5" xfId="10896" xr:uid="{DE626086-CB4A-416C-AB4D-3C708A3834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2 2 2" xfId="26970" xr:uid="{AF5E69D9-14F4-4FA9-9FD7-741C725D8FF2}"/>
    <cellStyle name="20% - Accent6 2 2 2 5 2 2 3" xfId="17671" xr:uid="{4A7A5301-D236-49FC-A41F-68379A44AD34}"/>
    <cellStyle name="20% - Accent6 2 2 2 5 2 3" xfId="22753" xr:uid="{152825A6-C289-4225-BA33-FAEFC23125D4}"/>
    <cellStyle name="20% - Accent6 2 2 2 5 2 4" xfId="13454" xr:uid="{D79F64D6-00F2-4290-A1E9-184AE843699E}"/>
    <cellStyle name="20% - Accent6 2 2 2 5 3" xfId="6200" xr:uid="{00000000-0005-0000-0000-000034030000}"/>
    <cellStyle name="20% - Accent6 2 2 2 5 3 2" xfId="24825" xr:uid="{E5C2E8D8-2136-4FB4-9AE2-97B3A7076FD7}"/>
    <cellStyle name="20% - Accent6 2 2 2 5 3 3" xfId="15526" xr:uid="{7FF8CE6C-DFF4-4841-B934-26571271DFF7}"/>
    <cellStyle name="20% - Accent6 2 2 2 5 4" xfId="20608" xr:uid="{AA840B47-7ACB-4A50-A3C4-F69BA991C5EF}"/>
    <cellStyle name="20% - Accent6 2 2 2 5 5" xfId="11309" xr:uid="{B36F3ABD-3512-4F8A-B2C6-7FB80E4A71A3}"/>
    <cellStyle name="20% - Accent6 2 2 2 6" xfId="2307" xr:uid="{00000000-0005-0000-0000-000035030000}"/>
    <cellStyle name="20% - Accent6 2 2 2 6 2" xfId="6613" xr:uid="{00000000-0005-0000-0000-000036030000}"/>
    <cellStyle name="20% - Accent6 2 2 2 6 2 2" xfId="25238" xr:uid="{A131E486-604A-4580-9713-90A110708F9F}"/>
    <cellStyle name="20% - Accent6 2 2 2 6 2 3" xfId="15939" xr:uid="{9CF5E7A2-B4BE-4299-848E-8745A5B6795E}"/>
    <cellStyle name="20% - Accent6 2 2 2 6 3" xfId="21021" xr:uid="{2E53C8EE-BA03-4005-B60F-787536A41739}"/>
    <cellStyle name="20% - Accent6 2 2 2 6 4" xfId="11722" xr:uid="{435D8374-6BDB-413A-ACA8-2D4EFDFB7F3E}"/>
    <cellStyle name="20% - Accent6 2 2 2 7" xfId="4547" xr:uid="{00000000-0005-0000-0000-000037030000}"/>
    <cellStyle name="20% - Accent6 2 2 2 7 2" xfId="23172" xr:uid="{93193E99-D772-4986-B285-E2C52D3D5B16}"/>
    <cellStyle name="20% - Accent6 2 2 2 7 3" xfId="13873" xr:uid="{EDBC8F29-D7E1-4C05-A4AD-B409EA344D1C}"/>
    <cellStyle name="20% - Accent6 2 2 2 8" xfId="9105" xr:uid="{2D3B6B01-F2FB-4D08-A7F9-9902961EFB46}"/>
    <cellStyle name="20% - Accent6 2 2 2 8 2" xfId="27728" xr:uid="{E475C7A5-9B3C-42A0-A9A2-842968D0A128}"/>
    <cellStyle name="20% - Accent6 2 2 2 8 3" xfId="18429" xr:uid="{31EF2982-6D3E-46DB-99E0-62B8280A5DE4}"/>
    <cellStyle name="20% - Accent6 2 2 2 9" xfId="18955" xr:uid="{D516552B-917C-45B7-BA8C-5037F5439335}"/>
    <cellStyle name="20% - Accent6 2 2 3" xfId="612" xr:uid="{00000000-0005-0000-0000-000038030000}"/>
    <cellStyle name="20% - Accent6 2 2 3 2" xfId="2883" xr:uid="{00000000-0005-0000-0000-000039030000}"/>
    <cellStyle name="20% - Accent6 2 2 3 2 2" xfId="7105" xr:uid="{00000000-0005-0000-0000-00003A030000}"/>
    <cellStyle name="20% - Accent6 2 2 3 2 2 2" xfId="25730" xr:uid="{7F16423E-D1C2-4DFB-9033-648DC99C2FFE}"/>
    <cellStyle name="20% - Accent6 2 2 3 2 2 3" xfId="16431" xr:uid="{0EF74965-3187-4545-B311-8C25CC3DC445}"/>
    <cellStyle name="20% - Accent6 2 2 3 2 3" xfId="21513" xr:uid="{C818EBDD-E954-4DA1-A461-A7F18C0043B9}"/>
    <cellStyle name="20% - Accent6 2 2 3 2 4" xfId="12214" xr:uid="{9000AC8E-2B59-4A28-B575-9E8721FFF8A0}"/>
    <cellStyle name="20% - Accent6 2 2 3 3" xfId="4960" xr:uid="{00000000-0005-0000-0000-00003B030000}"/>
    <cellStyle name="20% - Accent6 2 2 3 3 2" xfId="23585" xr:uid="{BB43C708-C69A-4F04-819A-4582B8BD41C1}"/>
    <cellStyle name="20% - Accent6 2 2 3 3 3" xfId="14286" xr:uid="{D384D1F7-7E04-4F44-9D76-EF9ADC26CFC8}"/>
    <cellStyle name="20% - Accent6 2 2 3 4" xfId="9323" xr:uid="{93CC3C58-EC1C-4AC6-8D02-E00EFD80A494}"/>
    <cellStyle name="20% - Accent6 2 2 3 4 2" xfId="27937" xr:uid="{8C4C4FB2-12FD-4366-A8EE-EEE9BBF360A0}"/>
    <cellStyle name="20% - Accent6 2 2 3 4 3" xfId="18638" xr:uid="{4A387DA2-D372-45D3-86C9-4425184FD591}"/>
    <cellStyle name="20% - Accent6 2 2 3 5" xfId="19368" xr:uid="{23CE0AF7-8645-4309-BBA6-208B666CCC3D}"/>
    <cellStyle name="20% - Accent6 2 2 3 6" xfId="10069" xr:uid="{47150BE7-E728-4748-8C46-5AA04996BD45}"/>
    <cellStyle name="20% - Accent6 2 2 4" xfId="1065" xr:uid="{00000000-0005-0000-0000-00003C030000}"/>
    <cellStyle name="20% - Accent6 2 2 4 2" xfId="3296" xr:uid="{00000000-0005-0000-0000-00003D030000}"/>
    <cellStyle name="20% - Accent6 2 2 4 2 2" xfId="7518" xr:uid="{00000000-0005-0000-0000-00003E030000}"/>
    <cellStyle name="20% - Accent6 2 2 4 2 2 2" xfId="26143" xr:uid="{E5297A01-CA9A-4C74-BE53-EFF937479404}"/>
    <cellStyle name="20% - Accent6 2 2 4 2 2 3" xfId="16844" xr:uid="{E39923E2-43A7-48F7-8728-E6B4C57B79B4}"/>
    <cellStyle name="20% - Accent6 2 2 4 2 3" xfId="21926" xr:uid="{D1CCA55D-6D3C-48EF-84BF-3D634D9E84C0}"/>
    <cellStyle name="20% - Accent6 2 2 4 2 4" xfId="12627" xr:uid="{BF19DF60-8D1D-4C96-A788-74A79704B051}"/>
    <cellStyle name="20% - Accent6 2 2 4 3" xfId="5373" xr:uid="{00000000-0005-0000-0000-00003F030000}"/>
    <cellStyle name="20% - Accent6 2 2 4 3 2" xfId="23998" xr:uid="{1E2BA868-EF26-4545-A910-123A6C03C8DF}"/>
    <cellStyle name="20% - Accent6 2 2 4 3 3" xfId="14699" xr:uid="{7710039A-48EE-4C20-ACCB-12A173D4AF78}"/>
    <cellStyle name="20% - Accent6 2 2 4 4" xfId="19781" xr:uid="{DCEDECCF-0616-4C6D-820F-59E15E2DB66A}"/>
    <cellStyle name="20% - Accent6 2 2 4 5" xfId="10482" xr:uid="{6420C375-9A08-4C9B-9CF4-D9629DDE132B}"/>
    <cellStyle name="20% - Accent6 2 2 5" xfId="1479" xr:uid="{00000000-0005-0000-0000-000040030000}"/>
    <cellStyle name="20% - Accent6 2 2 5 2" xfId="3709" xr:uid="{00000000-0005-0000-0000-000041030000}"/>
    <cellStyle name="20% - Accent6 2 2 5 2 2" xfId="7931" xr:uid="{00000000-0005-0000-0000-000042030000}"/>
    <cellStyle name="20% - Accent6 2 2 5 2 2 2" xfId="26556" xr:uid="{12FCA1D3-BFDD-4C00-A091-81F0CEE42650}"/>
    <cellStyle name="20% - Accent6 2 2 5 2 2 3" xfId="17257" xr:uid="{3C606591-D87E-42DF-B43E-9BEC9735B39F}"/>
    <cellStyle name="20% - Accent6 2 2 5 2 3" xfId="22339" xr:uid="{248AA560-854A-49CC-8C49-78B66EC0FFF6}"/>
    <cellStyle name="20% - Accent6 2 2 5 2 4" xfId="13040" xr:uid="{9C427D43-F332-4E22-85BD-31FD83A0F9B1}"/>
    <cellStyle name="20% - Accent6 2 2 5 3" xfId="5786" xr:uid="{00000000-0005-0000-0000-000043030000}"/>
    <cellStyle name="20% - Accent6 2 2 5 3 2" xfId="24411" xr:uid="{5ACD3759-3E9C-4B94-AB1D-14E7181384D0}"/>
    <cellStyle name="20% - Accent6 2 2 5 3 3" xfId="15112" xr:uid="{D74DCB79-E196-4DAE-88D3-8664A5854EFC}"/>
    <cellStyle name="20% - Accent6 2 2 5 4" xfId="20194" xr:uid="{F79F4EF0-3EB6-4A88-80F6-024F8A682BD4}"/>
    <cellStyle name="20% - Accent6 2 2 5 5" xfId="10895" xr:uid="{F7075763-CCE3-43C8-A31C-C91F5706F409}"/>
    <cellStyle name="20% - Accent6 2 2 6" xfId="1893" xr:uid="{00000000-0005-0000-0000-000044030000}"/>
    <cellStyle name="20% - Accent6 2 2 6 2" xfId="4122" xr:uid="{00000000-0005-0000-0000-000045030000}"/>
    <cellStyle name="20% - Accent6 2 2 6 2 2" xfId="8344" xr:uid="{00000000-0005-0000-0000-000046030000}"/>
    <cellStyle name="20% - Accent6 2 2 6 2 2 2" xfId="26969" xr:uid="{AC332F22-A865-4A5F-BF96-CFA11D9D6B71}"/>
    <cellStyle name="20% - Accent6 2 2 6 2 2 3" xfId="17670" xr:uid="{66BE1A25-AC5E-47D5-A249-F93FEDFA13F2}"/>
    <cellStyle name="20% - Accent6 2 2 6 2 3" xfId="22752" xr:uid="{198225B3-0128-48D8-9F63-D148D0742E0E}"/>
    <cellStyle name="20% - Accent6 2 2 6 2 4" xfId="13453" xr:uid="{E078E982-A55F-42B3-A025-FD9E6D60662E}"/>
    <cellStyle name="20% - Accent6 2 2 6 3" xfId="6199" xr:uid="{00000000-0005-0000-0000-000047030000}"/>
    <cellStyle name="20% - Accent6 2 2 6 3 2" xfId="24824" xr:uid="{93421FB1-18FF-48FB-9B3B-A27ACFA11D63}"/>
    <cellStyle name="20% - Accent6 2 2 6 3 3" xfId="15525" xr:uid="{2C6724C1-093E-41B8-ABA4-BCEB46556BC3}"/>
    <cellStyle name="20% - Accent6 2 2 6 4" xfId="20607" xr:uid="{BC43515E-B443-40F6-8D98-A0EB754E870F}"/>
    <cellStyle name="20% - Accent6 2 2 6 5" xfId="11308" xr:uid="{B6D0F6D3-3B0C-43E6-B8C3-42C28814D28B}"/>
    <cellStyle name="20% - Accent6 2 2 7" xfId="2306" xr:uid="{00000000-0005-0000-0000-000048030000}"/>
    <cellStyle name="20% - Accent6 2 2 7 2" xfId="6612" xr:uid="{00000000-0005-0000-0000-000049030000}"/>
    <cellStyle name="20% - Accent6 2 2 7 2 2" xfId="25237" xr:uid="{512B5ABF-BA3D-40ED-BCA9-82188E3D74DB}"/>
    <cellStyle name="20% - Accent6 2 2 7 2 3" xfId="15938" xr:uid="{661C5F50-E382-4E36-B5B8-E844CF96F7A2}"/>
    <cellStyle name="20% - Accent6 2 2 7 3" xfId="21020" xr:uid="{D40C5A3B-91CE-49C7-8D64-CC7DEEFCF53C}"/>
    <cellStyle name="20% - Accent6 2 2 7 4" xfId="11721" xr:uid="{056ADB6F-F9B4-44A3-BC36-06CD5B7AACCD}"/>
    <cellStyle name="20% - Accent6 2 2 8" xfId="4546" xr:uid="{00000000-0005-0000-0000-00004A030000}"/>
    <cellStyle name="20% - Accent6 2 2 8 2" xfId="23171" xr:uid="{3A485648-6675-498E-905A-FF603E2C79D4}"/>
    <cellStyle name="20% - Accent6 2 2 8 3" xfId="13872" xr:uid="{6CF5B715-99ED-43EA-B7D0-D95294FA26F4}"/>
    <cellStyle name="20% - Accent6 2 2 9" xfId="8898" xr:uid="{88686F75-037F-4072-9BDC-942546C51E8F}"/>
    <cellStyle name="20% - Accent6 2 2 9 2" xfId="27521" xr:uid="{0283785F-B616-46B5-ABBD-C3612C6B7D90}"/>
    <cellStyle name="20% - Accent6 2 2 9 3" xfId="18222" xr:uid="{31C1C8E6-CFE9-4BF2-85CB-6B92E24DDEA4}"/>
    <cellStyle name="20% - Accent6 2 3" xfId="45" xr:uid="{00000000-0005-0000-0000-00004B030000}"/>
    <cellStyle name="20% - Accent6 2 3 10" xfId="9657" xr:uid="{734BD548-AC03-4B1A-B610-E3BA64600F4F}"/>
    <cellStyle name="20% - Accent6 2 3 2" xfId="614" xr:uid="{00000000-0005-0000-0000-00004C030000}"/>
    <cellStyle name="20% - Accent6 2 3 2 2" xfId="2885" xr:uid="{00000000-0005-0000-0000-00004D030000}"/>
    <cellStyle name="20% - Accent6 2 3 2 2 2" xfId="7107" xr:uid="{00000000-0005-0000-0000-00004E030000}"/>
    <cellStyle name="20% - Accent6 2 3 2 2 2 2" xfId="25732" xr:uid="{26C5A963-1755-4171-BA3F-92DF9D0B49D0}"/>
    <cellStyle name="20% - Accent6 2 3 2 2 2 3" xfId="16433" xr:uid="{D7A23B71-0DF6-44BA-AC31-2C2926A69481}"/>
    <cellStyle name="20% - Accent6 2 3 2 2 3" xfId="21515" xr:uid="{2BB26448-C6D6-4137-93EE-2B74C0E07975}"/>
    <cellStyle name="20% - Accent6 2 3 2 2 4" xfId="12216" xr:uid="{71A29622-B1A4-4583-AF84-66963E5D8F6E}"/>
    <cellStyle name="20% - Accent6 2 3 2 3" xfId="4962" xr:uid="{00000000-0005-0000-0000-00004F030000}"/>
    <cellStyle name="20% - Accent6 2 3 2 3 2" xfId="23587" xr:uid="{C33F8819-1216-44AD-8767-4870442D59AD}"/>
    <cellStyle name="20% - Accent6 2 3 2 3 3" xfId="14288" xr:uid="{F25B569A-6E4B-49F8-859A-237364B276DD}"/>
    <cellStyle name="20% - Accent6 2 3 2 4" xfId="9427" xr:uid="{009378B6-C0A8-4C7C-A9A2-F91104842D93}"/>
    <cellStyle name="20% - Accent6 2 3 2 4 2" xfId="28041" xr:uid="{604DE014-B121-46DE-82FF-20F5C56126FE}"/>
    <cellStyle name="20% - Accent6 2 3 2 4 3" xfId="18742" xr:uid="{A2D54886-2DDA-4128-97BF-72096DA0A411}"/>
    <cellStyle name="20% - Accent6 2 3 2 5" xfId="19370" xr:uid="{E9C15BDE-F36D-4391-8370-8B4B9C8D2FA9}"/>
    <cellStyle name="20% - Accent6 2 3 2 6" xfId="10071" xr:uid="{8BA37BCB-F64E-434B-B34C-6B5DE1987DCE}"/>
    <cellStyle name="20% - Accent6 2 3 3" xfId="1067" xr:uid="{00000000-0005-0000-0000-000050030000}"/>
    <cellStyle name="20% - Accent6 2 3 3 2" xfId="3298" xr:uid="{00000000-0005-0000-0000-000051030000}"/>
    <cellStyle name="20% - Accent6 2 3 3 2 2" xfId="7520" xr:uid="{00000000-0005-0000-0000-000052030000}"/>
    <cellStyle name="20% - Accent6 2 3 3 2 2 2" xfId="26145" xr:uid="{6BA38497-3B02-4236-BE8E-56B83BD81CD3}"/>
    <cellStyle name="20% - Accent6 2 3 3 2 2 3" xfId="16846" xr:uid="{948904DD-CB26-4300-B361-672A3C8B1B72}"/>
    <cellStyle name="20% - Accent6 2 3 3 2 3" xfId="21928" xr:uid="{365836E1-5E6C-4109-BF3B-3CB7F1D4BAAD}"/>
    <cellStyle name="20% - Accent6 2 3 3 2 4" xfId="12629" xr:uid="{958AE1F7-1716-49B7-91E9-D325CA1C83A4}"/>
    <cellStyle name="20% - Accent6 2 3 3 3" xfId="5375" xr:uid="{00000000-0005-0000-0000-000053030000}"/>
    <cellStyle name="20% - Accent6 2 3 3 3 2" xfId="24000" xr:uid="{3B0F152A-97BE-4B7E-9A54-2D56D272E6C0}"/>
    <cellStyle name="20% - Accent6 2 3 3 3 3" xfId="14701" xr:uid="{C76B7C20-2064-45FA-8707-E242D00ADE21}"/>
    <cellStyle name="20% - Accent6 2 3 3 4" xfId="19783" xr:uid="{18446F12-0E78-4C3C-8F66-A2B3C53AAD36}"/>
    <cellStyle name="20% - Accent6 2 3 3 5" xfId="10484" xr:uid="{46D64229-C397-4F5D-AFD0-27F330D97117}"/>
    <cellStyle name="20% - Accent6 2 3 4" xfId="1481" xr:uid="{00000000-0005-0000-0000-000054030000}"/>
    <cellStyle name="20% - Accent6 2 3 4 2" xfId="3711" xr:uid="{00000000-0005-0000-0000-000055030000}"/>
    <cellStyle name="20% - Accent6 2 3 4 2 2" xfId="7933" xr:uid="{00000000-0005-0000-0000-000056030000}"/>
    <cellStyle name="20% - Accent6 2 3 4 2 2 2" xfId="26558" xr:uid="{7015DBB8-A1E9-4A46-9CE1-F607DBAC2118}"/>
    <cellStyle name="20% - Accent6 2 3 4 2 2 3" xfId="17259" xr:uid="{BFFE5DF5-1214-4AA8-B506-C88EB71A89EC}"/>
    <cellStyle name="20% - Accent6 2 3 4 2 3" xfId="22341" xr:uid="{A3AD4865-D44D-4B48-BB84-CAFDCC8A1815}"/>
    <cellStyle name="20% - Accent6 2 3 4 2 4" xfId="13042" xr:uid="{D5F7F278-2DC4-470F-9A78-F6F151DAC83E}"/>
    <cellStyle name="20% - Accent6 2 3 4 3" xfId="5788" xr:uid="{00000000-0005-0000-0000-000057030000}"/>
    <cellStyle name="20% - Accent6 2 3 4 3 2" xfId="24413" xr:uid="{46CC0633-E771-4610-839C-6B1171DB7BEB}"/>
    <cellStyle name="20% - Accent6 2 3 4 3 3" xfId="15114" xr:uid="{052F4134-7CFA-41A4-89B9-5DD9BF0876B2}"/>
    <cellStyle name="20% - Accent6 2 3 4 4" xfId="20196" xr:uid="{B97467E9-9442-4B09-A8A2-378FCA1CA685}"/>
    <cellStyle name="20% - Accent6 2 3 4 5" xfId="10897" xr:uid="{F79741C1-A046-4A7B-BE05-1D0A33DB7F4B}"/>
    <cellStyle name="20% - Accent6 2 3 5" xfId="1895" xr:uid="{00000000-0005-0000-0000-000058030000}"/>
    <cellStyle name="20% - Accent6 2 3 5 2" xfId="4124" xr:uid="{00000000-0005-0000-0000-000059030000}"/>
    <cellStyle name="20% - Accent6 2 3 5 2 2" xfId="8346" xr:uid="{00000000-0005-0000-0000-00005A030000}"/>
    <cellStyle name="20% - Accent6 2 3 5 2 2 2" xfId="26971" xr:uid="{6D4631BD-AAA8-4C64-9A62-CED34E055004}"/>
    <cellStyle name="20% - Accent6 2 3 5 2 2 3" xfId="17672" xr:uid="{84B27A69-7D0A-4BCA-AEE5-D6DD6CB12E39}"/>
    <cellStyle name="20% - Accent6 2 3 5 2 3" xfId="22754" xr:uid="{B5001595-A70C-43A6-A967-98EEF0731727}"/>
    <cellStyle name="20% - Accent6 2 3 5 2 4" xfId="13455" xr:uid="{9CE410BE-5310-4A6E-9AAE-CFD614BCC429}"/>
    <cellStyle name="20% - Accent6 2 3 5 3" xfId="6201" xr:uid="{00000000-0005-0000-0000-00005B030000}"/>
    <cellStyle name="20% - Accent6 2 3 5 3 2" xfId="24826" xr:uid="{9510859C-2C5A-4C5D-8996-B310EE7EC3F0}"/>
    <cellStyle name="20% - Accent6 2 3 5 3 3" xfId="15527" xr:uid="{EE917D34-FBDB-4880-959A-FF70122412BB}"/>
    <cellStyle name="20% - Accent6 2 3 5 4" xfId="20609" xr:uid="{9237BE77-C7F5-4351-BFE1-DADD1E70CF37}"/>
    <cellStyle name="20% - Accent6 2 3 5 5" xfId="11310" xr:uid="{9AFFE716-FA8B-430F-86C6-F5D7C5B0101F}"/>
    <cellStyle name="20% - Accent6 2 3 6" xfId="2308" xr:uid="{00000000-0005-0000-0000-00005C030000}"/>
    <cellStyle name="20% - Accent6 2 3 6 2" xfId="6614" xr:uid="{00000000-0005-0000-0000-00005D030000}"/>
    <cellStyle name="20% - Accent6 2 3 6 2 2" xfId="25239" xr:uid="{DA9FE1A6-CDBC-4921-9057-85E8072F9FDD}"/>
    <cellStyle name="20% - Accent6 2 3 6 2 3" xfId="15940" xr:uid="{0B36FE49-F313-41DC-AEDA-6130B57ACC7D}"/>
    <cellStyle name="20% - Accent6 2 3 6 3" xfId="21022" xr:uid="{623488CE-3144-49F7-ABC0-7CF8ED56EBC0}"/>
    <cellStyle name="20% - Accent6 2 3 6 4" xfId="11723" xr:uid="{7605E323-CA1F-43B0-B453-37C660850F07}"/>
    <cellStyle name="20% - Accent6 2 3 7" xfId="4548" xr:uid="{00000000-0005-0000-0000-00005E030000}"/>
    <cellStyle name="20% - Accent6 2 3 7 2" xfId="23173" xr:uid="{3FF30B3B-8B5D-4562-8B87-9EF75F4FD35C}"/>
    <cellStyle name="20% - Accent6 2 3 7 3" xfId="13874" xr:uid="{4D5561DD-41D9-4819-81A7-4825538FA05B}"/>
    <cellStyle name="20% - Accent6 2 3 8" xfId="9002" xr:uid="{F69877AB-868C-474F-8F88-C5F2F1F2C041}"/>
    <cellStyle name="20% - Accent6 2 3 8 2" xfId="27625" xr:uid="{8EE5459F-10D3-47FC-8AEB-0D22B039ABD2}"/>
    <cellStyle name="20% - Accent6 2 3 8 3" xfId="18326" xr:uid="{9AA9A2BA-B81B-4593-B9CB-3D899DF344A5}"/>
    <cellStyle name="20% - Accent6 2 3 9" xfId="18956" xr:uid="{9C5542AE-6E02-45C1-A685-5EA8A68BE4BC}"/>
    <cellStyle name="20% - Accent6 2 4" xfId="611" xr:uid="{00000000-0005-0000-0000-00005F030000}"/>
    <cellStyle name="20% - Accent6 2 4 2" xfId="2882" xr:uid="{00000000-0005-0000-0000-000060030000}"/>
    <cellStyle name="20% - Accent6 2 4 2 2" xfId="7104" xr:uid="{00000000-0005-0000-0000-000061030000}"/>
    <cellStyle name="20% - Accent6 2 4 2 2 2" xfId="25729" xr:uid="{33B24D08-64DA-4F3C-BBD5-E615761A5021}"/>
    <cellStyle name="20% - Accent6 2 4 2 2 3" xfId="16430" xr:uid="{2E274E91-DF30-40D6-9928-176CCFFFD5A9}"/>
    <cellStyle name="20% - Accent6 2 4 2 3" xfId="21512" xr:uid="{BAEB6A9C-0CC4-4E24-A65F-A6A5B7981516}"/>
    <cellStyle name="20% - Accent6 2 4 2 4" xfId="12213" xr:uid="{FD4ACFD0-CA6A-4E62-8BA3-6ECB0C75849D}"/>
    <cellStyle name="20% - Accent6 2 4 3" xfId="4959" xr:uid="{00000000-0005-0000-0000-000062030000}"/>
    <cellStyle name="20% - Accent6 2 4 3 2" xfId="23584" xr:uid="{F84820A8-4F6E-4018-9BC1-3F805B1CFBF0}"/>
    <cellStyle name="20% - Accent6 2 4 3 3" xfId="14285" xr:uid="{BEE63B7F-D438-4517-825D-FDD7D66313B1}"/>
    <cellStyle name="20% - Accent6 2 4 4" xfId="9219" xr:uid="{C8AD75F8-261B-45C4-93F0-0E0A49EEEF79}"/>
    <cellStyle name="20% - Accent6 2 4 4 2" xfId="27834" xr:uid="{3ECDF60D-6153-44E9-AA66-E07DC44D77B1}"/>
    <cellStyle name="20% - Accent6 2 4 4 3" xfId="18535" xr:uid="{BFE54FD5-917F-4FB7-8316-5B285CF1D297}"/>
    <cellStyle name="20% - Accent6 2 4 5" xfId="19367" xr:uid="{22BEFDBD-A277-4BFC-893D-60938687AFE1}"/>
    <cellStyle name="20% - Accent6 2 4 6" xfId="10068" xr:uid="{A32E76B6-4030-4A36-B5F7-26F139BEECF8}"/>
    <cellStyle name="20% - Accent6 2 5" xfId="1064" xr:uid="{00000000-0005-0000-0000-000063030000}"/>
    <cellStyle name="20% - Accent6 2 5 2" xfId="3295" xr:uid="{00000000-0005-0000-0000-000064030000}"/>
    <cellStyle name="20% - Accent6 2 5 2 2" xfId="7517" xr:uid="{00000000-0005-0000-0000-000065030000}"/>
    <cellStyle name="20% - Accent6 2 5 2 2 2" xfId="26142" xr:uid="{EF6C06F8-0FFF-467F-89DD-CC54278B4169}"/>
    <cellStyle name="20% - Accent6 2 5 2 2 3" xfId="16843" xr:uid="{4DD7CD9B-EF21-4673-AD53-F1AE8BD019E3}"/>
    <cellStyle name="20% - Accent6 2 5 2 3" xfId="21925" xr:uid="{0FAD5C93-84BF-42FF-AD55-C09EFD847B2F}"/>
    <cellStyle name="20% - Accent6 2 5 2 4" xfId="12626" xr:uid="{89785235-F02C-4E9C-ADDE-F5F28E7464EF}"/>
    <cellStyle name="20% - Accent6 2 5 3" xfId="5372" xr:uid="{00000000-0005-0000-0000-000066030000}"/>
    <cellStyle name="20% - Accent6 2 5 3 2" xfId="23997" xr:uid="{CD200047-0C63-4E05-9449-318D154AEF47}"/>
    <cellStyle name="20% - Accent6 2 5 3 3" xfId="14698" xr:uid="{90972B2A-1C8F-4FDC-A652-282FFCB42F19}"/>
    <cellStyle name="20% - Accent6 2 5 4" xfId="19780" xr:uid="{3951FF77-44F7-4E93-A68F-B4F15259FAF5}"/>
    <cellStyle name="20% - Accent6 2 5 5" xfId="10481" xr:uid="{407F8CB8-E84B-4A94-AF8B-92EB7BE36D17}"/>
    <cellStyle name="20% - Accent6 2 6" xfId="1478" xr:uid="{00000000-0005-0000-0000-000067030000}"/>
    <cellStyle name="20% - Accent6 2 6 2" xfId="3708" xr:uid="{00000000-0005-0000-0000-000068030000}"/>
    <cellStyle name="20% - Accent6 2 6 2 2" xfId="7930" xr:uid="{00000000-0005-0000-0000-000069030000}"/>
    <cellStyle name="20% - Accent6 2 6 2 2 2" xfId="26555" xr:uid="{2D035F8A-F979-4938-B7E8-20028BB30BF2}"/>
    <cellStyle name="20% - Accent6 2 6 2 2 3" xfId="17256" xr:uid="{68FECBC5-1681-4585-BF51-27E1D48F82B8}"/>
    <cellStyle name="20% - Accent6 2 6 2 3" xfId="22338" xr:uid="{A6E66721-1B5F-4B30-B0FF-747EBDCD9D56}"/>
    <cellStyle name="20% - Accent6 2 6 2 4" xfId="13039" xr:uid="{D2EAF09F-E2A7-4BAB-AFD3-33ED637D5B54}"/>
    <cellStyle name="20% - Accent6 2 6 3" xfId="5785" xr:uid="{00000000-0005-0000-0000-00006A030000}"/>
    <cellStyle name="20% - Accent6 2 6 3 2" xfId="24410" xr:uid="{C0F8C1E5-131D-4FC7-B425-714890CB54C3}"/>
    <cellStyle name="20% - Accent6 2 6 3 3" xfId="15111" xr:uid="{0272755A-246A-42DC-9835-D51118370100}"/>
    <cellStyle name="20% - Accent6 2 6 4" xfId="20193" xr:uid="{EA4C4C35-A564-44B1-946D-9EC66377969D}"/>
    <cellStyle name="20% - Accent6 2 6 5" xfId="10894" xr:uid="{7B6F6754-D554-4CEB-884E-5E58E92C1992}"/>
    <cellStyle name="20% - Accent6 2 7" xfId="1892" xr:uid="{00000000-0005-0000-0000-00006B030000}"/>
    <cellStyle name="20% - Accent6 2 7 2" xfId="4121" xr:uid="{00000000-0005-0000-0000-00006C030000}"/>
    <cellStyle name="20% - Accent6 2 7 2 2" xfId="8343" xr:uid="{00000000-0005-0000-0000-00006D030000}"/>
    <cellStyle name="20% - Accent6 2 7 2 2 2" xfId="26968" xr:uid="{842AC928-A029-40D0-857A-DDE55C02CE6C}"/>
    <cellStyle name="20% - Accent6 2 7 2 2 3" xfId="17669" xr:uid="{399E3974-0018-4CD0-8927-423C8A6C2DF2}"/>
    <cellStyle name="20% - Accent6 2 7 2 3" xfId="22751" xr:uid="{2D9D0309-76B5-42F6-954C-059D0D34BFE0}"/>
    <cellStyle name="20% - Accent6 2 7 2 4" xfId="13452" xr:uid="{618A76C4-B3C3-4F4C-82CA-1092A0F0FF2B}"/>
    <cellStyle name="20% - Accent6 2 7 3" xfId="6198" xr:uid="{00000000-0005-0000-0000-00006E030000}"/>
    <cellStyle name="20% - Accent6 2 7 3 2" xfId="24823" xr:uid="{EE84B480-BEAE-4D42-8F22-5FC47B17E0D6}"/>
    <cellStyle name="20% - Accent6 2 7 3 3" xfId="15524" xr:uid="{78E8CB29-4CAC-4754-8C90-7093F4E5199B}"/>
    <cellStyle name="20% - Accent6 2 7 4" xfId="20606" xr:uid="{FB472B95-270A-4CFE-B11B-2336A3E25812}"/>
    <cellStyle name="20% - Accent6 2 7 5" xfId="11307" xr:uid="{5A11AB51-225C-4430-BF01-215DF2529199}"/>
    <cellStyle name="20% - Accent6 2 8" xfId="2305" xr:uid="{00000000-0005-0000-0000-00006F030000}"/>
    <cellStyle name="20% - Accent6 2 8 2" xfId="6611" xr:uid="{00000000-0005-0000-0000-000070030000}"/>
    <cellStyle name="20% - Accent6 2 8 2 2" xfId="25236" xr:uid="{E33DC5D7-4BBD-40E3-93B4-D01098C7E2E3}"/>
    <cellStyle name="20% - Accent6 2 8 2 3" xfId="15937" xr:uid="{DE49B95E-94C0-4F80-804F-4D0B5AD46FA1}"/>
    <cellStyle name="20% - Accent6 2 8 3" xfId="21019" xr:uid="{8DE7614E-FF26-42EB-B112-F320F4F25E14}"/>
    <cellStyle name="20% - Accent6 2 8 4" xfId="11720" xr:uid="{519E9A4A-E03D-4FA7-803C-1069A2014C62}"/>
    <cellStyle name="20% - Accent6 2 9" xfId="4545" xr:uid="{00000000-0005-0000-0000-000071030000}"/>
    <cellStyle name="20% - Accent6 2 9 2" xfId="23170" xr:uid="{810963FD-FE26-4FAB-BB12-D2E85678080D}"/>
    <cellStyle name="20% - Accent6 2 9 3" xfId="13871" xr:uid="{BEDC28A0-60E9-45A5-AD1A-914254E4FA36}"/>
    <cellStyle name="20% - Accent6 3" xfId="46" xr:uid="{00000000-0005-0000-0000-000072030000}"/>
    <cellStyle name="20% - Accent6 3 10" xfId="18957" xr:uid="{0BEAE077-65F3-43A6-9B5B-84CB22EF3416}"/>
    <cellStyle name="20% - Accent6 3 11" xfId="9658" xr:uid="{B2B57B90-9C4D-404C-B303-E32BACC04607}"/>
    <cellStyle name="20% - Accent6 3 2" xfId="47" xr:uid="{00000000-0005-0000-0000-000073030000}"/>
    <cellStyle name="20% - Accent6 3 2 10" xfId="9659" xr:uid="{BF7588E6-08C4-47E3-93A0-1D812998257F}"/>
    <cellStyle name="20% - Accent6 3 2 2" xfId="616" xr:uid="{00000000-0005-0000-0000-000074030000}"/>
    <cellStyle name="20% - Accent6 3 2 2 2" xfId="2887" xr:uid="{00000000-0005-0000-0000-000075030000}"/>
    <cellStyle name="20% - Accent6 3 2 2 2 2" xfId="7109" xr:uid="{00000000-0005-0000-0000-000076030000}"/>
    <cellStyle name="20% - Accent6 3 2 2 2 2 2" xfId="25734" xr:uid="{C0A78AC0-0853-4768-9270-59B154F9B9B8}"/>
    <cellStyle name="20% - Accent6 3 2 2 2 2 3" xfId="16435" xr:uid="{B5458853-1AB1-4AFB-B71D-73B028978DEE}"/>
    <cellStyle name="20% - Accent6 3 2 2 2 3" xfId="21517" xr:uid="{A48D1767-600C-4C09-A1E4-9134B6F826D3}"/>
    <cellStyle name="20% - Accent6 3 2 2 2 4" xfId="12218" xr:uid="{A353FAAB-AA49-4265-9E41-FD77B2350768}"/>
    <cellStyle name="20% - Accent6 3 2 2 3" xfId="4964" xr:uid="{00000000-0005-0000-0000-000077030000}"/>
    <cellStyle name="20% - Accent6 3 2 2 3 2" xfId="23589" xr:uid="{3E1F99F6-C64E-4B7C-AED8-C3B3FCD2C2DF}"/>
    <cellStyle name="20% - Accent6 3 2 2 3 3" xfId="14290" xr:uid="{B211B69E-8F8F-4B58-BB75-C7790B8B3AB6}"/>
    <cellStyle name="20% - Accent6 3 2 2 4" xfId="9503" xr:uid="{A5A3EDF8-16EA-4A86-8795-C3BA46FE244A}"/>
    <cellStyle name="20% - Accent6 3 2 2 4 2" xfId="28117" xr:uid="{596EC80F-7677-4A80-9CF2-75E788A6140B}"/>
    <cellStyle name="20% - Accent6 3 2 2 4 3" xfId="18818" xr:uid="{D5511509-C90D-4BB7-9B71-0C20416926DB}"/>
    <cellStyle name="20% - Accent6 3 2 2 5" xfId="19372" xr:uid="{82FF61B0-9606-4D64-82E1-CD489BF3A469}"/>
    <cellStyle name="20% - Accent6 3 2 2 6" xfId="10073" xr:uid="{94810678-D580-48EA-8869-A49D339AC79E}"/>
    <cellStyle name="20% - Accent6 3 2 3" xfId="1069" xr:uid="{00000000-0005-0000-0000-000078030000}"/>
    <cellStyle name="20% - Accent6 3 2 3 2" xfId="3300" xr:uid="{00000000-0005-0000-0000-000079030000}"/>
    <cellStyle name="20% - Accent6 3 2 3 2 2" xfId="7522" xr:uid="{00000000-0005-0000-0000-00007A030000}"/>
    <cellStyle name="20% - Accent6 3 2 3 2 2 2" xfId="26147" xr:uid="{8DCCAD25-CC36-4AB8-B380-91BD8917988E}"/>
    <cellStyle name="20% - Accent6 3 2 3 2 2 3" xfId="16848" xr:uid="{507CA880-3B13-4709-A575-83B30FB49E7B}"/>
    <cellStyle name="20% - Accent6 3 2 3 2 3" xfId="21930" xr:uid="{89F23327-2004-48D3-ACF4-4797F09D5499}"/>
    <cellStyle name="20% - Accent6 3 2 3 2 4" xfId="12631" xr:uid="{FBFF9791-DE97-4F36-9F1A-1D4FA6D43AD7}"/>
    <cellStyle name="20% - Accent6 3 2 3 3" xfId="5377" xr:uid="{00000000-0005-0000-0000-00007B030000}"/>
    <cellStyle name="20% - Accent6 3 2 3 3 2" xfId="24002" xr:uid="{254DC870-8BCD-43E4-AE70-BA39B719BC23}"/>
    <cellStyle name="20% - Accent6 3 2 3 3 3" xfId="14703" xr:uid="{713F2AEC-D0B1-484B-9676-6C29BB68C034}"/>
    <cellStyle name="20% - Accent6 3 2 3 4" xfId="19785" xr:uid="{9FFCA0AF-53D3-400F-B6D3-1A1854C11528}"/>
    <cellStyle name="20% - Accent6 3 2 3 5" xfId="10486" xr:uid="{CCB21B0F-8CA5-4F5E-A2B7-6112847DE6A8}"/>
    <cellStyle name="20% - Accent6 3 2 4" xfId="1483" xr:uid="{00000000-0005-0000-0000-00007C030000}"/>
    <cellStyle name="20% - Accent6 3 2 4 2" xfId="3713" xr:uid="{00000000-0005-0000-0000-00007D030000}"/>
    <cellStyle name="20% - Accent6 3 2 4 2 2" xfId="7935" xr:uid="{00000000-0005-0000-0000-00007E030000}"/>
    <cellStyle name="20% - Accent6 3 2 4 2 2 2" xfId="26560" xr:uid="{AD2310C8-371B-40AB-9C9A-52EFD2C9D5C0}"/>
    <cellStyle name="20% - Accent6 3 2 4 2 2 3" xfId="17261" xr:uid="{32EDFCAD-CCEB-4112-B1B3-3217C981DC32}"/>
    <cellStyle name="20% - Accent6 3 2 4 2 3" xfId="22343" xr:uid="{B76C255F-774D-4C74-B9C5-BA71D9CD10C9}"/>
    <cellStyle name="20% - Accent6 3 2 4 2 4" xfId="13044" xr:uid="{75D71D36-309C-4D65-AF2F-CB6BCF44C03C}"/>
    <cellStyle name="20% - Accent6 3 2 4 3" xfId="5790" xr:uid="{00000000-0005-0000-0000-00007F030000}"/>
    <cellStyle name="20% - Accent6 3 2 4 3 2" xfId="24415" xr:uid="{2FCEBC0D-78FD-44F6-9C99-AE8680A779BF}"/>
    <cellStyle name="20% - Accent6 3 2 4 3 3" xfId="15116" xr:uid="{391E7649-A628-48CE-914C-792556E05EBA}"/>
    <cellStyle name="20% - Accent6 3 2 4 4" xfId="20198" xr:uid="{9E65BFFA-A9BC-4F42-9388-43A0D9EE64F8}"/>
    <cellStyle name="20% - Accent6 3 2 4 5" xfId="10899" xr:uid="{37F7ED96-C3BC-46B0-9693-C221FEB3F034}"/>
    <cellStyle name="20% - Accent6 3 2 5" xfId="1897" xr:uid="{00000000-0005-0000-0000-000080030000}"/>
    <cellStyle name="20% - Accent6 3 2 5 2" xfId="4126" xr:uid="{00000000-0005-0000-0000-000081030000}"/>
    <cellStyle name="20% - Accent6 3 2 5 2 2" xfId="8348" xr:uid="{00000000-0005-0000-0000-000082030000}"/>
    <cellStyle name="20% - Accent6 3 2 5 2 2 2" xfId="26973" xr:uid="{8B5656BA-58A0-47FB-A74B-97FE97E09132}"/>
    <cellStyle name="20% - Accent6 3 2 5 2 2 3" xfId="17674" xr:uid="{4AC10B9B-61D1-4064-96EB-5D30AADB0084}"/>
    <cellStyle name="20% - Accent6 3 2 5 2 3" xfId="22756" xr:uid="{094CDB78-A2DC-4679-869E-4E4D46A04E97}"/>
    <cellStyle name="20% - Accent6 3 2 5 2 4" xfId="13457" xr:uid="{B98C3FA1-11F0-482B-8220-EFC4DA75E89E}"/>
    <cellStyle name="20% - Accent6 3 2 5 3" xfId="6203" xr:uid="{00000000-0005-0000-0000-000083030000}"/>
    <cellStyle name="20% - Accent6 3 2 5 3 2" xfId="24828" xr:uid="{346FCBB0-4443-4F80-AD90-04F8BEA32174}"/>
    <cellStyle name="20% - Accent6 3 2 5 3 3" xfId="15529" xr:uid="{E8AB6D8C-9344-4719-8D0B-8BA6FE02AFBD}"/>
    <cellStyle name="20% - Accent6 3 2 5 4" xfId="20611" xr:uid="{3AA72B4C-8B04-469A-ADFF-CBB928C22115}"/>
    <cellStyle name="20% - Accent6 3 2 5 5" xfId="11312" xr:uid="{E0C2C0B2-CA46-48D0-B2D2-D6BC27600F2A}"/>
    <cellStyle name="20% - Accent6 3 2 6" xfId="2310" xr:uid="{00000000-0005-0000-0000-000084030000}"/>
    <cellStyle name="20% - Accent6 3 2 6 2" xfId="6616" xr:uid="{00000000-0005-0000-0000-000085030000}"/>
    <cellStyle name="20% - Accent6 3 2 6 2 2" xfId="25241" xr:uid="{47EB921A-36CE-4DC4-9971-00C2DFB19B11}"/>
    <cellStyle name="20% - Accent6 3 2 6 2 3" xfId="15942" xr:uid="{1A8C1A83-7EBA-412B-84E1-57F34DAC42DE}"/>
    <cellStyle name="20% - Accent6 3 2 6 3" xfId="21024" xr:uid="{818D6110-ACBE-4C3C-B282-8D3BA0324DEE}"/>
    <cellStyle name="20% - Accent6 3 2 6 4" xfId="11725" xr:uid="{AA62859A-CA22-472F-BE4E-22F7DB9F87C7}"/>
    <cellStyle name="20% - Accent6 3 2 7" xfId="4550" xr:uid="{00000000-0005-0000-0000-000086030000}"/>
    <cellStyle name="20% - Accent6 3 2 7 2" xfId="23175" xr:uid="{590537C3-7919-4094-806D-AE8E76EB5986}"/>
    <cellStyle name="20% - Accent6 3 2 7 3" xfId="13876" xr:uid="{206E368A-5426-474F-A1E9-328D944E0E72}"/>
    <cellStyle name="20% - Accent6 3 2 8" xfId="9078" xr:uid="{55C63253-C10A-44F0-A9A1-D3E9AD1B1E77}"/>
    <cellStyle name="20% - Accent6 3 2 8 2" xfId="27701" xr:uid="{EC0B451F-D7BB-4FFD-A55E-922C489B041D}"/>
    <cellStyle name="20% - Accent6 3 2 8 3" xfId="18402" xr:uid="{74E0E36B-8C7F-4CB0-B1D6-9554FBE5DC59}"/>
    <cellStyle name="20% - Accent6 3 2 9" xfId="18958" xr:uid="{38348E18-FE79-45B3-847B-04C3DC91DAD7}"/>
    <cellStyle name="20% - Accent6 3 3" xfId="615" xr:uid="{00000000-0005-0000-0000-000087030000}"/>
    <cellStyle name="20% - Accent6 3 3 2" xfId="2886" xr:uid="{00000000-0005-0000-0000-000088030000}"/>
    <cellStyle name="20% - Accent6 3 3 2 2" xfId="7108" xr:uid="{00000000-0005-0000-0000-000089030000}"/>
    <cellStyle name="20% - Accent6 3 3 2 2 2" xfId="25733" xr:uid="{80AF79B7-4E6B-4075-8AE2-E0D626B78E41}"/>
    <cellStyle name="20% - Accent6 3 3 2 2 3" xfId="16434" xr:uid="{6A2E7984-EEE1-4741-89AE-C4317BD374A9}"/>
    <cellStyle name="20% - Accent6 3 3 2 3" xfId="21516" xr:uid="{754A7E66-2A20-4119-8784-499B31CD59EF}"/>
    <cellStyle name="20% - Accent6 3 3 2 4" xfId="12217" xr:uid="{D7EE4865-6D84-4AD4-B38A-7B00F98B5BA0}"/>
    <cellStyle name="20% - Accent6 3 3 3" xfId="4963" xr:uid="{00000000-0005-0000-0000-00008A030000}"/>
    <cellStyle name="20% - Accent6 3 3 3 2" xfId="23588" xr:uid="{011F1901-0647-4836-B9FD-6D071645AF94}"/>
    <cellStyle name="20% - Accent6 3 3 3 3" xfId="14289" xr:uid="{5AA7E078-B5AB-4671-99E0-B8C98812AB94}"/>
    <cellStyle name="20% - Accent6 3 3 4" xfId="9296" xr:uid="{68DBDAD1-945F-459A-93CE-56D312D1EDE4}"/>
    <cellStyle name="20% - Accent6 3 3 4 2" xfId="27910" xr:uid="{E4947B61-9DCC-4730-9261-53E8A006E2F4}"/>
    <cellStyle name="20% - Accent6 3 3 4 3" xfId="18611" xr:uid="{C6F33FAE-B884-4C99-812B-4467AD75F862}"/>
    <cellStyle name="20% - Accent6 3 3 5" xfId="19371" xr:uid="{23E6CB64-07A5-421A-83A3-6BD8C0012D45}"/>
    <cellStyle name="20% - Accent6 3 3 6" xfId="10072" xr:uid="{E08FC564-D29E-458D-A94E-789374CE5A44}"/>
    <cellStyle name="20% - Accent6 3 4" xfId="1068" xr:uid="{00000000-0005-0000-0000-00008B030000}"/>
    <cellStyle name="20% - Accent6 3 4 2" xfId="3299" xr:uid="{00000000-0005-0000-0000-00008C030000}"/>
    <cellStyle name="20% - Accent6 3 4 2 2" xfId="7521" xr:uid="{00000000-0005-0000-0000-00008D030000}"/>
    <cellStyle name="20% - Accent6 3 4 2 2 2" xfId="26146" xr:uid="{3E5A66BE-6D54-458F-B58E-012668435D6D}"/>
    <cellStyle name="20% - Accent6 3 4 2 2 3" xfId="16847" xr:uid="{0F6E6B9E-6552-4D57-A869-2D776E99266B}"/>
    <cellStyle name="20% - Accent6 3 4 2 3" xfId="21929" xr:uid="{4E4D3115-713E-4576-9046-CD4EE222A99E}"/>
    <cellStyle name="20% - Accent6 3 4 2 4" xfId="12630" xr:uid="{DB7BAE4B-F57D-4D5B-9741-318408B05C45}"/>
    <cellStyle name="20% - Accent6 3 4 3" xfId="5376" xr:uid="{00000000-0005-0000-0000-00008E030000}"/>
    <cellStyle name="20% - Accent6 3 4 3 2" xfId="24001" xr:uid="{30B521EA-7CE2-438B-91BD-1F651C41B2A3}"/>
    <cellStyle name="20% - Accent6 3 4 3 3" xfId="14702" xr:uid="{C980A725-3111-48DA-8ED5-BDB23BB021FF}"/>
    <cellStyle name="20% - Accent6 3 4 4" xfId="19784" xr:uid="{83C0E32F-298E-44AF-A3E5-CB856C2A3280}"/>
    <cellStyle name="20% - Accent6 3 4 5" xfId="10485" xr:uid="{A97E086B-8D76-4B95-B721-EC781FF7ED0A}"/>
    <cellStyle name="20% - Accent6 3 5" xfId="1482" xr:uid="{00000000-0005-0000-0000-00008F030000}"/>
    <cellStyle name="20% - Accent6 3 5 2" xfId="3712" xr:uid="{00000000-0005-0000-0000-000090030000}"/>
    <cellStyle name="20% - Accent6 3 5 2 2" xfId="7934" xr:uid="{00000000-0005-0000-0000-000091030000}"/>
    <cellStyle name="20% - Accent6 3 5 2 2 2" xfId="26559" xr:uid="{52B1FD4D-E78A-4CCE-AA26-CF6144640248}"/>
    <cellStyle name="20% - Accent6 3 5 2 2 3" xfId="17260" xr:uid="{FE7D8402-1E9D-4AEF-90F3-3834F6E82D30}"/>
    <cellStyle name="20% - Accent6 3 5 2 3" xfId="22342" xr:uid="{59D8DAC6-BCC1-47C5-8628-D7374B0DA72F}"/>
    <cellStyle name="20% - Accent6 3 5 2 4" xfId="13043" xr:uid="{00FA950A-2E6C-4BB3-B604-E737A5A254F6}"/>
    <cellStyle name="20% - Accent6 3 5 3" xfId="5789" xr:uid="{00000000-0005-0000-0000-000092030000}"/>
    <cellStyle name="20% - Accent6 3 5 3 2" xfId="24414" xr:uid="{CBFE45A1-8B86-4544-8D81-55893EE12685}"/>
    <cellStyle name="20% - Accent6 3 5 3 3" xfId="15115" xr:uid="{3A3A2D92-3A90-4C23-B4AE-370FB55CBE80}"/>
    <cellStyle name="20% - Accent6 3 5 4" xfId="20197" xr:uid="{3F47C83C-5B92-40B6-A4EE-29D88892C699}"/>
    <cellStyle name="20% - Accent6 3 5 5" xfId="10898" xr:uid="{94E7C899-F041-4F6A-889B-A6D93D84AA23}"/>
    <cellStyle name="20% - Accent6 3 6" xfId="1896" xr:uid="{00000000-0005-0000-0000-000093030000}"/>
    <cellStyle name="20% - Accent6 3 6 2" xfId="4125" xr:uid="{00000000-0005-0000-0000-000094030000}"/>
    <cellStyle name="20% - Accent6 3 6 2 2" xfId="8347" xr:uid="{00000000-0005-0000-0000-000095030000}"/>
    <cellStyle name="20% - Accent6 3 6 2 2 2" xfId="26972" xr:uid="{19F1B605-033E-428B-A7E6-0F19F8B1CDA0}"/>
    <cellStyle name="20% - Accent6 3 6 2 2 3" xfId="17673" xr:uid="{7337D3B2-4860-4925-8120-DBB98C3171B8}"/>
    <cellStyle name="20% - Accent6 3 6 2 3" xfId="22755" xr:uid="{19795334-0FF0-4C13-BBA7-B04EBF818F91}"/>
    <cellStyle name="20% - Accent6 3 6 2 4" xfId="13456" xr:uid="{C94A5CDA-D7F8-4DD3-BAE7-F9AC7DA7D9A6}"/>
    <cellStyle name="20% - Accent6 3 6 3" xfId="6202" xr:uid="{00000000-0005-0000-0000-000096030000}"/>
    <cellStyle name="20% - Accent6 3 6 3 2" xfId="24827" xr:uid="{7A263ACE-E12C-4597-899C-6FBA91B51498}"/>
    <cellStyle name="20% - Accent6 3 6 3 3" xfId="15528" xr:uid="{E60C31CD-70BA-4643-9092-AA1728ED77B6}"/>
    <cellStyle name="20% - Accent6 3 6 4" xfId="20610" xr:uid="{253E6C8E-3803-4D8E-A750-2BE676C7C65D}"/>
    <cellStyle name="20% - Accent6 3 6 5" xfId="11311" xr:uid="{8C8FB553-2763-4F56-BDB6-DF6F3CC99383}"/>
    <cellStyle name="20% - Accent6 3 7" xfId="2309" xr:uid="{00000000-0005-0000-0000-000097030000}"/>
    <cellStyle name="20% - Accent6 3 7 2" xfId="6615" xr:uid="{00000000-0005-0000-0000-000098030000}"/>
    <cellStyle name="20% - Accent6 3 7 2 2" xfId="25240" xr:uid="{6CD52668-E326-4C5B-9DB7-77A8345E2761}"/>
    <cellStyle name="20% - Accent6 3 7 2 3" xfId="15941" xr:uid="{A37E7F96-051C-464E-9471-7E06E50CD361}"/>
    <cellStyle name="20% - Accent6 3 7 3" xfId="21023" xr:uid="{4F58E0AD-2D8A-4B6E-BF7D-3F8611A4C05A}"/>
    <cellStyle name="20% - Accent6 3 7 4" xfId="11724" xr:uid="{E0FD3769-6C57-41FE-9DAD-ADEE6860107D}"/>
    <cellStyle name="20% - Accent6 3 8" xfId="4549" xr:uid="{00000000-0005-0000-0000-000099030000}"/>
    <cellStyle name="20% - Accent6 3 8 2" xfId="23174" xr:uid="{75AC54F7-1CE8-4CC2-BF5C-A4B76AEAA360}"/>
    <cellStyle name="20% - Accent6 3 8 3" xfId="13875" xr:uid="{AA125FC1-A98E-496F-AB74-3CE44E297706}"/>
    <cellStyle name="20% - Accent6 3 9" xfId="8871" xr:uid="{6A653046-C3D6-46DC-9DAA-DA1241CBE9F0}"/>
    <cellStyle name="20% - Accent6 3 9 2" xfId="27494" xr:uid="{28DC1E33-22CF-4FC5-9ECE-C10C79B309BA}"/>
    <cellStyle name="20% - Accent6 3 9 3" xfId="18195" xr:uid="{722EA0EF-AD89-4953-8951-CB0ABAE103AB}"/>
    <cellStyle name="20% - Accent6 4" xfId="48" xr:uid="{00000000-0005-0000-0000-00009A030000}"/>
    <cellStyle name="20% - Accent6 4 10" xfId="9660" xr:uid="{C3FE2F3E-C049-4A1A-B854-B36B0B246018}"/>
    <cellStyle name="20% - Accent6 4 2" xfId="617" xr:uid="{00000000-0005-0000-0000-00009B030000}"/>
    <cellStyle name="20% - Accent6 4 2 2" xfId="2888" xr:uid="{00000000-0005-0000-0000-00009C030000}"/>
    <cellStyle name="20% - Accent6 4 2 2 2" xfId="7110" xr:uid="{00000000-0005-0000-0000-00009D030000}"/>
    <cellStyle name="20% - Accent6 4 2 2 2 2" xfId="25735" xr:uid="{9D6291AD-3D7B-4F8F-9F36-E16BA03CFDA1}"/>
    <cellStyle name="20% - Accent6 4 2 2 2 3" xfId="16436" xr:uid="{A6E76C3B-C3E2-4620-8E17-40AE88B9698B}"/>
    <cellStyle name="20% - Accent6 4 2 2 3" xfId="21518" xr:uid="{F012270B-1474-4492-B128-97A0218B5F42}"/>
    <cellStyle name="20% - Accent6 4 2 2 4" xfId="12219" xr:uid="{0C46193E-4BC9-4398-93BC-4ED638FF9515}"/>
    <cellStyle name="20% - Accent6 4 2 3" xfId="4965" xr:uid="{00000000-0005-0000-0000-00009E030000}"/>
    <cellStyle name="20% - Accent6 4 2 3 2" xfId="23590" xr:uid="{F26274FA-BDFC-45CE-BFDF-0513C9AC6F35}"/>
    <cellStyle name="20% - Accent6 4 2 3 3" xfId="14291" xr:uid="{64BA94E4-F4B9-482C-A428-3B755AE09E58}"/>
    <cellStyle name="20% - Accent6 4 2 4" xfId="9382" xr:uid="{704ED43C-A59A-4E80-A03F-B933767E3A55}"/>
    <cellStyle name="20% - Accent6 4 2 4 2" xfId="27996" xr:uid="{8C8F492A-8094-4027-ADA4-8316A0116E9D}"/>
    <cellStyle name="20% - Accent6 4 2 4 3" xfId="18697" xr:uid="{42C38690-EDC8-451B-B329-550B55BABB71}"/>
    <cellStyle name="20% - Accent6 4 2 5" xfId="19373" xr:uid="{8E2EE80F-5121-4BC3-8A13-E90D357352B5}"/>
    <cellStyle name="20% - Accent6 4 2 6" xfId="10074" xr:uid="{559FADF7-8099-46BA-AFDF-09D31A090EC7}"/>
    <cellStyle name="20% - Accent6 4 3" xfId="1070" xr:uid="{00000000-0005-0000-0000-00009F030000}"/>
    <cellStyle name="20% - Accent6 4 3 2" xfId="3301" xr:uid="{00000000-0005-0000-0000-0000A0030000}"/>
    <cellStyle name="20% - Accent6 4 3 2 2" xfId="7523" xr:uid="{00000000-0005-0000-0000-0000A1030000}"/>
    <cellStyle name="20% - Accent6 4 3 2 2 2" xfId="26148" xr:uid="{8A8F975E-4044-4384-81B0-8C7FEEFA5614}"/>
    <cellStyle name="20% - Accent6 4 3 2 2 3" xfId="16849" xr:uid="{C97C74D5-9691-4248-B6D8-DAD47D971D89}"/>
    <cellStyle name="20% - Accent6 4 3 2 3" xfId="21931" xr:uid="{6F589949-7A45-404A-B3F5-AA69F079E8E6}"/>
    <cellStyle name="20% - Accent6 4 3 2 4" xfId="12632" xr:uid="{3C5411BC-72B6-40C3-BC0B-A3FF7F28D633}"/>
    <cellStyle name="20% - Accent6 4 3 3" xfId="5378" xr:uid="{00000000-0005-0000-0000-0000A2030000}"/>
    <cellStyle name="20% - Accent6 4 3 3 2" xfId="24003" xr:uid="{20C767CC-210E-4BD8-B8A2-A76A7E9658DB}"/>
    <cellStyle name="20% - Accent6 4 3 3 3" xfId="14704" xr:uid="{15C3193C-85F3-44C1-BBD9-02016B821004}"/>
    <cellStyle name="20% - Accent6 4 3 4" xfId="19786" xr:uid="{A4CF8A8C-D571-4328-8E49-A2C439039F3C}"/>
    <cellStyle name="20% - Accent6 4 3 5" xfId="10487" xr:uid="{69578C2F-1A86-436C-ACF5-F4B4CBBACE6B}"/>
    <cellStyle name="20% - Accent6 4 4" xfId="1484" xr:uid="{00000000-0005-0000-0000-0000A3030000}"/>
    <cellStyle name="20% - Accent6 4 4 2" xfId="3714" xr:uid="{00000000-0005-0000-0000-0000A4030000}"/>
    <cellStyle name="20% - Accent6 4 4 2 2" xfId="7936" xr:uid="{00000000-0005-0000-0000-0000A5030000}"/>
    <cellStyle name="20% - Accent6 4 4 2 2 2" xfId="26561" xr:uid="{149BBD80-527A-487B-BC67-87692A7A0320}"/>
    <cellStyle name="20% - Accent6 4 4 2 2 3" xfId="17262" xr:uid="{71AE740B-28FD-4F72-8886-0EA5DEBD155C}"/>
    <cellStyle name="20% - Accent6 4 4 2 3" xfId="22344" xr:uid="{2EA161E8-7308-429C-A1C0-09BF1348227B}"/>
    <cellStyle name="20% - Accent6 4 4 2 4" xfId="13045" xr:uid="{CB132747-FF18-49DB-8539-6F08ADD3E8AC}"/>
    <cellStyle name="20% - Accent6 4 4 3" xfId="5791" xr:uid="{00000000-0005-0000-0000-0000A6030000}"/>
    <cellStyle name="20% - Accent6 4 4 3 2" xfId="24416" xr:uid="{2C99AB26-C195-4011-8B1F-6FF2C652A96B}"/>
    <cellStyle name="20% - Accent6 4 4 3 3" xfId="15117" xr:uid="{1AC6EE0D-6D3D-44BB-BE76-F314618B3D31}"/>
    <cellStyle name="20% - Accent6 4 4 4" xfId="20199" xr:uid="{27C6ADFF-F5A9-4744-AB04-B92A8F3822A9}"/>
    <cellStyle name="20% - Accent6 4 4 5" xfId="10900" xr:uid="{7A576D9A-092F-4DF1-8042-40C658CF44DF}"/>
    <cellStyle name="20% - Accent6 4 5" xfId="1898" xr:uid="{00000000-0005-0000-0000-0000A7030000}"/>
    <cellStyle name="20% - Accent6 4 5 2" xfId="4127" xr:uid="{00000000-0005-0000-0000-0000A8030000}"/>
    <cellStyle name="20% - Accent6 4 5 2 2" xfId="8349" xr:uid="{00000000-0005-0000-0000-0000A9030000}"/>
    <cellStyle name="20% - Accent6 4 5 2 2 2" xfId="26974" xr:uid="{662DD1B5-09A1-406C-B128-E2425ECD7CC0}"/>
    <cellStyle name="20% - Accent6 4 5 2 2 3" xfId="17675" xr:uid="{15B7A66E-E162-4DEC-91C3-744769C12C22}"/>
    <cellStyle name="20% - Accent6 4 5 2 3" xfId="22757" xr:uid="{D5085E81-2A27-4E01-9B2D-3809C3BA4089}"/>
    <cellStyle name="20% - Accent6 4 5 2 4" xfId="13458" xr:uid="{79227C7C-BCE4-4F67-AC37-4B2F3A8A598D}"/>
    <cellStyle name="20% - Accent6 4 5 3" xfId="6204" xr:uid="{00000000-0005-0000-0000-0000AA030000}"/>
    <cellStyle name="20% - Accent6 4 5 3 2" xfId="24829" xr:uid="{9717D777-E8B7-428D-8489-5158CFE135CE}"/>
    <cellStyle name="20% - Accent6 4 5 3 3" xfId="15530" xr:uid="{EBC10A39-4615-4C97-A183-A7C17F36DD28}"/>
    <cellStyle name="20% - Accent6 4 5 4" xfId="20612" xr:uid="{730FDC14-335D-40FD-968A-743795AFF955}"/>
    <cellStyle name="20% - Accent6 4 5 5" xfId="11313" xr:uid="{9BAC5DDF-B681-4D1C-A35E-4B6E201315AF}"/>
    <cellStyle name="20% - Accent6 4 6" xfId="2311" xr:uid="{00000000-0005-0000-0000-0000AB030000}"/>
    <cellStyle name="20% - Accent6 4 6 2" xfId="6617" xr:uid="{00000000-0005-0000-0000-0000AC030000}"/>
    <cellStyle name="20% - Accent6 4 6 2 2" xfId="25242" xr:uid="{07FBE3EC-BC40-4133-9681-739DBEA3F6CE}"/>
    <cellStyle name="20% - Accent6 4 6 2 3" xfId="15943" xr:uid="{4D9E2E45-33E3-47C0-90FE-203BAE68D90D}"/>
    <cellStyle name="20% - Accent6 4 6 3" xfId="21025" xr:uid="{E1AEEA16-457C-4F16-A890-C2052D9CF758}"/>
    <cellStyle name="20% - Accent6 4 6 4" xfId="11726" xr:uid="{8130E9E5-3F1C-4CAC-BEE7-983B9459DA2F}"/>
    <cellStyle name="20% - Accent6 4 7" xfId="4551" xr:uid="{00000000-0005-0000-0000-0000AD030000}"/>
    <cellStyle name="20% - Accent6 4 7 2" xfId="23176" xr:uid="{9A317107-1081-4963-8519-3FDBE89EA7A7}"/>
    <cellStyle name="20% - Accent6 4 7 3" xfId="13877" xr:uid="{65B0E6D7-C98C-4480-AF81-D7789D216406}"/>
    <cellStyle name="20% - Accent6 4 8" xfId="8957" xr:uid="{03E1DA3A-6A3F-4C0D-9844-2D38E7BA13BC}"/>
    <cellStyle name="20% - Accent6 4 8 2" xfId="27580" xr:uid="{E9B33F31-CE6A-447F-A4E8-ADACDDB474B4}"/>
    <cellStyle name="20% - Accent6 4 8 3" xfId="18281" xr:uid="{57487E36-71F4-4475-B1A0-48A566365FFD}"/>
    <cellStyle name="20% - Accent6 4 9" xfId="18959" xr:uid="{CB599EE9-6066-41C1-9778-261B5AEB1252}"/>
    <cellStyle name="20% - Accent6 5" xfId="610" xr:uid="{00000000-0005-0000-0000-0000AE030000}"/>
    <cellStyle name="20% - Accent6 5 2" xfId="2881" xr:uid="{00000000-0005-0000-0000-0000AF030000}"/>
    <cellStyle name="20% - Accent6 5 2 2" xfId="7103" xr:uid="{00000000-0005-0000-0000-0000B0030000}"/>
    <cellStyle name="20% - Accent6 5 2 2 2" xfId="25728" xr:uid="{8BEF3F3D-0756-42BC-9B41-73BC210F2CCA}"/>
    <cellStyle name="20% - Accent6 5 2 2 3" xfId="16429" xr:uid="{2F24C56F-D950-4223-81AB-3334FCFEB0EB}"/>
    <cellStyle name="20% - Accent6 5 2 3" xfId="21511" xr:uid="{65D5AB77-DE2C-41DC-8A41-7A1F0C6AD85D}"/>
    <cellStyle name="20% - Accent6 5 2 4" xfId="12212" xr:uid="{078F0441-6647-45D1-9550-736AA11504CE}"/>
    <cellStyle name="20% - Accent6 5 3" xfId="4958" xr:uid="{00000000-0005-0000-0000-0000B1030000}"/>
    <cellStyle name="20% - Accent6 5 3 2" xfId="23583" xr:uid="{7133714F-516C-452F-8F77-46302B9C96EB}"/>
    <cellStyle name="20% - Accent6 5 3 3" xfId="14284" xr:uid="{0EE9B571-0773-48A9-BC0C-1205DDED6390}"/>
    <cellStyle name="20% - Accent6 5 4" xfId="9191" xr:uid="{C812E2E5-5572-4E86-9CB6-C7C53792C044}"/>
    <cellStyle name="20% - Accent6 5 4 2" xfId="27807" xr:uid="{4C774BBD-04AA-40EC-A6CB-9876C011F67B}"/>
    <cellStyle name="20% - Accent6 5 4 3" xfId="18508" xr:uid="{18A7A38A-A85F-401A-B3D3-B3655DC8C145}"/>
    <cellStyle name="20% - Accent6 5 5" xfId="19366" xr:uid="{85C5D5C8-D478-41CB-A164-3754B864351C}"/>
    <cellStyle name="20% - Accent6 5 6" xfId="10067" xr:uid="{400A942F-6911-4729-9331-9F00BCD3EDC8}"/>
    <cellStyle name="20% - Accent6 6" xfId="1063" xr:uid="{00000000-0005-0000-0000-0000B2030000}"/>
    <cellStyle name="20% - Accent6 6 2" xfId="3294" xr:uid="{00000000-0005-0000-0000-0000B3030000}"/>
    <cellStyle name="20% - Accent6 6 2 2" xfId="7516" xr:uid="{00000000-0005-0000-0000-0000B4030000}"/>
    <cellStyle name="20% - Accent6 6 2 2 2" xfId="26141" xr:uid="{89CD8DA8-4C22-4685-A4D1-078EEDEB67CA}"/>
    <cellStyle name="20% - Accent6 6 2 2 3" xfId="16842" xr:uid="{260F3510-8BC9-4262-B3A4-B1E358A52146}"/>
    <cellStyle name="20% - Accent6 6 2 3" xfId="21924" xr:uid="{C3EC1233-2FBB-46E8-9EB5-4E533C8E598A}"/>
    <cellStyle name="20% - Accent6 6 2 4" xfId="12625" xr:uid="{50F28723-CCBF-4F51-A29F-FE2584CD9300}"/>
    <cellStyle name="20% - Accent6 6 3" xfId="5371" xr:uid="{00000000-0005-0000-0000-0000B5030000}"/>
    <cellStyle name="20% - Accent6 6 3 2" xfId="23996" xr:uid="{03456B06-7D91-4328-9E44-D11D3799327F}"/>
    <cellStyle name="20% - Accent6 6 3 3" xfId="14697" xr:uid="{EFB4AD75-470C-4EA2-9F88-A47E8FC4315A}"/>
    <cellStyle name="20% - Accent6 6 4" xfId="19779" xr:uid="{1EFADF95-A5C7-4D60-8911-856A54E2AC1C}"/>
    <cellStyle name="20% - Accent6 6 5" xfId="10480" xr:uid="{CB7D9362-3CA9-45EE-B541-85E009DDE0E3}"/>
    <cellStyle name="20% - Accent6 7" xfId="1477" xr:uid="{00000000-0005-0000-0000-0000B6030000}"/>
    <cellStyle name="20% - Accent6 7 2" xfId="3707" xr:uid="{00000000-0005-0000-0000-0000B7030000}"/>
    <cellStyle name="20% - Accent6 7 2 2" xfId="7929" xr:uid="{00000000-0005-0000-0000-0000B8030000}"/>
    <cellStyle name="20% - Accent6 7 2 2 2" xfId="26554" xr:uid="{43F612EB-CC0F-42E4-870A-A3041EB08FEE}"/>
    <cellStyle name="20% - Accent6 7 2 2 3" xfId="17255" xr:uid="{97B98213-8F2C-4781-B384-C42ABF62622A}"/>
    <cellStyle name="20% - Accent6 7 2 3" xfId="22337" xr:uid="{8F3AFF4D-24AD-40BD-8A16-114FE31661E7}"/>
    <cellStyle name="20% - Accent6 7 2 4" xfId="13038" xr:uid="{D4554CB3-90AE-45B7-903C-E045D925249A}"/>
    <cellStyle name="20% - Accent6 7 3" xfId="5784" xr:uid="{00000000-0005-0000-0000-0000B9030000}"/>
    <cellStyle name="20% - Accent6 7 3 2" xfId="24409" xr:uid="{975DFDB2-5BF9-4465-87E6-F402852F40F3}"/>
    <cellStyle name="20% - Accent6 7 3 3" xfId="15110" xr:uid="{A11EFA0E-3FDF-4B97-AFD2-43544A2A9324}"/>
    <cellStyle name="20% - Accent6 7 4" xfId="20192" xr:uid="{5CB6AE1D-DD80-4505-BD95-F64C102B1F65}"/>
    <cellStyle name="20% - Accent6 7 5" xfId="10893" xr:uid="{A2A93EF4-D98C-4420-BAAE-928B0ACCF5E4}"/>
    <cellStyle name="20% - Accent6 8" xfId="1891" xr:uid="{00000000-0005-0000-0000-0000BA030000}"/>
    <cellStyle name="20% - Accent6 8 2" xfId="4120" xr:uid="{00000000-0005-0000-0000-0000BB030000}"/>
    <cellStyle name="20% - Accent6 8 2 2" xfId="8342" xr:uid="{00000000-0005-0000-0000-0000BC030000}"/>
    <cellStyle name="20% - Accent6 8 2 2 2" xfId="26967" xr:uid="{D777B732-0D2A-450B-AA83-2A0E409EBB95}"/>
    <cellStyle name="20% - Accent6 8 2 2 3" xfId="17668" xr:uid="{A48F01A5-E9F4-47F3-A5CC-19442D6846BA}"/>
    <cellStyle name="20% - Accent6 8 2 3" xfId="22750" xr:uid="{EDDB0AE8-0DF3-46B1-8294-46D9AB0726F6}"/>
    <cellStyle name="20% - Accent6 8 2 4" xfId="13451" xr:uid="{23528A26-95F4-4B9F-A107-3E6D6BB3799B}"/>
    <cellStyle name="20% - Accent6 8 3" xfId="6197" xr:uid="{00000000-0005-0000-0000-0000BD030000}"/>
    <cellStyle name="20% - Accent6 8 3 2" xfId="24822" xr:uid="{DB87E41C-6592-411D-BFA6-8B37727F43F5}"/>
    <cellStyle name="20% - Accent6 8 3 3" xfId="15523" xr:uid="{DBD176A4-AD0D-4CBA-8B27-5D01407EB394}"/>
    <cellStyle name="20% - Accent6 8 4" xfId="20605" xr:uid="{C347F7E9-0F69-4F94-A93F-DF8F498C0298}"/>
    <cellStyle name="20% - Accent6 8 5" xfId="11306" xr:uid="{BF5C686F-C47E-4569-B4F1-FE1121D57FDC}"/>
    <cellStyle name="20% - Accent6 9" xfId="2304" xr:uid="{00000000-0005-0000-0000-0000BE030000}"/>
    <cellStyle name="20% - Accent6 9 2" xfId="6610" xr:uid="{00000000-0005-0000-0000-0000BF030000}"/>
    <cellStyle name="20% - Accent6 9 2 2" xfId="25235" xr:uid="{BBBB1823-2280-4208-8D0D-ADF66E0FE067}"/>
    <cellStyle name="20% - Accent6 9 2 3" xfId="15936" xr:uid="{2C22794D-0B53-4116-8978-34C4A4F7041E}"/>
    <cellStyle name="20% - Accent6 9 3" xfId="21018" xr:uid="{191877D9-2197-45B8-A2B2-CEC3A0D4ED24}"/>
    <cellStyle name="20% - Accent6 9 4" xfId="11719" xr:uid="{FF72FD8F-7DC3-40C9-9F6F-BAA65A607194}"/>
    <cellStyle name="40% - Accent1" xfId="49" builtinId="31" customBuiltin="1"/>
    <cellStyle name="40% - Accent1 10" xfId="4552" xr:uid="{00000000-0005-0000-0000-0000C1030000}"/>
    <cellStyle name="40% - Accent1 10 2" xfId="23177" xr:uid="{6BAC834E-E7B3-46E8-A0C0-48D6E4159DC4}"/>
    <cellStyle name="40% - Accent1 10 3" xfId="13878" xr:uid="{7D5F46BF-11E0-40B5-8DDF-5EA521989E8E}"/>
    <cellStyle name="40% - Accent1 11" xfId="8759" xr:uid="{E0AA4078-00FF-4C00-81ED-1F048AC6C533}"/>
    <cellStyle name="40% - Accent1 11 2" xfId="27382" xr:uid="{C2EBC990-569A-4667-B786-4208C5C88F10}"/>
    <cellStyle name="40% - Accent1 11 3" xfId="18083" xr:uid="{DD4D50CF-B354-41AD-B871-126523C54FC5}"/>
    <cellStyle name="40% - Accent1 12" xfId="18960" xr:uid="{BB6F87CF-9572-490C-AA48-E51B73AF44A3}"/>
    <cellStyle name="40% - Accent1 13" xfId="9661" xr:uid="{C9038A0B-9D29-4177-8BE1-1D3926A2D5CD}"/>
    <cellStyle name="40% - Accent1 2" xfId="50" xr:uid="{00000000-0005-0000-0000-0000C2030000}"/>
    <cellStyle name="40% - Accent1 2 10" xfId="8798" xr:uid="{82026451-631C-40CA-BC49-BE5DA2EA921A}"/>
    <cellStyle name="40% - Accent1 2 10 2" xfId="27421" xr:uid="{30DD7639-0FDB-47E0-AC43-2D679EB55D5C}"/>
    <cellStyle name="40% - Accent1 2 10 3" xfId="18122" xr:uid="{BC5DBB49-DC48-440D-B353-C02FBEF00A02}"/>
    <cellStyle name="40% - Accent1 2 11" xfId="18961" xr:uid="{2BF9DF79-E0C6-4D6C-84A8-EE4950F387FD}"/>
    <cellStyle name="40% - Accent1 2 12" xfId="9662" xr:uid="{855CC13D-B07E-4C85-A6B2-178DC32D7498}"/>
    <cellStyle name="40% - Accent1 2 2" xfId="51" xr:uid="{00000000-0005-0000-0000-0000C3030000}"/>
    <cellStyle name="40% - Accent1 2 2 10" xfId="18962" xr:uid="{65292BDD-A5A2-4A76-BC11-2229D3D95E59}"/>
    <cellStyle name="40% - Accent1 2 2 11" xfId="9663" xr:uid="{D4DC3E23-1204-4B84-97C6-ADE08ACD4A2D}"/>
    <cellStyle name="40% - Accent1 2 2 2" xfId="52" xr:uid="{00000000-0005-0000-0000-0000C4030000}"/>
    <cellStyle name="40% - Accent1 2 2 2 10" xfId="9664" xr:uid="{6BBDF507-9E99-4683-9C99-D254FD47447F}"/>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2 2 2" xfId="25739" xr:uid="{2EC2686E-54A2-4016-8979-55FAC8C19C85}"/>
    <cellStyle name="40% - Accent1 2 2 2 2 2 2 3" xfId="16440" xr:uid="{2E6F3571-951D-4E97-883F-8021C259BD9F}"/>
    <cellStyle name="40% - Accent1 2 2 2 2 2 3" xfId="21522" xr:uid="{709AC6FE-D629-4373-ADC4-F571FA97CD70}"/>
    <cellStyle name="40% - Accent1 2 2 2 2 2 4" xfId="12223" xr:uid="{BBC64469-2C3E-4C84-82DD-E5DD63BC8B1F}"/>
    <cellStyle name="40% - Accent1 2 2 2 2 3" xfId="4969" xr:uid="{00000000-0005-0000-0000-0000C8030000}"/>
    <cellStyle name="40% - Accent1 2 2 2 2 3 2" xfId="23594" xr:uid="{8F90589E-EDF1-42DA-88C4-3C6B7D467513}"/>
    <cellStyle name="40% - Accent1 2 2 2 2 3 3" xfId="14295" xr:uid="{826B435C-CAA5-44E3-9DB1-C437272BDA11}"/>
    <cellStyle name="40% - Accent1 2 2 2 2 4" xfId="9533" xr:uid="{757B5AC4-115E-4B90-B4EA-505C31F9B178}"/>
    <cellStyle name="40% - Accent1 2 2 2 2 4 2" xfId="28147" xr:uid="{19ECF12E-88C6-4E38-9C36-AC58162C9062}"/>
    <cellStyle name="40% - Accent1 2 2 2 2 4 3" xfId="18848" xr:uid="{48A75838-6DCB-4D29-AA4E-008CF6E6C6F6}"/>
    <cellStyle name="40% - Accent1 2 2 2 2 5" xfId="19377" xr:uid="{C4E33985-ABF9-4D8F-9D42-50514F2C35B0}"/>
    <cellStyle name="40% - Accent1 2 2 2 2 6" xfId="10078" xr:uid="{6D82FA7B-5427-42CB-8531-FCC104501FCF}"/>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2 2 2" xfId="26152" xr:uid="{6818C707-938A-4CF9-AF75-997F247BA706}"/>
    <cellStyle name="40% - Accent1 2 2 2 3 2 2 3" xfId="16853" xr:uid="{76A7E215-56A9-4AB9-9CB2-54A5189A7940}"/>
    <cellStyle name="40% - Accent1 2 2 2 3 2 3" xfId="21935" xr:uid="{3CE7ECEB-FEE8-44E3-AC8E-BFE0E1C2970C}"/>
    <cellStyle name="40% - Accent1 2 2 2 3 2 4" xfId="12636" xr:uid="{EDC31496-3025-4082-B03C-AD1C5EB2AD7E}"/>
    <cellStyle name="40% - Accent1 2 2 2 3 3" xfId="5382" xr:uid="{00000000-0005-0000-0000-0000CC030000}"/>
    <cellStyle name="40% - Accent1 2 2 2 3 3 2" xfId="24007" xr:uid="{42DCA8D7-66BA-477C-A81E-8C6649679CF5}"/>
    <cellStyle name="40% - Accent1 2 2 2 3 3 3" xfId="14708" xr:uid="{2DA1F6C1-BFAF-4A80-A05C-C8F7CDBB2447}"/>
    <cellStyle name="40% - Accent1 2 2 2 3 4" xfId="19790" xr:uid="{8B2C6379-AFA4-4DF6-8585-5677F0C0C2E9}"/>
    <cellStyle name="40% - Accent1 2 2 2 3 5" xfId="10491" xr:uid="{047B9878-780D-4BA0-B1F4-B64DB2CF28E3}"/>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2 2 2" xfId="26565" xr:uid="{A18ECB01-667B-4F6D-A696-DDAB29E5BE84}"/>
    <cellStyle name="40% - Accent1 2 2 2 4 2 2 3" xfId="17266" xr:uid="{FDDDB5EF-13ED-48AF-B8E8-FA0F8F56281B}"/>
    <cellStyle name="40% - Accent1 2 2 2 4 2 3" xfId="22348" xr:uid="{C6309277-A7F6-4399-A25F-5C6631FF3410}"/>
    <cellStyle name="40% - Accent1 2 2 2 4 2 4" xfId="13049" xr:uid="{8B77EFBD-30C6-4E1B-B52B-DCFFC50B1707}"/>
    <cellStyle name="40% - Accent1 2 2 2 4 3" xfId="5795" xr:uid="{00000000-0005-0000-0000-0000D0030000}"/>
    <cellStyle name="40% - Accent1 2 2 2 4 3 2" xfId="24420" xr:uid="{3A6646FF-16DA-4CBE-8158-1734883CC348}"/>
    <cellStyle name="40% - Accent1 2 2 2 4 3 3" xfId="15121" xr:uid="{D341E6A5-E927-4F31-A3E0-8AD5A469AF8D}"/>
    <cellStyle name="40% - Accent1 2 2 2 4 4" xfId="20203" xr:uid="{5BAD02C7-129E-4BDC-8A6C-108769BE69E0}"/>
    <cellStyle name="40% - Accent1 2 2 2 4 5" xfId="10904" xr:uid="{51FBD8A7-E315-4DAF-AF72-FB24E16312C9}"/>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2 2 2" xfId="26978" xr:uid="{6C958C3C-1B66-49FC-8B76-D08F51EE9BD8}"/>
    <cellStyle name="40% - Accent1 2 2 2 5 2 2 3" xfId="17679" xr:uid="{C4DBF708-6C98-4916-BF66-783AC7EAD80C}"/>
    <cellStyle name="40% - Accent1 2 2 2 5 2 3" xfId="22761" xr:uid="{0FA89CFF-42CF-475C-9A72-3BBC83FBF1B1}"/>
    <cellStyle name="40% - Accent1 2 2 2 5 2 4" xfId="13462" xr:uid="{21E786B8-EE89-4FE5-BF01-1C7F59833AE1}"/>
    <cellStyle name="40% - Accent1 2 2 2 5 3" xfId="6208" xr:uid="{00000000-0005-0000-0000-0000D4030000}"/>
    <cellStyle name="40% - Accent1 2 2 2 5 3 2" xfId="24833" xr:uid="{C54A1C93-9E05-4FC4-A936-BAE7DB1A6084}"/>
    <cellStyle name="40% - Accent1 2 2 2 5 3 3" xfId="15534" xr:uid="{5B01E6AB-3F8E-4C0B-A2EB-7CC1A7978E62}"/>
    <cellStyle name="40% - Accent1 2 2 2 5 4" xfId="20616" xr:uid="{5A70CDF2-8D30-4DB7-A60A-98B0E08A71A8}"/>
    <cellStyle name="40% - Accent1 2 2 2 5 5" xfId="11317" xr:uid="{B4D33A5F-2A9D-44CF-A14D-652350BF69C3}"/>
    <cellStyle name="40% - Accent1 2 2 2 6" xfId="2315" xr:uid="{00000000-0005-0000-0000-0000D5030000}"/>
    <cellStyle name="40% - Accent1 2 2 2 6 2" xfId="6621" xr:uid="{00000000-0005-0000-0000-0000D6030000}"/>
    <cellStyle name="40% - Accent1 2 2 2 6 2 2" xfId="25246" xr:uid="{474CF59A-2009-4CEA-8B04-4BA8DC3F7945}"/>
    <cellStyle name="40% - Accent1 2 2 2 6 2 3" xfId="15947" xr:uid="{E99D4CE3-6564-4790-879F-9E720A019356}"/>
    <cellStyle name="40% - Accent1 2 2 2 6 3" xfId="21029" xr:uid="{D99AC737-FB0E-4708-897C-DB197788CA26}"/>
    <cellStyle name="40% - Accent1 2 2 2 6 4" xfId="11730" xr:uid="{3173E64F-75F1-4972-B922-A2E6FFF76F4D}"/>
    <cellStyle name="40% - Accent1 2 2 2 7" xfId="4555" xr:uid="{00000000-0005-0000-0000-0000D7030000}"/>
    <cellStyle name="40% - Accent1 2 2 2 7 2" xfId="23180" xr:uid="{AFC09FEE-3792-45DA-8F5B-0E6489FE91FE}"/>
    <cellStyle name="40% - Accent1 2 2 2 7 3" xfId="13881" xr:uid="{389E6B80-5C7B-4162-9FFF-9B9B4AA09328}"/>
    <cellStyle name="40% - Accent1 2 2 2 8" xfId="9108" xr:uid="{1189B5E8-DD3C-4F9A-ACD3-DB853C0AC60B}"/>
    <cellStyle name="40% - Accent1 2 2 2 8 2" xfId="27731" xr:uid="{A93A767D-1414-4056-A79F-9208A8DA055A}"/>
    <cellStyle name="40% - Accent1 2 2 2 8 3" xfId="18432" xr:uid="{DDBC8FE7-4071-4544-8727-82EE5CAC7542}"/>
    <cellStyle name="40% - Accent1 2 2 2 9" xfId="18963" xr:uid="{AAA18526-DEAE-4A13-A813-A96C6739846B}"/>
    <cellStyle name="40% - Accent1 2 2 3" xfId="620" xr:uid="{00000000-0005-0000-0000-0000D8030000}"/>
    <cellStyle name="40% - Accent1 2 2 3 2" xfId="2891" xr:uid="{00000000-0005-0000-0000-0000D9030000}"/>
    <cellStyle name="40% - Accent1 2 2 3 2 2" xfId="7113" xr:uid="{00000000-0005-0000-0000-0000DA030000}"/>
    <cellStyle name="40% - Accent1 2 2 3 2 2 2" xfId="25738" xr:uid="{A9F84FA1-F4A0-4EAC-A7D3-39338C91E8B8}"/>
    <cellStyle name="40% - Accent1 2 2 3 2 2 3" xfId="16439" xr:uid="{8D350A4C-883C-49D7-A924-F0DCED90BD05}"/>
    <cellStyle name="40% - Accent1 2 2 3 2 3" xfId="21521" xr:uid="{B733B7D5-D7A6-4443-9569-0AA8099762C3}"/>
    <cellStyle name="40% - Accent1 2 2 3 2 4" xfId="12222" xr:uid="{119A99C8-A364-4A0A-BD02-8F770E098ACE}"/>
    <cellStyle name="40% - Accent1 2 2 3 3" xfId="4968" xr:uid="{00000000-0005-0000-0000-0000DB030000}"/>
    <cellStyle name="40% - Accent1 2 2 3 3 2" xfId="23593" xr:uid="{C36F3B59-84A4-47CC-AB3A-847593D05BFB}"/>
    <cellStyle name="40% - Accent1 2 2 3 3 3" xfId="14294" xr:uid="{A0BE1626-4B4E-408B-A40B-F0A59E52A34F}"/>
    <cellStyle name="40% - Accent1 2 2 3 4" xfId="9326" xr:uid="{6D693950-F4D3-4A82-8C01-49E2379281D4}"/>
    <cellStyle name="40% - Accent1 2 2 3 4 2" xfId="27940" xr:uid="{4D0A8280-7BC1-49CC-8E73-FA51FDF0A160}"/>
    <cellStyle name="40% - Accent1 2 2 3 4 3" xfId="18641" xr:uid="{67A167C6-E5EF-431F-B172-B477197D2024}"/>
    <cellStyle name="40% - Accent1 2 2 3 5" xfId="19376" xr:uid="{C006AEC6-6514-446F-A769-4E87F526C504}"/>
    <cellStyle name="40% - Accent1 2 2 3 6" xfId="10077" xr:uid="{343A3D52-330F-4665-85B5-F54ADC8CF4B0}"/>
    <cellStyle name="40% - Accent1 2 2 4" xfId="1073" xr:uid="{00000000-0005-0000-0000-0000DC030000}"/>
    <cellStyle name="40% - Accent1 2 2 4 2" xfId="3304" xr:uid="{00000000-0005-0000-0000-0000DD030000}"/>
    <cellStyle name="40% - Accent1 2 2 4 2 2" xfId="7526" xr:uid="{00000000-0005-0000-0000-0000DE030000}"/>
    <cellStyle name="40% - Accent1 2 2 4 2 2 2" xfId="26151" xr:uid="{45D3352D-8EB4-486D-8FF1-E465A51830C4}"/>
    <cellStyle name="40% - Accent1 2 2 4 2 2 3" xfId="16852" xr:uid="{486E35D5-0C59-4FF6-8CCD-382B8685CBD2}"/>
    <cellStyle name="40% - Accent1 2 2 4 2 3" xfId="21934" xr:uid="{B924524B-7872-4C9D-8C64-909109B43CE5}"/>
    <cellStyle name="40% - Accent1 2 2 4 2 4" xfId="12635" xr:uid="{4F597A91-416E-4059-AAF9-8BF67D162268}"/>
    <cellStyle name="40% - Accent1 2 2 4 3" xfId="5381" xr:uid="{00000000-0005-0000-0000-0000DF030000}"/>
    <cellStyle name="40% - Accent1 2 2 4 3 2" xfId="24006" xr:uid="{C498A30A-DCC0-42BD-B257-39FF9FAD2538}"/>
    <cellStyle name="40% - Accent1 2 2 4 3 3" xfId="14707" xr:uid="{F8501544-BBBD-496F-93AC-E8772CD2ED87}"/>
    <cellStyle name="40% - Accent1 2 2 4 4" xfId="19789" xr:uid="{5C45CBEC-F8C3-4E47-B33D-87AB6C1445EA}"/>
    <cellStyle name="40% - Accent1 2 2 4 5" xfId="10490" xr:uid="{41F31598-0465-4AFC-A02F-487C491CA894}"/>
    <cellStyle name="40% - Accent1 2 2 5" xfId="1487" xr:uid="{00000000-0005-0000-0000-0000E0030000}"/>
    <cellStyle name="40% - Accent1 2 2 5 2" xfId="3717" xr:uid="{00000000-0005-0000-0000-0000E1030000}"/>
    <cellStyle name="40% - Accent1 2 2 5 2 2" xfId="7939" xr:uid="{00000000-0005-0000-0000-0000E2030000}"/>
    <cellStyle name="40% - Accent1 2 2 5 2 2 2" xfId="26564" xr:uid="{35CE17CD-2FE8-4AC2-8DD4-F275D8D542F4}"/>
    <cellStyle name="40% - Accent1 2 2 5 2 2 3" xfId="17265" xr:uid="{25F9736E-3BBA-4578-9787-B9977E6ED76D}"/>
    <cellStyle name="40% - Accent1 2 2 5 2 3" xfId="22347" xr:uid="{694477DD-CFFF-44BD-B71D-FEBE01349582}"/>
    <cellStyle name="40% - Accent1 2 2 5 2 4" xfId="13048" xr:uid="{01869BFB-12C6-4624-B36C-95FB130ADD59}"/>
    <cellStyle name="40% - Accent1 2 2 5 3" xfId="5794" xr:uid="{00000000-0005-0000-0000-0000E3030000}"/>
    <cellStyle name="40% - Accent1 2 2 5 3 2" xfId="24419" xr:uid="{D4728C60-9FA9-4538-819F-1BE080513467}"/>
    <cellStyle name="40% - Accent1 2 2 5 3 3" xfId="15120" xr:uid="{C62C295A-A14D-404B-9C11-7799AFCF94C6}"/>
    <cellStyle name="40% - Accent1 2 2 5 4" xfId="20202" xr:uid="{71307613-8FBA-4731-BAEC-8DB8DBFF9F5C}"/>
    <cellStyle name="40% - Accent1 2 2 5 5" xfId="10903" xr:uid="{AAD73F11-6D58-4714-8680-63AA536E54B0}"/>
    <cellStyle name="40% - Accent1 2 2 6" xfId="1901" xr:uid="{00000000-0005-0000-0000-0000E4030000}"/>
    <cellStyle name="40% - Accent1 2 2 6 2" xfId="4130" xr:uid="{00000000-0005-0000-0000-0000E5030000}"/>
    <cellStyle name="40% - Accent1 2 2 6 2 2" xfId="8352" xr:uid="{00000000-0005-0000-0000-0000E6030000}"/>
    <cellStyle name="40% - Accent1 2 2 6 2 2 2" xfId="26977" xr:uid="{43E5D7A5-06BB-4EB3-BF3D-7FDCBF898DFD}"/>
    <cellStyle name="40% - Accent1 2 2 6 2 2 3" xfId="17678" xr:uid="{17135F5F-9FEA-4425-A555-B17298A4C07F}"/>
    <cellStyle name="40% - Accent1 2 2 6 2 3" xfId="22760" xr:uid="{676CEC84-CA77-417C-BC27-CFB15749D296}"/>
    <cellStyle name="40% - Accent1 2 2 6 2 4" xfId="13461" xr:uid="{E8BEF3D1-D29C-477A-8551-753E3CBA8D24}"/>
    <cellStyle name="40% - Accent1 2 2 6 3" xfId="6207" xr:uid="{00000000-0005-0000-0000-0000E7030000}"/>
    <cellStyle name="40% - Accent1 2 2 6 3 2" xfId="24832" xr:uid="{42BB74A7-6B84-4B63-9EC2-3D94E8490246}"/>
    <cellStyle name="40% - Accent1 2 2 6 3 3" xfId="15533" xr:uid="{1200A249-B145-4BAB-A938-ED187728E49C}"/>
    <cellStyle name="40% - Accent1 2 2 6 4" xfId="20615" xr:uid="{E378F230-275D-4257-8EE0-A9A44146A0DA}"/>
    <cellStyle name="40% - Accent1 2 2 6 5" xfId="11316" xr:uid="{1D65C0ED-6855-4648-8E5C-A26948AAC9A7}"/>
    <cellStyle name="40% - Accent1 2 2 7" xfId="2314" xr:uid="{00000000-0005-0000-0000-0000E8030000}"/>
    <cellStyle name="40% - Accent1 2 2 7 2" xfId="6620" xr:uid="{00000000-0005-0000-0000-0000E9030000}"/>
    <cellStyle name="40% - Accent1 2 2 7 2 2" xfId="25245" xr:uid="{8A9A8423-B3A7-41FF-B28E-26B7FA3F60A0}"/>
    <cellStyle name="40% - Accent1 2 2 7 2 3" xfId="15946" xr:uid="{DCD031E8-C00F-4505-B762-4E26E17CEF10}"/>
    <cellStyle name="40% - Accent1 2 2 7 3" xfId="21028" xr:uid="{382436A6-2E8B-4F71-8F10-DAC92F43B661}"/>
    <cellStyle name="40% - Accent1 2 2 7 4" xfId="11729" xr:uid="{D3630B98-CB06-444E-8893-AF4E4619CD0A}"/>
    <cellStyle name="40% - Accent1 2 2 8" xfId="4554" xr:uid="{00000000-0005-0000-0000-0000EA030000}"/>
    <cellStyle name="40% - Accent1 2 2 8 2" xfId="23179" xr:uid="{EE979AF4-7753-4D1E-83A1-D15D2746C1B0}"/>
    <cellStyle name="40% - Accent1 2 2 8 3" xfId="13880" xr:uid="{F02C09E9-23DF-4042-B26F-8BEAC85AE6C7}"/>
    <cellStyle name="40% - Accent1 2 2 9" xfId="8901" xr:uid="{10130317-AF31-4351-8201-FD8BD447EA3C}"/>
    <cellStyle name="40% - Accent1 2 2 9 2" xfId="27524" xr:uid="{DA7FCC3F-2572-4479-9889-24F87BBCC5CD}"/>
    <cellStyle name="40% - Accent1 2 2 9 3" xfId="18225" xr:uid="{8B93E167-E751-450D-9F14-A9C9FB1194AF}"/>
    <cellStyle name="40% - Accent1 2 3" xfId="53" xr:uid="{00000000-0005-0000-0000-0000EB030000}"/>
    <cellStyle name="40% - Accent1 2 3 10" xfId="9665" xr:uid="{96B35459-0E12-46BB-91FD-F89A8B79C483}"/>
    <cellStyle name="40% - Accent1 2 3 2" xfId="622" xr:uid="{00000000-0005-0000-0000-0000EC030000}"/>
    <cellStyle name="40% - Accent1 2 3 2 2" xfId="2893" xr:uid="{00000000-0005-0000-0000-0000ED030000}"/>
    <cellStyle name="40% - Accent1 2 3 2 2 2" xfId="7115" xr:uid="{00000000-0005-0000-0000-0000EE030000}"/>
    <cellStyle name="40% - Accent1 2 3 2 2 2 2" xfId="25740" xr:uid="{9CE52730-3E42-43AD-8BFA-7437A7A5AEA1}"/>
    <cellStyle name="40% - Accent1 2 3 2 2 2 3" xfId="16441" xr:uid="{431FB5F4-5A12-49BD-B394-4B9D2D16F550}"/>
    <cellStyle name="40% - Accent1 2 3 2 2 3" xfId="21523" xr:uid="{F3E5F28E-8D17-4CF1-94C0-FD7201E8DB3D}"/>
    <cellStyle name="40% - Accent1 2 3 2 2 4" xfId="12224" xr:uid="{7F4EA298-7328-4D1B-8DE6-F7E7E670F67D}"/>
    <cellStyle name="40% - Accent1 2 3 2 3" xfId="4970" xr:uid="{00000000-0005-0000-0000-0000EF030000}"/>
    <cellStyle name="40% - Accent1 2 3 2 3 2" xfId="23595" xr:uid="{80D4DE94-A201-4287-A033-2DB0E1F99AC4}"/>
    <cellStyle name="40% - Accent1 2 3 2 3 3" xfId="14296" xr:uid="{79ED7051-9CA3-48AD-9466-4890988847FD}"/>
    <cellStyle name="40% - Accent1 2 3 2 4" xfId="9430" xr:uid="{C79D1FB2-141C-4301-8F37-B3B9643C0550}"/>
    <cellStyle name="40% - Accent1 2 3 2 4 2" xfId="28044" xr:uid="{D3083A65-9E84-401E-80A4-B9077F9B3AC3}"/>
    <cellStyle name="40% - Accent1 2 3 2 4 3" xfId="18745" xr:uid="{9F51B067-AC14-45D5-8B44-419546B92B3D}"/>
    <cellStyle name="40% - Accent1 2 3 2 5" xfId="19378" xr:uid="{954705FD-50AF-49EE-B3AC-E44FA4E78F6F}"/>
    <cellStyle name="40% - Accent1 2 3 2 6" xfId="10079" xr:uid="{D1F77BE4-F3B0-4EE6-955B-6D44175AA561}"/>
    <cellStyle name="40% - Accent1 2 3 3" xfId="1075" xr:uid="{00000000-0005-0000-0000-0000F0030000}"/>
    <cellStyle name="40% - Accent1 2 3 3 2" xfId="3306" xr:uid="{00000000-0005-0000-0000-0000F1030000}"/>
    <cellStyle name="40% - Accent1 2 3 3 2 2" xfId="7528" xr:uid="{00000000-0005-0000-0000-0000F2030000}"/>
    <cellStyle name="40% - Accent1 2 3 3 2 2 2" xfId="26153" xr:uid="{A35DD11B-A185-4A73-AABA-13CE62BCC55A}"/>
    <cellStyle name="40% - Accent1 2 3 3 2 2 3" xfId="16854" xr:uid="{B6B87736-0972-4F28-8688-8E6815E0C2BA}"/>
    <cellStyle name="40% - Accent1 2 3 3 2 3" xfId="21936" xr:uid="{CCB0D27F-DDE3-4E53-906E-D28EC808E163}"/>
    <cellStyle name="40% - Accent1 2 3 3 2 4" xfId="12637" xr:uid="{41323DD4-A2D4-4F27-AD86-7E4C5E832330}"/>
    <cellStyle name="40% - Accent1 2 3 3 3" xfId="5383" xr:uid="{00000000-0005-0000-0000-0000F3030000}"/>
    <cellStyle name="40% - Accent1 2 3 3 3 2" xfId="24008" xr:uid="{366C641D-80A5-4315-B7E3-A79A1516402E}"/>
    <cellStyle name="40% - Accent1 2 3 3 3 3" xfId="14709" xr:uid="{4C668DE4-8DF7-4B30-B7E4-1AF489AA1B85}"/>
    <cellStyle name="40% - Accent1 2 3 3 4" xfId="19791" xr:uid="{4CC51061-5177-483D-A039-985026301A7B}"/>
    <cellStyle name="40% - Accent1 2 3 3 5" xfId="10492" xr:uid="{ED202ACA-C375-4D58-AF7A-FD028605B697}"/>
    <cellStyle name="40% - Accent1 2 3 4" xfId="1489" xr:uid="{00000000-0005-0000-0000-0000F4030000}"/>
    <cellStyle name="40% - Accent1 2 3 4 2" xfId="3719" xr:uid="{00000000-0005-0000-0000-0000F5030000}"/>
    <cellStyle name="40% - Accent1 2 3 4 2 2" xfId="7941" xr:uid="{00000000-0005-0000-0000-0000F6030000}"/>
    <cellStyle name="40% - Accent1 2 3 4 2 2 2" xfId="26566" xr:uid="{FEBE7CA0-2304-42B8-9C28-05A7273F05A8}"/>
    <cellStyle name="40% - Accent1 2 3 4 2 2 3" xfId="17267" xr:uid="{5BA86465-1C97-4181-85E3-40E89BB842B4}"/>
    <cellStyle name="40% - Accent1 2 3 4 2 3" xfId="22349" xr:uid="{54ADB769-610A-4B02-B7E6-E099064BD232}"/>
    <cellStyle name="40% - Accent1 2 3 4 2 4" xfId="13050" xr:uid="{2FF81905-0CBA-41A9-BA2A-DBAA21A2721D}"/>
    <cellStyle name="40% - Accent1 2 3 4 3" xfId="5796" xr:uid="{00000000-0005-0000-0000-0000F7030000}"/>
    <cellStyle name="40% - Accent1 2 3 4 3 2" xfId="24421" xr:uid="{E2F7993E-DEF7-42E4-BB59-21599EBBEB3F}"/>
    <cellStyle name="40% - Accent1 2 3 4 3 3" xfId="15122" xr:uid="{0D3D0AAD-F08F-40BD-BFE3-760363B87570}"/>
    <cellStyle name="40% - Accent1 2 3 4 4" xfId="20204" xr:uid="{C2FDF358-D33B-4473-9F61-1721903578A5}"/>
    <cellStyle name="40% - Accent1 2 3 4 5" xfId="10905" xr:uid="{0161DA41-F173-4629-8658-C49ED74AF70A}"/>
    <cellStyle name="40% - Accent1 2 3 5" xfId="1903" xr:uid="{00000000-0005-0000-0000-0000F8030000}"/>
    <cellStyle name="40% - Accent1 2 3 5 2" xfId="4132" xr:uid="{00000000-0005-0000-0000-0000F9030000}"/>
    <cellStyle name="40% - Accent1 2 3 5 2 2" xfId="8354" xr:uid="{00000000-0005-0000-0000-0000FA030000}"/>
    <cellStyle name="40% - Accent1 2 3 5 2 2 2" xfId="26979" xr:uid="{E21A03F7-F198-4D70-B7F9-0F5F29DF9298}"/>
    <cellStyle name="40% - Accent1 2 3 5 2 2 3" xfId="17680" xr:uid="{22B86830-4365-486F-BDCC-53551837FE36}"/>
    <cellStyle name="40% - Accent1 2 3 5 2 3" xfId="22762" xr:uid="{1FF8C2CD-92C7-481C-AB36-B9EC57364ABB}"/>
    <cellStyle name="40% - Accent1 2 3 5 2 4" xfId="13463" xr:uid="{41FF8172-8069-414D-AAED-098EA0319D97}"/>
    <cellStyle name="40% - Accent1 2 3 5 3" xfId="6209" xr:uid="{00000000-0005-0000-0000-0000FB030000}"/>
    <cellStyle name="40% - Accent1 2 3 5 3 2" xfId="24834" xr:uid="{9510ECDE-79C6-4F50-9FB5-3E164DA23AFA}"/>
    <cellStyle name="40% - Accent1 2 3 5 3 3" xfId="15535" xr:uid="{80CA299A-A296-4D1E-BFD5-9239782D2596}"/>
    <cellStyle name="40% - Accent1 2 3 5 4" xfId="20617" xr:uid="{0C8DED5F-7A9E-43EE-9A7C-1053C5526818}"/>
    <cellStyle name="40% - Accent1 2 3 5 5" xfId="11318" xr:uid="{AF6A613F-D0BF-4F01-A1C6-776DFE59695A}"/>
    <cellStyle name="40% - Accent1 2 3 6" xfId="2316" xr:uid="{00000000-0005-0000-0000-0000FC030000}"/>
    <cellStyle name="40% - Accent1 2 3 6 2" xfId="6622" xr:uid="{00000000-0005-0000-0000-0000FD030000}"/>
    <cellStyle name="40% - Accent1 2 3 6 2 2" xfId="25247" xr:uid="{9AEC861D-F9AA-4212-A99B-61E6900967ED}"/>
    <cellStyle name="40% - Accent1 2 3 6 2 3" xfId="15948" xr:uid="{16FD8694-06A7-4342-9299-664C67730B57}"/>
    <cellStyle name="40% - Accent1 2 3 6 3" xfId="21030" xr:uid="{418AFD2F-2A31-4ACD-B881-CED12272710B}"/>
    <cellStyle name="40% - Accent1 2 3 6 4" xfId="11731" xr:uid="{1151040A-25FA-4066-B34D-5B99CCD67E81}"/>
    <cellStyle name="40% - Accent1 2 3 7" xfId="4556" xr:uid="{00000000-0005-0000-0000-0000FE030000}"/>
    <cellStyle name="40% - Accent1 2 3 7 2" xfId="23181" xr:uid="{E1BD1FA1-E446-4DFB-9116-E361F9F3DE4E}"/>
    <cellStyle name="40% - Accent1 2 3 7 3" xfId="13882" xr:uid="{6BE43AA4-E2D3-46E0-91C9-0FD05F3EAD7A}"/>
    <cellStyle name="40% - Accent1 2 3 8" xfId="9005" xr:uid="{83AF69B9-664F-4E19-B721-7989C2FEBC0C}"/>
    <cellStyle name="40% - Accent1 2 3 8 2" xfId="27628" xr:uid="{15B83079-78DB-40CE-BD2A-950F71E555A0}"/>
    <cellStyle name="40% - Accent1 2 3 8 3" xfId="18329" xr:uid="{94913F54-B147-45A8-AD40-B6F0B2256EDC}"/>
    <cellStyle name="40% - Accent1 2 3 9" xfId="18964" xr:uid="{2FF0BE76-8BEC-4EE9-93E1-60C9F100F10D}"/>
    <cellStyle name="40% - Accent1 2 4" xfId="619" xr:uid="{00000000-0005-0000-0000-0000FF030000}"/>
    <cellStyle name="40% - Accent1 2 4 2" xfId="2890" xr:uid="{00000000-0005-0000-0000-000000040000}"/>
    <cellStyle name="40% - Accent1 2 4 2 2" xfId="7112" xr:uid="{00000000-0005-0000-0000-000001040000}"/>
    <cellStyle name="40% - Accent1 2 4 2 2 2" xfId="25737" xr:uid="{0B05605A-D10E-4E72-B0BE-3719EBDD1432}"/>
    <cellStyle name="40% - Accent1 2 4 2 2 3" xfId="16438" xr:uid="{2A2470ED-52D4-477E-BC77-855D202A32D9}"/>
    <cellStyle name="40% - Accent1 2 4 2 3" xfId="21520" xr:uid="{25A05C0A-781A-4493-B0AB-165F430B04F2}"/>
    <cellStyle name="40% - Accent1 2 4 2 4" xfId="12221" xr:uid="{91F97DC7-9DB7-42E7-B3B0-2E193189419B}"/>
    <cellStyle name="40% - Accent1 2 4 3" xfId="4967" xr:uid="{00000000-0005-0000-0000-000002040000}"/>
    <cellStyle name="40% - Accent1 2 4 3 2" xfId="23592" xr:uid="{0BFD2BF7-BCF9-4039-B2C5-3B3F44B26B3B}"/>
    <cellStyle name="40% - Accent1 2 4 3 3" xfId="14293" xr:uid="{379E7528-422C-4EF2-BE5B-95A021060167}"/>
    <cellStyle name="40% - Accent1 2 4 4" xfId="9222" xr:uid="{A6B83122-AC98-4E58-AA4D-EC5ECC38FC6B}"/>
    <cellStyle name="40% - Accent1 2 4 4 2" xfId="27837" xr:uid="{0010CF78-95A9-4575-A82F-9A7B38183F5B}"/>
    <cellStyle name="40% - Accent1 2 4 4 3" xfId="18538" xr:uid="{6F9844F0-7E33-42C8-8AB1-A6E18D4FC5A6}"/>
    <cellStyle name="40% - Accent1 2 4 5" xfId="19375" xr:uid="{CA7E862F-99E4-470F-9AF3-15B6F217CD25}"/>
    <cellStyle name="40% - Accent1 2 4 6" xfId="10076" xr:uid="{89E0D028-E0EA-490F-85DD-84F586C1C0AF}"/>
    <cellStyle name="40% - Accent1 2 5" xfId="1072" xr:uid="{00000000-0005-0000-0000-000003040000}"/>
    <cellStyle name="40% - Accent1 2 5 2" xfId="3303" xr:uid="{00000000-0005-0000-0000-000004040000}"/>
    <cellStyle name="40% - Accent1 2 5 2 2" xfId="7525" xr:uid="{00000000-0005-0000-0000-000005040000}"/>
    <cellStyle name="40% - Accent1 2 5 2 2 2" xfId="26150" xr:uid="{5FD3A0F7-BBA7-4DA6-9DAD-6E2E7E7227C3}"/>
    <cellStyle name="40% - Accent1 2 5 2 2 3" xfId="16851" xr:uid="{4718B02F-C614-4F09-9AD8-875B9C7F91CB}"/>
    <cellStyle name="40% - Accent1 2 5 2 3" xfId="21933" xr:uid="{916D20A0-19B2-40D6-8C56-D4477977B4A2}"/>
    <cellStyle name="40% - Accent1 2 5 2 4" xfId="12634" xr:uid="{717C580C-492E-4B56-8C79-3B9FF03F5CC0}"/>
    <cellStyle name="40% - Accent1 2 5 3" xfId="5380" xr:uid="{00000000-0005-0000-0000-000006040000}"/>
    <cellStyle name="40% - Accent1 2 5 3 2" xfId="24005" xr:uid="{5A729576-B3C9-4B11-80FA-EB104956A31E}"/>
    <cellStyle name="40% - Accent1 2 5 3 3" xfId="14706" xr:uid="{9854F6FB-1D22-4357-8819-E5A4F654032E}"/>
    <cellStyle name="40% - Accent1 2 5 4" xfId="19788" xr:uid="{2FC706D2-98BA-4F5D-9E52-76946345D7AA}"/>
    <cellStyle name="40% - Accent1 2 5 5" xfId="10489" xr:uid="{49381AC8-313D-428A-AD70-F17E6F81095A}"/>
    <cellStyle name="40% - Accent1 2 6" xfId="1486" xr:uid="{00000000-0005-0000-0000-000007040000}"/>
    <cellStyle name="40% - Accent1 2 6 2" xfId="3716" xr:uid="{00000000-0005-0000-0000-000008040000}"/>
    <cellStyle name="40% - Accent1 2 6 2 2" xfId="7938" xr:uid="{00000000-0005-0000-0000-000009040000}"/>
    <cellStyle name="40% - Accent1 2 6 2 2 2" xfId="26563" xr:uid="{372EC01B-1124-4EE4-AEB8-EBF4A6F4C4FC}"/>
    <cellStyle name="40% - Accent1 2 6 2 2 3" xfId="17264" xr:uid="{64AAFBEA-C26B-476B-8EE0-B28CBD05A61E}"/>
    <cellStyle name="40% - Accent1 2 6 2 3" xfId="22346" xr:uid="{5D65132B-03C4-40B0-A9A8-4256DD9339C8}"/>
    <cellStyle name="40% - Accent1 2 6 2 4" xfId="13047" xr:uid="{D1F02381-8D97-425A-A882-6F67F60C5F13}"/>
    <cellStyle name="40% - Accent1 2 6 3" xfId="5793" xr:uid="{00000000-0005-0000-0000-00000A040000}"/>
    <cellStyle name="40% - Accent1 2 6 3 2" xfId="24418" xr:uid="{296B7936-D6A7-4AD3-8EB0-FF014415F12B}"/>
    <cellStyle name="40% - Accent1 2 6 3 3" xfId="15119" xr:uid="{16483CE9-8374-41CA-B80D-6350932B2B00}"/>
    <cellStyle name="40% - Accent1 2 6 4" xfId="20201" xr:uid="{5C6FC74F-7B3E-4F74-99A3-573F8011FF03}"/>
    <cellStyle name="40% - Accent1 2 6 5" xfId="10902" xr:uid="{E1EEED99-E3CF-4457-9655-20C75C946932}"/>
    <cellStyle name="40% - Accent1 2 7" xfId="1900" xr:uid="{00000000-0005-0000-0000-00000B040000}"/>
    <cellStyle name="40% - Accent1 2 7 2" xfId="4129" xr:uid="{00000000-0005-0000-0000-00000C040000}"/>
    <cellStyle name="40% - Accent1 2 7 2 2" xfId="8351" xr:uid="{00000000-0005-0000-0000-00000D040000}"/>
    <cellStyle name="40% - Accent1 2 7 2 2 2" xfId="26976" xr:uid="{E6F4F662-7D8E-47A3-A04F-C27196378207}"/>
    <cellStyle name="40% - Accent1 2 7 2 2 3" xfId="17677" xr:uid="{C694BD88-C8A9-4599-B26D-96CC3D7F3BE1}"/>
    <cellStyle name="40% - Accent1 2 7 2 3" xfId="22759" xr:uid="{8ABEF5A1-F8F1-49F1-9B3A-7B08E8A0BA46}"/>
    <cellStyle name="40% - Accent1 2 7 2 4" xfId="13460" xr:uid="{2A4A8688-579D-4E5B-ACD4-2DE89052D738}"/>
    <cellStyle name="40% - Accent1 2 7 3" xfId="6206" xr:uid="{00000000-0005-0000-0000-00000E040000}"/>
    <cellStyle name="40% - Accent1 2 7 3 2" xfId="24831" xr:uid="{DC9ED8A2-DA6F-4BAF-95C1-5FD539C687B6}"/>
    <cellStyle name="40% - Accent1 2 7 3 3" xfId="15532" xr:uid="{AA0DCC6B-8625-4BE0-B65D-2F72242152D8}"/>
    <cellStyle name="40% - Accent1 2 7 4" xfId="20614" xr:uid="{EBA7CE8B-B38D-429A-B570-D40ABFC9C27D}"/>
    <cellStyle name="40% - Accent1 2 7 5" xfId="11315" xr:uid="{78F438B7-2B13-4065-8E78-80A85B89523B}"/>
    <cellStyle name="40% - Accent1 2 8" xfId="2313" xr:uid="{00000000-0005-0000-0000-00000F040000}"/>
    <cellStyle name="40% - Accent1 2 8 2" xfId="6619" xr:uid="{00000000-0005-0000-0000-000010040000}"/>
    <cellStyle name="40% - Accent1 2 8 2 2" xfId="25244" xr:uid="{9BFBC92A-FB75-4DB3-B16C-3B05B6551DDF}"/>
    <cellStyle name="40% - Accent1 2 8 2 3" xfId="15945" xr:uid="{66673B5B-5884-4C3C-872A-CBE735368C8A}"/>
    <cellStyle name="40% - Accent1 2 8 3" xfId="21027" xr:uid="{6CA24251-0728-48A1-8B9F-7A34435C640A}"/>
    <cellStyle name="40% - Accent1 2 8 4" xfId="11728" xr:uid="{050EB05E-C7FE-4ACC-850F-BCA47E77D078}"/>
    <cellStyle name="40% - Accent1 2 9" xfId="4553" xr:uid="{00000000-0005-0000-0000-000011040000}"/>
    <cellStyle name="40% - Accent1 2 9 2" xfId="23178" xr:uid="{797D6403-2DBC-4FC9-8FB5-10D41B47515D}"/>
    <cellStyle name="40% - Accent1 2 9 3" xfId="13879" xr:uid="{9F40DD65-AE44-418B-815A-70969E99BE75}"/>
    <cellStyle name="40% - Accent1 3" xfId="54" xr:uid="{00000000-0005-0000-0000-000012040000}"/>
    <cellStyle name="40% - Accent1 3 10" xfId="18965" xr:uid="{EAD868B5-8F85-4FF1-AB24-8AF5ECD884E5}"/>
    <cellStyle name="40% - Accent1 3 11" xfId="9666" xr:uid="{DE9C8115-6B34-48CA-AB6E-5C8B088C4EAA}"/>
    <cellStyle name="40% - Accent1 3 2" xfId="55" xr:uid="{00000000-0005-0000-0000-000013040000}"/>
    <cellStyle name="40% - Accent1 3 2 10" xfId="9667" xr:uid="{68B9F00E-4E6F-4F5E-BE43-FFB6023A0D9C}"/>
    <cellStyle name="40% - Accent1 3 2 2" xfId="624" xr:uid="{00000000-0005-0000-0000-000014040000}"/>
    <cellStyle name="40% - Accent1 3 2 2 2" xfId="2895" xr:uid="{00000000-0005-0000-0000-000015040000}"/>
    <cellStyle name="40% - Accent1 3 2 2 2 2" xfId="7117" xr:uid="{00000000-0005-0000-0000-000016040000}"/>
    <cellStyle name="40% - Accent1 3 2 2 2 2 2" xfId="25742" xr:uid="{B45683BA-EFFA-4B77-9BF5-6CEAA327B5F1}"/>
    <cellStyle name="40% - Accent1 3 2 2 2 2 3" xfId="16443" xr:uid="{63CBF9D0-B9E8-4DE5-9793-5BC4CF17A041}"/>
    <cellStyle name="40% - Accent1 3 2 2 2 3" xfId="21525" xr:uid="{7B9CE670-EE31-4005-80C2-24887778D605}"/>
    <cellStyle name="40% - Accent1 3 2 2 2 4" xfId="12226" xr:uid="{8BF6641D-EF9C-4DDC-BAE2-51C66E6D8EA0}"/>
    <cellStyle name="40% - Accent1 3 2 2 3" xfId="4972" xr:uid="{00000000-0005-0000-0000-000017040000}"/>
    <cellStyle name="40% - Accent1 3 2 2 3 2" xfId="23597" xr:uid="{12557E58-7EB8-4B17-9069-E8ADB9A6A683}"/>
    <cellStyle name="40% - Accent1 3 2 2 3 3" xfId="14298" xr:uid="{DFA0F55D-A2D6-4D54-9D99-61B320129485}"/>
    <cellStyle name="40% - Accent1 3 2 2 4" xfId="9494" xr:uid="{49092FA9-F337-44E8-98C8-15711B1C1558}"/>
    <cellStyle name="40% - Accent1 3 2 2 4 2" xfId="28108" xr:uid="{06CF419C-5BA4-4A67-B01A-032ABBAF5B15}"/>
    <cellStyle name="40% - Accent1 3 2 2 4 3" xfId="18809" xr:uid="{19B2A1DD-C48B-4349-8516-33331119636D}"/>
    <cellStyle name="40% - Accent1 3 2 2 5" xfId="19380" xr:uid="{A0E278B7-C26B-4C71-B490-F7180A65EAB1}"/>
    <cellStyle name="40% - Accent1 3 2 2 6" xfId="10081" xr:uid="{9035402D-1108-4282-A704-80043FE77C85}"/>
    <cellStyle name="40% - Accent1 3 2 3" xfId="1077" xr:uid="{00000000-0005-0000-0000-000018040000}"/>
    <cellStyle name="40% - Accent1 3 2 3 2" xfId="3308" xr:uid="{00000000-0005-0000-0000-000019040000}"/>
    <cellStyle name="40% - Accent1 3 2 3 2 2" xfId="7530" xr:uid="{00000000-0005-0000-0000-00001A040000}"/>
    <cellStyle name="40% - Accent1 3 2 3 2 2 2" xfId="26155" xr:uid="{45EAC15B-434A-4B40-A711-9491A852B562}"/>
    <cellStyle name="40% - Accent1 3 2 3 2 2 3" xfId="16856" xr:uid="{A67EDBCB-6D0F-4C75-8565-922161ECB401}"/>
    <cellStyle name="40% - Accent1 3 2 3 2 3" xfId="21938" xr:uid="{FC3E34BE-DF4F-45F6-8DFC-FB5DEACF7567}"/>
    <cellStyle name="40% - Accent1 3 2 3 2 4" xfId="12639" xr:uid="{17424CE8-40D2-4E13-9C2D-E377FD6E752B}"/>
    <cellStyle name="40% - Accent1 3 2 3 3" xfId="5385" xr:uid="{00000000-0005-0000-0000-00001B040000}"/>
    <cellStyle name="40% - Accent1 3 2 3 3 2" xfId="24010" xr:uid="{46B5F5E9-A1E1-46B3-8331-9216009F2B2A}"/>
    <cellStyle name="40% - Accent1 3 2 3 3 3" xfId="14711" xr:uid="{03F10619-45CC-4B41-B891-31DACE528E5C}"/>
    <cellStyle name="40% - Accent1 3 2 3 4" xfId="19793" xr:uid="{A7E6F409-BFD2-4B1E-9589-87FE70F9AC96}"/>
    <cellStyle name="40% - Accent1 3 2 3 5" xfId="10494" xr:uid="{57F84903-CE50-4E65-9BBE-4EED2E8ADFB0}"/>
    <cellStyle name="40% - Accent1 3 2 4" xfId="1491" xr:uid="{00000000-0005-0000-0000-00001C040000}"/>
    <cellStyle name="40% - Accent1 3 2 4 2" xfId="3721" xr:uid="{00000000-0005-0000-0000-00001D040000}"/>
    <cellStyle name="40% - Accent1 3 2 4 2 2" xfId="7943" xr:uid="{00000000-0005-0000-0000-00001E040000}"/>
    <cellStyle name="40% - Accent1 3 2 4 2 2 2" xfId="26568" xr:uid="{636DCF4E-AF77-4014-903B-04EFDF707C47}"/>
    <cellStyle name="40% - Accent1 3 2 4 2 2 3" xfId="17269" xr:uid="{67D1C52C-5A6A-459E-87C2-C3874C8E18EF}"/>
    <cellStyle name="40% - Accent1 3 2 4 2 3" xfId="22351" xr:uid="{E15A9BA1-0BEE-4C99-AE5A-A3B4FA88005C}"/>
    <cellStyle name="40% - Accent1 3 2 4 2 4" xfId="13052" xr:uid="{BE98F163-6981-4C1A-B03B-247138510EB2}"/>
    <cellStyle name="40% - Accent1 3 2 4 3" xfId="5798" xr:uid="{00000000-0005-0000-0000-00001F040000}"/>
    <cellStyle name="40% - Accent1 3 2 4 3 2" xfId="24423" xr:uid="{1C24338D-0067-4818-9FC0-46BCE12774B7}"/>
    <cellStyle name="40% - Accent1 3 2 4 3 3" xfId="15124" xr:uid="{DD8E2E39-55DE-499D-B5BB-F6EA61185C61}"/>
    <cellStyle name="40% - Accent1 3 2 4 4" xfId="20206" xr:uid="{4E216134-BE53-496F-9204-BFD7FCF1AB20}"/>
    <cellStyle name="40% - Accent1 3 2 4 5" xfId="10907" xr:uid="{6CE71F58-FF5F-436B-8250-578EB428FB45}"/>
    <cellStyle name="40% - Accent1 3 2 5" xfId="1905" xr:uid="{00000000-0005-0000-0000-000020040000}"/>
    <cellStyle name="40% - Accent1 3 2 5 2" xfId="4134" xr:uid="{00000000-0005-0000-0000-000021040000}"/>
    <cellStyle name="40% - Accent1 3 2 5 2 2" xfId="8356" xr:uid="{00000000-0005-0000-0000-000022040000}"/>
    <cellStyle name="40% - Accent1 3 2 5 2 2 2" xfId="26981" xr:uid="{ADE62703-872D-45B0-9181-12FD11F5757B}"/>
    <cellStyle name="40% - Accent1 3 2 5 2 2 3" xfId="17682" xr:uid="{2C4B88D1-CA59-4097-ADD4-A4D741EE1FF3}"/>
    <cellStyle name="40% - Accent1 3 2 5 2 3" xfId="22764" xr:uid="{89C5FA1E-97EE-43CC-8415-63BA486F2118}"/>
    <cellStyle name="40% - Accent1 3 2 5 2 4" xfId="13465" xr:uid="{2E57C81D-F2F9-4B62-8F05-C5626A32B45F}"/>
    <cellStyle name="40% - Accent1 3 2 5 3" xfId="6211" xr:uid="{00000000-0005-0000-0000-000023040000}"/>
    <cellStyle name="40% - Accent1 3 2 5 3 2" xfId="24836" xr:uid="{E6D294C1-E343-4B6E-97B2-A1D798C0A45B}"/>
    <cellStyle name="40% - Accent1 3 2 5 3 3" xfId="15537" xr:uid="{11A7BBFC-840A-4FA0-9B47-F8EA1D6D6592}"/>
    <cellStyle name="40% - Accent1 3 2 5 4" xfId="20619" xr:uid="{DA6D7F47-6EF2-47F4-90C4-8C444EBC1ABD}"/>
    <cellStyle name="40% - Accent1 3 2 5 5" xfId="11320" xr:uid="{648170F0-B175-4CF8-A562-2F212D047DD3}"/>
    <cellStyle name="40% - Accent1 3 2 6" xfId="2318" xr:uid="{00000000-0005-0000-0000-000024040000}"/>
    <cellStyle name="40% - Accent1 3 2 6 2" xfId="6624" xr:uid="{00000000-0005-0000-0000-000025040000}"/>
    <cellStyle name="40% - Accent1 3 2 6 2 2" xfId="25249" xr:uid="{F773A650-EA8E-4BCF-8570-FC84DB797B12}"/>
    <cellStyle name="40% - Accent1 3 2 6 2 3" xfId="15950" xr:uid="{7BF3F9B0-00F6-4926-BDFC-710C038688C3}"/>
    <cellStyle name="40% - Accent1 3 2 6 3" xfId="21032" xr:uid="{BD34A89C-1A65-41B8-8D6A-03CFD3DA7CC3}"/>
    <cellStyle name="40% - Accent1 3 2 6 4" xfId="11733" xr:uid="{0D4605FA-A46B-4585-9E6F-8E8E9338CD07}"/>
    <cellStyle name="40% - Accent1 3 2 7" xfId="4558" xr:uid="{00000000-0005-0000-0000-000026040000}"/>
    <cellStyle name="40% - Accent1 3 2 7 2" xfId="23183" xr:uid="{674A8AF9-105B-445C-B821-A11A29CB092C}"/>
    <cellStyle name="40% - Accent1 3 2 7 3" xfId="13884" xr:uid="{F51570EB-DA5F-4F18-B023-DB6EDF521F67}"/>
    <cellStyle name="40% - Accent1 3 2 8" xfId="9069" xr:uid="{F3D9FD63-8946-4492-B81A-42936E8B246D}"/>
    <cellStyle name="40% - Accent1 3 2 8 2" xfId="27692" xr:uid="{368CF255-A87B-4AA3-816D-342A4B3CC360}"/>
    <cellStyle name="40% - Accent1 3 2 8 3" xfId="18393" xr:uid="{000958FB-3CC8-4A9E-A62E-2208414496F0}"/>
    <cellStyle name="40% - Accent1 3 2 9" xfId="18966" xr:uid="{A128EF16-BF37-489B-933B-1FDC15E559BC}"/>
    <cellStyle name="40% - Accent1 3 3" xfId="623" xr:uid="{00000000-0005-0000-0000-000027040000}"/>
    <cellStyle name="40% - Accent1 3 3 2" xfId="2894" xr:uid="{00000000-0005-0000-0000-000028040000}"/>
    <cellStyle name="40% - Accent1 3 3 2 2" xfId="7116" xr:uid="{00000000-0005-0000-0000-000029040000}"/>
    <cellStyle name="40% - Accent1 3 3 2 2 2" xfId="25741" xr:uid="{A0C2B219-A951-4056-8BFD-9457FD9EC05E}"/>
    <cellStyle name="40% - Accent1 3 3 2 2 3" xfId="16442" xr:uid="{10CA3F1D-4CCA-4A80-9315-0A5416BF801B}"/>
    <cellStyle name="40% - Accent1 3 3 2 3" xfId="21524" xr:uid="{16304C87-5E3C-4272-98CD-FFE496F8499F}"/>
    <cellStyle name="40% - Accent1 3 3 2 4" xfId="12225" xr:uid="{AB7C9A9C-0E7C-4CE8-B6B7-DD538C7DC4A8}"/>
    <cellStyle name="40% - Accent1 3 3 3" xfId="4971" xr:uid="{00000000-0005-0000-0000-00002A040000}"/>
    <cellStyle name="40% - Accent1 3 3 3 2" xfId="23596" xr:uid="{17641FD1-5ACF-4661-9620-2D7F1C61353D}"/>
    <cellStyle name="40% - Accent1 3 3 3 3" xfId="14297" xr:uid="{56B45FD9-1B39-43D6-97AE-432015CB5258}"/>
    <cellStyle name="40% - Accent1 3 3 4" xfId="9287" xr:uid="{8C21B573-3D31-49DA-ACD8-D3EC7CC3A858}"/>
    <cellStyle name="40% - Accent1 3 3 4 2" xfId="27901" xr:uid="{EF70761C-89A7-4629-B8EC-F02B518531D8}"/>
    <cellStyle name="40% - Accent1 3 3 4 3" xfId="18602" xr:uid="{240F3F9C-9302-4618-B093-A96931A75A7D}"/>
    <cellStyle name="40% - Accent1 3 3 5" xfId="19379" xr:uid="{D14C2748-C5A1-4092-8554-D2D7552D03B7}"/>
    <cellStyle name="40% - Accent1 3 3 6" xfId="10080" xr:uid="{4AC89451-96E0-4253-92CC-E359A67ACA15}"/>
    <cellStyle name="40% - Accent1 3 4" xfId="1076" xr:uid="{00000000-0005-0000-0000-00002B040000}"/>
    <cellStyle name="40% - Accent1 3 4 2" xfId="3307" xr:uid="{00000000-0005-0000-0000-00002C040000}"/>
    <cellStyle name="40% - Accent1 3 4 2 2" xfId="7529" xr:uid="{00000000-0005-0000-0000-00002D040000}"/>
    <cellStyle name="40% - Accent1 3 4 2 2 2" xfId="26154" xr:uid="{833168B9-92BF-400D-B065-4BB043F4CEAD}"/>
    <cellStyle name="40% - Accent1 3 4 2 2 3" xfId="16855" xr:uid="{201149D8-618E-4071-BEE9-E26C79179988}"/>
    <cellStyle name="40% - Accent1 3 4 2 3" xfId="21937" xr:uid="{62081F03-CF2D-48CD-B613-9CBB6F2A41A0}"/>
    <cellStyle name="40% - Accent1 3 4 2 4" xfId="12638" xr:uid="{0F1D8D8E-92D3-4297-92D9-5282EBF8FD7D}"/>
    <cellStyle name="40% - Accent1 3 4 3" xfId="5384" xr:uid="{00000000-0005-0000-0000-00002E040000}"/>
    <cellStyle name="40% - Accent1 3 4 3 2" xfId="24009" xr:uid="{461E3092-8741-40C1-AF2D-03997A0FFA7B}"/>
    <cellStyle name="40% - Accent1 3 4 3 3" xfId="14710" xr:uid="{0AA1C99A-635C-41DA-A5D6-47A571D6CB21}"/>
    <cellStyle name="40% - Accent1 3 4 4" xfId="19792" xr:uid="{03D17740-B3DF-40B5-B1C3-A1F8384B1C6A}"/>
    <cellStyle name="40% - Accent1 3 4 5" xfId="10493" xr:uid="{387BE020-8436-4EA7-BF12-7D7D8FEA015B}"/>
    <cellStyle name="40% - Accent1 3 5" xfId="1490" xr:uid="{00000000-0005-0000-0000-00002F040000}"/>
    <cellStyle name="40% - Accent1 3 5 2" xfId="3720" xr:uid="{00000000-0005-0000-0000-000030040000}"/>
    <cellStyle name="40% - Accent1 3 5 2 2" xfId="7942" xr:uid="{00000000-0005-0000-0000-000031040000}"/>
    <cellStyle name="40% - Accent1 3 5 2 2 2" xfId="26567" xr:uid="{4AB2AF3F-A179-4251-8DA4-932DD086C359}"/>
    <cellStyle name="40% - Accent1 3 5 2 2 3" xfId="17268" xr:uid="{83B39BEC-2D92-4936-8417-09DBD52FC83C}"/>
    <cellStyle name="40% - Accent1 3 5 2 3" xfId="22350" xr:uid="{F29D299E-7285-4CCF-924D-F9ABFE1F0934}"/>
    <cellStyle name="40% - Accent1 3 5 2 4" xfId="13051" xr:uid="{375A62E6-DA0F-4C36-976C-01F08B909DF1}"/>
    <cellStyle name="40% - Accent1 3 5 3" xfId="5797" xr:uid="{00000000-0005-0000-0000-000032040000}"/>
    <cellStyle name="40% - Accent1 3 5 3 2" xfId="24422" xr:uid="{BE0B5CB5-BE3B-4761-8F45-BED041A8FB59}"/>
    <cellStyle name="40% - Accent1 3 5 3 3" xfId="15123" xr:uid="{C3D99758-283F-426F-993A-91F631198E9B}"/>
    <cellStyle name="40% - Accent1 3 5 4" xfId="20205" xr:uid="{BFAACED3-047D-4D95-A4FE-F9AD043416B3}"/>
    <cellStyle name="40% - Accent1 3 5 5" xfId="10906" xr:uid="{A0611A97-83B8-429D-BE61-8F85D57146FC}"/>
    <cellStyle name="40% - Accent1 3 6" xfId="1904" xr:uid="{00000000-0005-0000-0000-000033040000}"/>
    <cellStyle name="40% - Accent1 3 6 2" xfId="4133" xr:uid="{00000000-0005-0000-0000-000034040000}"/>
    <cellStyle name="40% - Accent1 3 6 2 2" xfId="8355" xr:uid="{00000000-0005-0000-0000-000035040000}"/>
    <cellStyle name="40% - Accent1 3 6 2 2 2" xfId="26980" xr:uid="{5A3C8A24-6C1D-44DD-85A2-CABC645E7CAA}"/>
    <cellStyle name="40% - Accent1 3 6 2 2 3" xfId="17681" xr:uid="{13ABFEA4-EAC9-47FD-ABF6-964F1BC8913E}"/>
    <cellStyle name="40% - Accent1 3 6 2 3" xfId="22763" xr:uid="{C13A4612-B317-454B-A3FA-7EEF3DC4787F}"/>
    <cellStyle name="40% - Accent1 3 6 2 4" xfId="13464" xr:uid="{4DBAC798-4705-482E-A990-F8B5007EA225}"/>
    <cellStyle name="40% - Accent1 3 6 3" xfId="6210" xr:uid="{00000000-0005-0000-0000-000036040000}"/>
    <cellStyle name="40% - Accent1 3 6 3 2" xfId="24835" xr:uid="{A249B431-78BC-4531-AE02-68D373427A03}"/>
    <cellStyle name="40% - Accent1 3 6 3 3" xfId="15536" xr:uid="{F2198097-A796-4DD1-9B94-C1DB12325D01}"/>
    <cellStyle name="40% - Accent1 3 6 4" xfId="20618" xr:uid="{324F107C-8BBD-4855-964E-5DDCC652F698}"/>
    <cellStyle name="40% - Accent1 3 6 5" xfId="11319" xr:uid="{6258C3F8-8DD9-4B21-A06F-06745BCAE32C}"/>
    <cellStyle name="40% - Accent1 3 7" xfId="2317" xr:uid="{00000000-0005-0000-0000-000037040000}"/>
    <cellStyle name="40% - Accent1 3 7 2" xfId="6623" xr:uid="{00000000-0005-0000-0000-000038040000}"/>
    <cellStyle name="40% - Accent1 3 7 2 2" xfId="25248" xr:uid="{8C55F034-38A7-4EA3-A05D-617B405555DA}"/>
    <cellStyle name="40% - Accent1 3 7 2 3" xfId="15949" xr:uid="{6DB19AC7-553F-456E-8581-F22944A58F2C}"/>
    <cellStyle name="40% - Accent1 3 7 3" xfId="21031" xr:uid="{C8821278-82C0-48F1-A247-AC02B6D95908}"/>
    <cellStyle name="40% - Accent1 3 7 4" xfId="11732" xr:uid="{65868E55-1407-4B9D-BEB0-507F1C0CC513}"/>
    <cellStyle name="40% - Accent1 3 8" xfId="4557" xr:uid="{00000000-0005-0000-0000-000039040000}"/>
    <cellStyle name="40% - Accent1 3 8 2" xfId="23182" xr:uid="{BFC058C7-54FA-40DF-ACE0-1D7AECEE7EF4}"/>
    <cellStyle name="40% - Accent1 3 8 3" xfId="13883" xr:uid="{B328A9FB-FB3B-4F5D-BB34-99BBE4380B3E}"/>
    <cellStyle name="40% - Accent1 3 9" xfId="8862" xr:uid="{2CC30516-31CA-485E-88BE-FCC7F9756A95}"/>
    <cellStyle name="40% - Accent1 3 9 2" xfId="27485" xr:uid="{90352FC6-F2E3-4338-8D9B-97F672587A98}"/>
    <cellStyle name="40% - Accent1 3 9 3" xfId="18186" xr:uid="{4D001FA7-68FC-4799-9074-A59A73969854}"/>
    <cellStyle name="40% - Accent1 4" xfId="56" xr:uid="{00000000-0005-0000-0000-00003A040000}"/>
    <cellStyle name="40% - Accent1 4 10" xfId="9668" xr:uid="{38170B1B-FF69-4F6A-A097-1E6C5C3564C2}"/>
    <cellStyle name="40% - Accent1 4 2" xfId="625" xr:uid="{00000000-0005-0000-0000-00003B040000}"/>
    <cellStyle name="40% - Accent1 4 2 2" xfId="2896" xr:uid="{00000000-0005-0000-0000-00003C040000}"/>
    <cellStyle name="40% - Accent1 4 2 2 2" xfId="7118" xr:uid="{00000000-0005-0000-0000-00003D040000}"/>
    <cellStyle name="40% - Accent1 4 2 2 2 2" xfId="25743" xr:uid="{82DF4BD2-EEC6-40D4-ABDF-57DA6BF61234}"/>
    <cellStyle name="40% - Accent1 4 2 2 2 3" xfId="16444" xr:uid="{DA21F538-AC8C-4F79-B1F0-542E7AD25FE3}"/>
    <cellStyle name="40% - Accent1 4 2 2 3" xfId="21526" xr:uid="{BA193319-6774-4D50-A284-B7C5D48E5465}"/>
    <cellStyle name="40% - Accent1 4 2 2 4" xfId="12227" xr:uid="{95F8577C-DA07-4388-9335-2CF69941572D}"/>
    <cellStyle name="40% - Accent1 4 2 3" xfId="4973" xr:uid="{00000000-0005-0000-0000-00003E040000}"/>
    <cellStyle name="40% - Accent1 4 2 3 2" xfId="23598" xr:uid="{A86DCA24-DBA3-4AC0-8D52-E4D0AC176FCA}"/>
    <cellStyle name="40% - Accent1 4 2 3 3" xfId="14299" xr:uid="{75774A63-7777-44A9-B38A-47F37A68B26D}"/>
    <cellStyle name="40% - Accent1 4 2 4" xfId="9373" xr:uid="{3BC949C7-8F86-44EA-9F10-CF277586B131}"/>
    <cellStyle name="40% - Accent1 4 2 4 2" xfId="27987" xr:uid="{101D92DF-B193-4EB6-B092-18F113ED1340}"/>
    <cellStyle name="40% - Accent1 4 2 4 3" xfId="18688" xr:uid="{AFE4807B-C2C0-4155-A780-C96E217D0D12}"/>
    <cellStyle name="40% - Accent1 4 2 5" xfId="19381" xr:uid="{303735A2-D7F8-4AA0-821A-1F6453D86E8E}"/>
    <cellStyle name="40% - Accent1 4 2 6" xfId="10082" xr:uid="{FD170BF2-A9D7-4048-9314-B97720C85758}"/>
    <cellStyle name="40% - Accent1 4 3" xfId="1078" xr:uid="{00000000-0005-0000-0000-00003F040000}"/>
    <cellStyle name="40% - Accent1 4 3 2" xfId="3309" xr:uid="{00000000-0005-0000-0000-000040040000}"/>
    <cellStyle name="40% - Accent1 4 3 2 2" xfId="7531" xr:uid="{00000000-0005-0000-0000-000041040000}"/>
    <cellStyle name="40% - Accent1 4 3 2 2 2" xfId="26156" xr:uid="{D401AC91-E590-4640-93AD-300158A2FEAA}"/>
    <cellStyle name="40% - Accent1 4 3 2 2 3" xfId="16857" xr:uid="{68FB959F-4889-4614-9565-45E5E06A3DB0}"/>
    <cellStyle name="40% - Accent1 4 3 2 3" xfId="21939" xr:uid="{8DD0B507-B9F8-4DB6-A88A-5D64B27E9B01}"/>
    <cellStyle name="40% - Accent1 4 3 2 4" xfId="12640" xr:uid="{C6D32C82-C763-4992-8309-FCB28093C611}"/>
    <cellStyle name="40% - Accent1 4 3 3" xfId="5386" xr:uid="{00000000-0005-0000-0000-000042040000}"/>
    <cellStyle name="40% - Accent1 4 3 3 2" xfId="24011" xr:uid="{C1E67A43-6D0A-45CA-AA77-63431C74744A}"/>
    <cellStyle name="40% - Accent1 4 3 3 3" xfId="14712" xr:uid="{64DAA380-4734-46DB-9211-34F2C6819F33}"/>
    <cellStyle name="40% - Accent1 4 3 4" xfId="19794" xr:uid="{38BB708B-D483-4F12-9B4F-B701849702A9}"/>
    <cellStyle name="40% - Accent1 4 3 5" xfId="10495" xr:uid="{B2CDEA62-CC2D-4E89-AD12-8E67C0DB0D67}"/>
    <cellStyle name="40% - Accent1 4 4" xfId="1492" xr:uid="{00000000-0005-0000-0000-000043040000}"/>
    <cellStyle name="40% - Accent1 4 4 2" xfId="3722" xr:uid="{00000000-0005-0000-0000-000044040000}"/>
    <cellStyle name="40% - Accent1 4 4 2 2" xfId="7944" xr:uid="{00000000-0005-0000-0000-000045040000}"/>
    <cellStyle name="40% - Accent1 4 4 2 2 2" xfId="26569" xr:uid="{468FE847-D670-4BA6-97DD-7A008A198D42}"/>
    <cellStyle name="40% - Accent1 4 4 2 2 3" xfId="17270" xr:uid="{8F64BC0E-4AA0-4065-B6A0-37D60F1E218F}"/>
    <cellStyle name="40% - Accent1 4 4 2 3" xfId="22352" xr:uid="{69C5EA9F-53D6-44E0-B2FA-53661CD773CD}"/>
    <cellStyle name="40% - Accent1 4 4 2 4" xfId="13053" xr:uid="{EE98EB70-DC35-4306-ADDD-AFCC013C91EB}"/>
    <cellStyle name="40% - Accent1 4 4 3" xfId="5799" xr:uid="{00000000-0005-0000-0000-000046040000}"/>
    <cellStyle name="40% - Accent1 4 4 3 2" xfId="24424" xr:uid="{06D62950-7470-4416-9D2C-0DD27B793E60}"/>
    <cellStyle name="40% - Accent1 4 4 3 3" xfId="15125" xr:uid="{67720F72-0028-419A-B680-67ED16476E69}"/>
    <cellStyle name="40% - Accent1 4 4 4" xfId="20207" xr:uid="{1FE6C1B5-4784-4A82-ADE2-72BDBD2B8089}"/>
    <cellStyle name="40% - Accent1 4 4 5" xfId="10908" xr:uid="{755E6F4A-A791-41AD-9678-9197FBC5E0F3}"/>
    <cellStyle name="40% - Accent1 4 5" xfId="1906" xr:uid="{00000000-0005-0000-0000-000047040000}"/>
    <cellStyle name="40% - Accent1 4 5 2" xfId="4135" xr:uid="{00000000-0005-0000-0000-000048040000}"/>
    <cellStyle name="40% - Accent1 4 5 2 2" xfId="8357" xr:uid="{00000000-0005-0000-0000-000049040000}"/>
    <cellStyle name="40% - Accent1 4 5 2 2 2" xfId="26982" xr:uid="{C6EBB48C-8DD5-4EF5-8CFC-01168406E678}"/>
    <cellStyle name="40% - Accent1 4 5 2 2 3" xfId="17683" xr:uid="{9E767016-F86C-4CF2-BBCC-70745096859E}"/>
    <cellStyle name="40% - Accent1 4 5 2 3" xfId="22765" xr:uid="{D2AF0475-3D83-4C5E-A426-368B3C79DB09}"/>
    <cellStyle name="40% - Accent1 4 5 2 4" xfId="13466" xr:uid="{9536FC31-4151-494F-B5F6-BFBE6C70F53E}"/>
    <cellStyle name="40% - Accent1 4 5 3" xfId="6212" xr:uid="{00000000-0005-0000-0000-00004A040000}"/>
    <cellStyle name="40% - Accent1 4 5 3 2" xfId="24837" xr:uid="{16278C6F-56A1-4037-97FB-24F19FA32387}"/>
    <cellStyle name="40% - Accent1 4 5 3 3" xfId="15538" xr:uid="{846E8399-81D1-47EC-BA2A-7E20D5AAF2AC}"/>
    <cellStyle name="40% - Accent1 4 5 4" xfId="20620" xr:uid="{E60B15AF-0270-4A13-8D7D-ABB721E5C64A}"/>
    <cellStyle name="40% - Accent1 4 5 5" xfId="11321" xr:uid="{A8706FA3-DCE7-4565-9201-B56663CC859B}"/>
    <cellStyle name="40% - Accent1 4 6" xfId="2319" xr:uid="{00000000-0005-0000-0000-00004B040000}"/>
    <cellStyle name="40% - Accent1 4 6 2" xfId="6625" xr:uid="{00000000-0005-0000-0000-00004C040000}"/>
    <cellStyle name="40% - Accent1 4 6 2 2" xfId="25250" xr:uid="{1955EDE3-8BF1-41A3-A8E1-7DE9406B8039}"/>
    <cellStyle name="40% - Accent1 4 6 2 3" xfId="15951" xr:uid="{C9422F98-79E3-4032-B2A7-F5DB5FCC1662}"/>
    <cellStyle name="40% - Accent1 4 6 3" xfId="21033" xr:uid="{2E4DC755-DFF3-41EE-AF2B-F2E0D3290DD5}"/>
    <cellStyle name="40% - Accent1 4 6 4" xfId="11734" xr:uid="{7D2F37E0-A347-49F2-9612-DA2090310719}"/>
    <cellStyle name="40% - Accent1 4 7" xfId="4559" xr:uid="{00000000-0005-0000-0000-00004D040000}"/>
    <cellStyle name="40% - Accent1 4 7 2" xfId="23184" xr:uid="{D1951265-2696-47DB-ABD3-42C748A550B6}"/>
    <cellStyle name="40% - Accent1 4 7 3" xfId="13885" xr:uid="{CB706327-8669-4F4E-8099-293CE1006E28}"/>
    <cellStyle name="40% - Accent1 4 8" xfId="8948" xr:uid="{7BCBB449-71B8-4468-A700-0125C7659C3D}"/>
    <cellStyle name="40% - Accent1 4 8 2" xfId="27571" xr:uid="{DC41E52F-D110-49BE-BBC5-0C15AA2C242E}"/>
    <cellStyle name="40% - Accent1 4 8 3" xfId="18272" xr:uid="{E5A038B7-457E-4D0C-8191-99F51C1AD416}"/>
    <cellStyle name="40% - Accent1 4 9" xfId="18967" xr:uid="{82F13E51-F287-4296-A9F8-DAE5073C2E1E}"/>
    <cellStyle name="40% - Accent1 5" xfId="618" xr:uid="{00000000-0005-0000-0000-00004E040000}"/>
    <cellStyle name="40% - Accent1 5 2" xfId="2889" xr:uid="{00000000-0005-0000-0000-00004F040000}"/>
    <cellStyle name="40% - Accent1 5 2 2" xfId="7111" xr:uid="{00000000-0005-0000-0000-000050040000}"/>
    <cellStyle name="40% - Accent1 5 2 2 2" xfId="25736" xr:uid="{D8A15F1F-DEA3-492E-8A26-191C041D9676}"/>
    <cellStyle name="40% - Accent1 5 2 2 3" xfId="16437" xr:uid="{5FCC1F10-B772-4320-BEB6-242A749EEE92}"/>
    <cellStyle name="40% - Accent1 5 2 3" xfId="21519" xr:uid="{06E6A176-5FDD-4BDF-8598-6D02AEE88A1E}"/>
    <cellStyle name="40% - Accent1 5 2 4" xfId="12220" xr:uid="{9B832F11-2FBD-4EC3-9947-AC86D657BCD8}"/>
    <cellStyle name="40% - Accent1 5 3" xfId="4966" xr:uid="{00000000-0005-0000-0000-000051040000}"/>
    <cellStyle name="40% - Accent1 5 3 2" xfId="23591" xr:uid="{993B2247-8212-4121-B0DF-28273A370740}"/>
    <cellStyle name="40% - Accent1 5 3 3" xfId="14292" xr:uid="{D3F0839D-EA24-4178-A8B6-3132A8F16E0E}"/>
    <cellStyle name="40% - Accent1 5 4" xfId="9181" xr:uid="{332DA761-F1AA-4FF3-9BBB-9ECEE19D2DFF}"/>
    <cellStyle name="40% - Accent1 5 4 2" xfId="27798" xr:uid="{74ABA574-E4DF-43E6-9F86-32D71C368C38}"/>
    <cellStyle name="40% - Accent1 5 4 3" xfId="18499" xr:uid="{3E0A7224-2775-46AB-9E4C-51B1FECDE707}"/>
    <cellStyle name="40% - Accent1 5 5" xfId="19374" xr:uid="{A4C8AB87-3289-45DE-AE16-9B40E2CF69CF}"/>
    <cellStyle name="40% - Accent1 5 6" xfId="10075" xr:uid="{1E6D7081-F469-457B-A51C-7E14361AA786}"/>
    <cellStyle name="40% - Accent1 6" xfId="1071" xr:uid="{00000000-0005-0000-0000-000052040000}"/>
    <cellStyle name="40% - Accent1 6 2" xfId="3302" xr:uid="{00000000-0005-0000-0000-000053040000}"/>
    <cellStyle name="40% - Accent1 6 2 2" xfId="7524" xr:uid="{00000000-0005-0000-0000-000054040000}"/>
    <cellStyle name="40% - Accent1 6 2 2 2" xfId="26149" xr:uid="{23AFA0FC-66C7-4666-A68B-97CA55B59229}"/>
    <cellStyle name="40% - Accent1 6 2 2 3" xfId="16850" xr:uid="{F61473EF-93D1-4C7A-9D0C-0F9834D1E1CD}"/>
    <cellStyle name="40% - Accent1 6 2 3" xfId="21932" xr:uid="{C66E2FC7-9915-46FD-9E68-E18CBBB8A7C4}"/>
    <cellStyle name="40% - Accent1 6 2 4" xfId="12633" xr:uid="{CAF0800F-C90F-4AB3-B1AD-5ACAB10EE068}"/>
    <cellStyle name="40% - Accent1 6 3" xfId="5379" xr:uid="{00000000-0005-0000-0000-000055040000}"/>
    <cellStyle name="40% - Accent1 6 3 2" xfId="24004" xr:uid="{7B5E033B-70A8-43EE-BF21-2D925D37A257}"/>
    <cellStyle name="40% - Accent1 6 3 3" xfId="14705" xr:uid="{E030DB17-E9C2-4097-B286-06EF2AD67AA6}"/>
    <cellStyle name="40% - Accent1 6 4" xfId="19787" xr:uid="{5C218017-49C4-4DD4-9D80-F5CB8D26449A}"/>
    <cellStyle name="40% - Accent1 6 5" xfId="10488" xr:uid="{71295D7C-D8A0-47E9-8F25-3A43040B52D4}"/>
    <cellStyle name="40% - Accent1 7" xfId="1485" xr:uid="{00000000-0005-0000-0000-000056040000}"/>
    <cellStyle name="40% - Accent1 7 2" xfId="3715" xr:uid="{00000000-0005-0000-0000-000057040000}"/>
    <cellStyle name="40% - Accent1 7 2 2" xfId="7937" xr:uid="{00000000-0005-0000-0000-000058040000}"/>
    <cellStyle name="40% - Accent1 7 2 2 2" xfId="26562" xr:uid="{BDAB7A47-2578-4689-8BD8-716755010390}"/>
    <cellStyle name="40% - Accent1 7 2 2 3" xfId="17263" xr:uid="{A3DD95AE-0C10-4DE1-B5B5-3A640B350268}"/>
    <cellStyle name="40% - Accent1 7 2 3" xfId="22345" xr:uid="{6D6DC7EC-5C27-4B77-ADFF-79B6A7647A14}"/>
    <cellStyle name="40% - Accent1 7 2 4" xfId="13046" xr:uid="{0C551B47-8DA4-494E-8877-D5B193F4F81E}"/>
    <cellStyle name="40% - Accent1 7 3" xfId="5792" xr:uid="{00000000-0005-0000-0000-000059040000}"/>
    <cellStyle name="40% - Accent1 7 3 2" xfId="24417" xr:uid="{4D79F833-CB80-4B5F-AA4E-15CDA335C977}"/>
    <cellStyle name="40% - Accent1 7 3 3" xfId="15118" xr:uid="{6883B29B-0802-4A03-AA25-95BCC87FFF50}"/>
    <cellStyle name="40% - Accent1 7 4" xfId="20200" xr:uid="{92E0F7C4-7274-4661-9540-916025DACE3C}"/>
    <cellStyle name="40% - Accent1 7 5" xfId="10901" xr:uid="{8E622DF1-E269-43F9-9F0B-B315C26E1BEB}"/>
    <cellStyle name="40% - Accent1 8" xfId="1899" xr:uid="{00000000-0005-0000-0000-00005A040000}"/>
    <cellStyle name="40% - Accent1 8 2" xfId="4128" xr:uid="{00000000-0005-0000-0000-00005B040000}"/>
    <cellStyle name="40% - Accent1 8 2 2" xfId="8350" xr:uid="{00000000-0005-0000-0000-00005C040000}"/>
    <cellStyle name="40% - Accent1 8 2 2 2" xfId="26975" xr:uid="{0908DC60-CF07-43C1-853B-7B7A0567A08D}"/>
    <cellStyle name="40% - Accent1 8 2 2 3" xfId="17676" xr:uid="{46309E06-0AB1-45F0-B89A-A2D7198503DC}"/>
    <cellStyle name="40% - Accent1 8 2 3" xfId="22758" xr:uid="{E9C06E1F-EFE1-4060-8597-44B524CB6D5A}"/>
    <cellStyle name="40% - Accent1 8 2 4" xfId="13459" xr:uid="{B250F6D7-3BF8-4A39-86A8-C3EA8A8D8ABF}"/>
    <cellStyle name="40% - Accent1 8 3" xfId="6205" xr:uid="{00000000-0005-0000-0000-00005D040000}"/>
    <cellStyle name="40% - Accent1 8 3 2" xfId="24830" xr:uid="{5AF3382F-DC84-4F2E-8064-446B9C153800}"/>
    <cellStyle name="40% - Accent1 8 3 3" xfId="15531" xr:uid="{729F4072-5659-4101-84AC-185BCCFCBC62}"/>
    <cellStyle name="40% - Accent1 8 4" xfId="20613" xr:uid="{C7CBE016-3FFC-463E-955A-6F5A4066E11E}"/>
    <cellStyle name="40% - Accent1 8 5" xfId="11314" xr:uid="{E160B287-F562-47F6-A679-4F83394C2229}"/>
    <cellStyle name="40% - Accent1 9" xfId="2312" xr:uid="{00000000-0005-0000-0000-00005E040000}"/>
    <cellStyle name="40% - Accent1 9 2" xfId="6618" xr:uid="{00000000-0005-0000-0000-00005F040000}"/>
    <cellStyle name="40% - Accent1 9 2 2" xfId="25243" xr:uid="{19F29605-DD5C-414E-AE65-5ED0C844BFF4}"/>
    <cellStyle name="40% - Accent1 9 2 3" xfId="15944" xr:uid="{BBBE1206-F255-4993-B830-87E504B0F0D1}"/>
    <cellStyle name="40% - Accent1 9 3" xfId="21026" xr:uid="{CC26FAF3-3704-4F1B-89F0-110FF86B6118}"/>
    <cellStyle name="40% - Accent1 9 4" xfId="11727" xr:uid="{2B025641-2750-46C2-BA9B-64F15734DF28}"/>
    <cellStyle name="40% - Accent2" xfId="57" builtinId="35" customBuiltin="1"/>
    <cellStyle name="40% - Accent2 10" xfId="4560" xr:uid="{00000000-0005-0000-0000-000061040000}"/>
    <cellStyle name="40% - Accent2 10 2" xfId="23185" xr:uid="{415158BC-8D23-4A6F-8C04-3422A209C000}"/>
    <cellStyle name="40% - Accent2 10 3" xfId="13886" xr:uid="{4BA36006-20C8-461A-890F-9907405DB5F7}"/>
    <cellStyle name="40% - Accent2 11" xfId="8761" xr:uid="{8631D9D1-53DA-4958-8F7C-AD68B7B91D61}"/>
    <cellStyle name="40% - Accent2 11 2" xfId="27384" xr:uid="{629815E9-9550-4B96-B9D4-0B4B0352017F}"/>
    <cellStyle name="40% - Accent2 11 3" xfId="18085" xr:uid="{DF22BE7E-8DEB-4170-A9FC-1A8C0E628302}"/>
    <cellStyle name="40% - Accent2 12" xfId="18968" xr:uid="{051646A5-DFD5-426C-AE34-9B487E27B8F6}"/>
    <cellStyle name="40% - Accent2 13" xfId="9669" xr:uid="{51BBFDAB-3875-4545-94F8-79928133892E}"/>
    <cellStyle name="40% - Accent2 2" xfId="58" xr:uid="{00000000-0005-0000-0000-000062040000}"/>
    <cellStyle name="40% - Accent2 2 10" xfId="8799" xr:uid="{E3EEC046-6E76-44A5-8D1B-64621A8F0AC5}"/>
    <cellStyle name="40% - Accent2 2 10 2" xfId="27422" xr:uid="{1E16CB1B-250A-4496-B944-97E3F40DFFA7}"/>
    <cellStyle name="40% - Accent2 2 10 3" xfId="18123" xr:uid="{465A122E-7F06-4A03-8C99-72CE11C48D0C}"/>
    <cellStyle name="40% - Accent2 2 11" xfId="18969" xr:uid="{BF5C2D12-66F7-4910-BA25-EE72BA2817F9}"/>
    <cellStyle name="40% - Accent2 2 12" xfId="9670" xr:uid="{76835F44-980E-4451-B9F1-06F171F6F04A}"/>
    <cellStyle name="40% - Accent2 2 2" xfId="59" xr:uid="{00000000-0005-0000-0000-000063040000}"/>
    <cellStyle name="40% - Accent2 2 2 10" xfId="18970" xr:uid="{E3D60E82-DDAD-4AA8-8DC9-88F3A8C8F81A}"/>
    <cellStyle name="40% - Accent2 2 2 11" xfId="9671" xr:uid="{D900D2E6-D1E4-40CA-8A74-D2C30E7A5FF0}"/>
    <cellStyle name="40% - Accent2 2 2 2" xfId="60" xr:uid="{00000000-0005-0000-0000-000064040000}"/>
    <cellStyle name="40% - Accent2 2 2 2 10" xfId="9672" xr:uid="{1033EB4A-E189-41D2-B229-040B5696F45B}"/>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2 2 2" xfId="25747" xr:uid="{735335FD-D581-4FBD-B200-375F2AE0F352}"/>
    <cellStyle name="40% - Accent2 2 2 2 2 2 2 3" xfId="16448" xr:uid="{BF31D33E-A3C0-4CA7-94A7-E153C2813A87}"/>
    <cellStyle name="40% - Accent2 2 2 2 2 2 3" xfId="21530" xr:uid="{E7AC8FB2-2B5D-41AF-8318-38473F192DF1}"/>
    <cellStyle name="40% - Accent2 2 2 2 2 2 4" xfId="12231" xr:uid="{4C11C680-0CCE-444E-AD71-E73E9CF58BAF}"/>
    <cellStyle name="40% - Accent2 2 2 2 2 3" xfId="4977" xr:uid="{00000000-0005-0000-0000-000068040000}"/>
    <cellStyle name="40% - Accent2 2 2 2 2 3 2" xfId="23602" xr:uid="{CD4D690F-19CF-413F-AFEB-346AC90F2CEE}"/>
    <cellStyle name="40% - Accent2 2 2 2 2 3 3" xfId="14303" xr:uid="{A60CB063-4BBE-4681-BCA3-8B3880C2171B}"/>
    <cellStyle name="40% - Accent2 2 2 2 2 4" xfId="9534" xr:uid="{9F53A086-33FC-422E-9DFF-72D04AC43949}"/>
    <cellStyle name="40% - Accent2 2 2 2 2 4 2" xfId="28148" xr:uid="{B3A754C2-0968-44F3-89BF-DDE985B5CA52}"/>
    <cellStyle name="40% - Accent2 2 2 2 2 4 3" xfId="18849" xr:uid="{F1EB6681-475C-4383-977B-A71B2481D79F}"/>
    <cellStyle name="40% - Accent2 2 2 2 2 5" xfId="19385" xr:uid="{DBB71FC9-18BF-4CB6-8805-2A9052EBF428}"/>
    <cellStyle name="40% - Accent2 2 2 2 2 6" xfId="10086" xr:uid="{E86127F2-8374-46DB-8AAB-0155DE96F86B}"/>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2 2 2" xfId="26160" xr:uid="{764262FB-9A38-4613-B9F1-55417DC982DC}"/>
    <cellStyle name="40% - Accent2 2 2 2 3 2 2 3" xfId="16861" xr:uid="{9BC608F1-AF00-4ED1-8991-B184EB727D23}"/>
    <cellStyle name="40% - Accent2 2 2 2 3 2 3" xfId="21943" xr:uid="{40528544-FC87-472F-A6D6-8FB67184BF3A}"/>
    <cellStyle name="40% - Accent2 2 2 2 3 2 4" xfId="12644" xr:uid="{01D2D667-338F-4845-9403-56821E3490D2}"/>
    <cellStyle name="40% - Accent2 2 2 2 3 3" xfId="5390" xr:uid="{00000000-0005-0000-0000-00006C040000}"/>
    <cellStyle name="40% - Accent2 2 2 2 3 3 2" xfId="24015" xr:uid="{9F392FB8-291D-490A-81FE-A15933E72416}"/>
    <cellStyle name="40% - Accent2 2 2 2 3 3 3" xfId="14716" xr:uid="{D77ED015-B878-4876-9CCF-54B2B1C2B2B5}"/>
    <cellStyle name="40% - Accent2 2 2 2 3 4" xfId="19798" xr:uid="{CECAA831-2213-4FB0-B9ED-0163EE3225F4}"/>
    <cellStyle name="40% - Accent2 2 2 2 3 5" xfId="10499" xr:uid="{F129F108-FA48-443F-8B39-07587133A67B}"/>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2 2 2" xfId="26573" xr:uid="{B85E79DB-935A-463B-BBCE-19B236A96B60}"/>
    <cellStyle name="40% - Accent2 2 2 2 4 2 2 3" xfId="17274" xr:uid="{B69115C6-2B9D-4750-BE3F-26B09AFCA748}"/>
    <cellStyle name="40% - Accent2 2 2 2 4 2 3" xfId="22356" xr:uid="{19E55992-682F-4BED-B950-A68170D7D2E6}"/>
    <cellStyle name="40% - Accent2 2 2 2 4 2 4" xfId="13057" xr:uid="{0575B3E8-CA3F-4FB7-A153-883643359DCE}"/>
    <cellStyle name="40% - Accent2 2 2 2 4 3" xfId="5803" xr:uid="{00000000-0005-0000-0000-000070040000}"/>
    <cellStyle name="40% - Accent2 2 2 2 4 3 2" xfId="24428" xr:uid="{D38ADB0B-CE0F-492B-AB41-8ED1E5E39430}"/>
    <cellStyle name="40% - Accent2 2 2 2 4 3 3" xfId="15129" xr:uid="{2CB759C4-A7C4-4958-91ED-35AAF591C809}"/>
    <cellStyle name="40% - Accent2 2 2 2 4 4" xfId="20211" xr:uid="{9F5ACBFA-5923-4099-BCD5-FA100DB65292}"/>
    <cellStyle name="40% - Accent2 2 2 2 4 5" xfId="10912" xr:uid="{99B33664-C03F-4434-9EC5-035559205649}"/>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2 2 2" xfId="26986" xr:uid="{371A4B31-7573-4C7E-922B-D7D9A3577D2C}"/>
    <cellStyle name="40% - Accent2 2 2 2 5 2 2 3" xfId="17687" xr:uid="{D22ECA1B-BC09-4D0A-A885-F6DFF01E0356}"/>
    <cellStyle name="40% - Accent2 2 2 2 5 2 3" xfId="22769" xr:uid="{DD07C9CF-8245-4DC6-B781-0D522C38D270}"/>
    <cellStyle name="40% - Accent2 2 2 2 5 2 4" xfId="13470" xr:uid="{86DEB0C6-AAC8-40CB-9734-0294AFBFA6BF}"/>
    <cellStyle name="40% - Accent2 2 2 2 5 3" xfId="6216" xr:uid="{00000000-0005-0000-0000-000074040000}"/>
    <cellStyle name="40% - Accent2 2 2 2 5 3 2" xfId="24841" xr:uid="{1FB0A5EC-A144-408F-8063-BCD7D8906D0D}"/>
    <cellStyle name="40% - Accent2 2 2 2 5 3 3" xfId="15542" xr:uid="{63EE1A97-29D8-472A-AE51-A76F286B51C0}"/>
    <cellStyle name="40% - Accent2 2 2 2 5 4" xfId="20624" xr:uid="{1AA5BABA-D41B-4B97-AC62-837DC6F20202}"/>
    <cellStyle name="40% - Accent2 2 2 2 5 5" xfId="11325" xr:uid="{7B53F547-B9DB-445E-95E2-488369CF8C8D}"/>
    <cellStyle name="40% - Accent2 2 2 2 6" xfId="2323" xr:uid="{00000000-0005-0000-0000-000075040000}"/>
    <cellStyle name="40% - Accent2 2 2 2 6 2" xfId="6629" xr:uid="{00000000-0005-0000-0000-000076040000}"/>
    <cellStyle name="40% - Accent2 2 2 2 6 2 2" xfId="25254" xr:uid="{EE9CE8AE-1F1D-44FB-9BE1-432BA9AED469}"/>
    <cellStyle name="40% - Accent2 2 2 2 6 2 3" xfId="15955" xr:uid="{5FF726C4-B7FA-4B68-8462-5C42B28D23C9}"/>
    <cellStyle name="40% - Accent2 2 2 2 6 3" xfId="21037" xr:uid="{8902BAF5-685B-4D87-A17C-852884649E68}"/>
    <cellStyle name="40% - Accent2 2 2 2 6 4" xfId="11738" xr:uid="{87431C1A-8135-444F-AE06-A34B67812993}"/>
    <cellStyle name="40% - Accent2 2 2 2 7" xfId="4563" xr:uid="{00000000-0005-0000-0000-000077040000}"/>
    <cellStyle name="40% - Accent2 2 2 2 7 2" xfId="23188" xr:uid="{C9AFFC2C-20AD-45AC-8C0D-0529CDD0744E}"/>
    <cellStyle name="40% - Accent2 2 2 2 7 3" xfId="13889" xr:uid="{F96AECB8-92FB-4BF1-A8AF-3668A20F9454}"/>
    <cellStyle name="40% - Accent2 2 2 2 8" xfId="9109" xr:uid="{73F0012D-4386-4224-BFB0-7DB1C0E98822}"/>
    <cellStyle name="40% - Accent2 2 2 2 8 2" xfId="27732" xr:uid="{86075DEE-934E-41F0-96D2-0259C0C1B2DF}"/>
    <cellStyle name="40% - Accent2 2 2 2 8 3" xfId="18433" xr:uid="{464A9997-C97D-48C0-A3DA-65BBF3774F83}"/>
    <cellStyle name="40% - Accent2 2 2 2 9" xfId="18971" xr:uid="{15DB7FBC-3CB8-46C1-BBA8-C33ED5A0D99D}"/>
    <cellStyle name="40% - Accent2 2 2 3" xfId="628" xr:uid="{00000000-0005-0000-0000-000078040000}"/>
    <cellStyle name="40% - Accent2 2 2 3 2" xfId="2899" xr:uid="{00000000-0005-0000-0000-000079040000}"/>
    <cellStyle name="40% - Accent2 2 2 3 2 2" xfId="7121" xr:uid="{00000000-0005-0000-0000-00007A040000}"/>
    <cellStyle name="40% - Accent2 2 2 3 2 2 2" xfId="25746" xr:uid="{AB5A8F25-C3BB-4C13-9646-D5EEB346F66F}"/>
    <cellStyle name="40% - Accent2 2 2 3 2 2 3" xfId="16447" xr:uid="{CD2F0E1A-DA2C-4392-ADCE-ACAB4431983E}"/>
    <cellStyle name="40% - Accent2 2 2 3 2 3" xfId="21529" xr:uid="{5909C483-6616-4EAA-826B-DDC0935C5973}"/>
    <cellStyle name="40% - Accent2 2 2 3 2 4" xfId="12230" xr:uid="{15940F1F-5744-4337-8A86-690DD55C4F90}"/>
    <cellStyle name="40% - Accent2 2 2 3 3" xfId="4976" xr:uid="{00000000-0005-0000-0000-00007B040000}"/>
    <cellStyle name="40% - Accent2 2 2 3 3 2" xfId="23601" xr:uid="{E5C66AA4-556C-4E3F-9219-3D77F63010B9}"/>
    <cellStyle name="40% - Accent2 2 2 3 3 3" xfId="14302" xr:uid="{2B0EA9A8-2363-4D81-9BEC-C76934092A25}"/>
    <cellStyle name="40% - Accent2 2 2 3 4" xfId="9327" xr:uid="{F2BC9A12-B689-4B73-B71E-77A9F0BC7FE4}"/>
    <cellStyle name="40% - Accent2 2 2 3 4 2" xfId="27941" xr:uid="{98E4D7CA-A087-4DDC-A4ED-87A4A6FE5FCB}"/>
    <cellStyle name="40% - Accent2 2 2 3 4 3" xfId="18642" xr:uid="{7829085F-5616-4175-9E28-F59C9CB2BAB0}"/>
    <cellStyle name="40% - Accent2 2 2 3 5" xfId="19384" xr:uid="{E7FD66C3-33FF-417F-9005-29C11004571C}"/>
    <cellStyle name="40% - Accent2 2 2 3 6" xfId="10085" xr:uid="{38B91456-1AC7-4734-8FA6-EA778E92F352}"/>
    <cellStyle name="40% - Accent2 2 2 4" xfId="1081" xr:uid="{00000000-0005-0000-0000-00007C040000}"/>
    <cellStyle name="40% - Accent2 2 2 4 2" xfId="3312" xr:uid="{00000000-0005-0000-0000-00007D040000}"/>
    <cellStyle name="40% - Accent2 2 2 4 2 2" xfId="7534" xr:uid="{00000000-0005-0000-0000-00007E040000}"/>
    <cellStyle name="40% - Accent2 2 2 4 2 2 2" xfId="26159" xr:uid="{4E68A95F-7EA3-4492-8751-82F9150144F5}"/>
    <cellStyle name="40% - Accent2 2 2 4 2 2 3" xfId="16860" xr:uid="{62211C36-E707-4BDB-9F75-1EC89F34C0F1}"/>
    <cellStyle name="40% - Accent2 2 2 4 2 3" xfId="21942" xr:uid="{3B89FD7C-F0A8-4AFD-941C-0650DDE17E4D}"/>
    <cellStyle name="40% - Accent2 2 2 4 2 4" xfId="12643" xr:uid="{1123915C-FD3B-4AB7-9A36-5B473554B0D9}"/>
    <cellStyle name="40% - Accent2 2 2 4 3" xfId="5389" xr:uid="{00000000-0005-0000-0000-00007F040000}"/>
    <cellStyle name="40% - Accent2 2 2 4 3 2" xfId="24014" xr:uid="{7A2451F6-E3A6-4DD4-A058-DD294F48D82B}"/>
    <cellStyle name="40% - Accent2 2 2 4 3 3" xfId="14715" xr:uid="{7917A3D0-0011-435E-82CB-4B8E1740B879}"/>
    <cellStyle name="40% - Accent2 2 2 4 4" xfId="19797" xr:uid="{D1F8475D-E6B3-4760-8D52-FAA8F5A7658C}"/>
    <cellStyle name="40% - Accent2 2 2 4 5" xfId="10498" xr:uid="{ECCFE933-498C-402B-B0CC-22BE6F5D81BD}"/>
    <cellStyle name="40% - Accent2 2 2 5" xfId="1495" xr:uid="{00000000-0005-0000-0000-000080040000}"/>
    <cellStyle name="40% - Accent2 2 2 5 2" xfId="3725" xr:uid="{00000000-0005-0000-0000-000081040000}"/>
    <cellStyle name="40% - Accent2 2 2 5 2 2" xfId="7947" xr:uid="{00000000-0005-0000-0000-000082040000}"/>
    <cellStyle name="40% - Accent2 2 2 5 2 2 2" xfId="26572" xr:uid="{4049A6EE-F006-499F-98C8-37608B4D36D0}"/>
    <cellStyle name="40% - Accent2 2 2 5 2 2 3" xfId="17273" xr:uid="{A52507A2-DEFF-477D-A3EF-2956279710C9}"/>
    <cellStyle name="40% - Accent2 2 2 5 2 3" xfId="22355" xr:uid="{88FF037D-AA8D-4911-9337-B9EA12B14AFE}"/>
    <cellStyle name="40% - Accent2 2 2 5 2 4" xfId="13056" xr:uid="{D74688AA-A8F4-4484-ABD5-7F9333EB79B2}"/>
    <cellStyle name="40% - Accent2 2 2 5 3" xfId="5802" xr:uid="{00000000-0005-0000-0000-000083040000}"/>
    <cellStyle name="40% - Accent2 2 2 5 3 2" xfId="24427" xr:uid="{86A53EE2-FBC9-4D04-B8C7-D9F2D885DE03}"/>
    <cellStyle name="40% - Accent2 2 2 5 3 3" xfId="15128" xr:uid="{E484F1B3-3CE2-4D47-ACCC-2038E6A1F9B2}"/>
    <cellStyle name="40% - Accent2 2 2 5 4" xfId="20210" xr:uid="{48C0CA81-7A1E-4485-9E37-78E1DBD13F4D}"/>
    <cellStyle name="40% - Accent2 2 2 5 5" xfId="10911" xr:uid="{8C0ACA9B-CC23-4745-BD95-617EA417E605}"/>
    <cellStyle name="40% - Accent2 2 2 6" xfId="1909" xr:uid="{00000000-0005-0000-0000-000084040000}"/>
    <cellStyle name="40% - Accent2 2 2 6 2" xfId="4138" xr:uid="{00000000-0005-0000-0000-000085040000}"/>
    <cellStyle name="40% - Accent2 2 2 6 2 2" xfId="8360" xr:uid="{00000000-0005-0000-0000-000086040000}"/>
    <cellStyle name="40% - Accent2 2 2 6 2 2 2" xfId="26985" xr:uid="{0DCE1B74-9969-4E59-AE0D-D0C6265EB488}"/>
    <cellStyle name="40% - Accent2 2 2 6 2 2 3" xfId="17686" xr:uid="{1D87A2C0-DF4C-471D-94A9-41D1D06B278A}"/>
    <cellStyle name="40% - Accent2 2 2 6 2 3" xfId="22768" xr:uid="{69D94707-DAFA-4A1E-8B6D-2549007DCA4C}"/>
    <cellStyle name="40% - Accent2 2 2 6 2 4" xfId="13469" xr:uid="{7690ABCA-CC1E-4E73-9541-C83A2D533E64}"/>
    <cellStyle name="40% - Accent2 2 2 6 3" xfId="6215" xr:uid="{00000000-0005-0000-0000-000087040000}"/>
    <cellStyle name="40% - Accent2 2 2 6 3 2" xfId="24840" xr:uid="{BC872F2F-F0B8-4C2D-9399-F2A9ECE50311}"/>
    <cellStyle name="40% - Accent2 2 2 6 3 3" xfId="15541" xr:uid="{A70E44A2-30A5-40EB-A880-1C6FF0525375}"/>
    <cellStyle name="40% - Accent2 2 2 6 4" xfId="20623" xr:uid="{06869824-23D7-4B49-A973-CADE61B88FA0}"/>
    <cellStyle name="40% - Accent2 2 2 6 5" xfId="11324" xr:uid="{1C88200C-2C3B-4DE3-BA6E-83877D824B95}"/>
    <cellStyle name="40% - Accent2 2 2 7" xfId="2322" xr:uid="{00000000-0005-0000-0000-000088040000}"/>
    <cellStyle name="40% - Accent2 2 2 7 2" xfId="6628" xr:uid="{00000000-0005-0000-0000-000089040000}"/>
    <cellStyle name="40% - Accent2 2 2 7 2 2" xfId="25253" xr:uid="{2E839A6B-325C-49F6-8B4F-0AD745577D58}"/>
    <cellStyle name="40% - Accent2 2 2 7 2 3" xfId="15954" xr:uid="{7863D395-D37B-49D7-8694-8896F753CFEC}"/>
    <cellStyle name="40% - Accent2 2 2 7 3" xfId="21036" xr:uid="{4849FF78-8BA6-46AD-92CF-A920A7F2F010}"/>
    <cellStyle name="40% - Accent2 2 2 7 4" xfId="11737" xr:uid="{E1302C7B-2B36-4524-B128-C08F943E83C8}"/>
    <cellStyle name="40% - Accent2 2 2 8" xfId="4562" xr:uid="{00000000-0005-0000-0000-00008A040000}"/>
    <cellStyle name="40% - Accent2 2 2 8 2" xfId="23187" xr:uid="{F0B4E063-63C2-4317-9ABE-25AE5A65927E}"/>
    <cellStyle name="40% - Accent2 2 2 8 3" xfId="13888" xr:uid="{C8BD8D6E-FA9A-4F1F-B478-B8FAB6255F76}"/>
    <cellStyle name="40% - Accent2 2 2 9" xfId="8902" xr:uid="{5D0C2022-B7A4-4DE2-895F-9E4BE510A7B9}"/>
    <cellStyle name="40% - Accent2 2 2 9 2" xfId="27525" xr:uid="{E29F498A-8F85-44E2-A3A4-D8939DED6E19}"/>
    <cellStyle name="40% - Accent2 2 2 9 3" xfId="18226" xr:uid="{8D15227C-54BA-4075-98DC-0FBF29F520D9}"/>
    <cellStyle name="40% - Accent2 2 3" xfId="61" xr:uid="{00000000-0005-0000-0000-00008B040000}"/>
    <cellStyle name="40% - Accent2 2 3 10" xfId="9673" xr:uid="{D7C9A5D5-3B72-4585-B8F4-8B50E4AF19EA}"/>
    <cellStyle name="40% - Accent2 2 3 2" xfId="630" xr:uid="{00000000-0005-0000-0000-00008C040000}"/>
    <cellStyle name="40% - Accent2 2 3 2 2" xfId="2901" xr:uid="{00000000-0005-0000-0000-00008D040000}"/>
    <cellStyle name="40% - Accent2 2 3 2 2 2" xfId="7123" xr:uid="{00000000-0005-0000-0000-00008E040000}"/>
    <cellStyle name="40% - Accent2 2 3 2 2 2 2" xfId="25748" xr:uid="{A868BF28-374B-4196-BF15-8581E4C2195E}"/>
    <cellStyle name="40% - Accent2 2 3 2 2 2 3" xfId="16449" xr:uid="{8847F8BD-F8FC-46EB-BB41-75280B22BE2C}"/>
    <cellStyle name="40% - Accent2 2 3 2 2 3" xfId="21531" xr:uid="{83B31CE5-EC19-4F56-BDB4-8D667786998E}"/>
    <cellStyle name="40% - Accent2 2 3 2 2 4" xfId="12232" xr:uid="{5BCD1028-E82C-4368-A40F-84C0F1CE357A}"/>
    <cellStyle name="40% - Accent2 2 3 2 3" xfId="4978" xr:uid="{00000000-0005-0000-0000-00008F040000}"/>
    <cellStyle name="40% - Accent2 2 3 2 3 2" xfId="23603" xr:uid="{CBD35323-88EF-452B-B2C6-A62111B0D9EA}"/>
    <cellStyle name="40% - Accent2 2 3 2 3 3" xfId="14304" xr:uid="{4B5B372A-0BF0-414A-98E1-8B87920ABD89}"/>
    <cellStyle name="40% - Accent2 2 3 2 4" xfId="9431" xr:uid="{BD4E3561-302E-4359-AAF3-4F2E007BC697}"/>
    <cellStyle name="40% - Accent2 2 3 2 4 2" xfId="28045" xr:uid="{D083B1B7-2563-4647-9929-FC2966CA33F0}"/>
    <cellStyle name="40% - Accent2 2 3 2 4 3" xfId="18746" xr:uid="{82F53CA8-9D57-4FC2-AA49-7418EB83D555}"/>
    <cellStyle name="40% - Accent2 2 3 2 5" xfId="19386" xr:uid="{4C7C807C-31F1-41C7-95B9-E7A1B88DC553}"/>
    <cellStyle name="40% - Accent2 2 3 2 6" xfId="10087" xr:uid="{EB85D59E-6CE1-480A-86D4-EBD26BA55415}"/>
    <cellStyle name="40% - Accent2 2 3 3" xfId="1083" xr:uid="{00000000-0005-0000-0000-000090040000}"/>
    <cellStyle name="40% - Accent2 2 3 3 2" xfId="3314" xr:uid="{00000000-0005-0000-0000-000091040000}"/>
    <cellStyle name="40% - Accent2 2 3 3 2 2" xfId="7536" xr:uid="{00000000-0005-0000-0000-000092040000}"/>
    <cellStyle name="40% - Accent2 2 3 3 2 2 2" xfId="26161" xr:uid="{CE18F429-0803-4C41-85B8-720A86B7A660}"/>
    <cellStyle name="40% - Accent2 2 3 3 2 2 3" xfId="16862" xr:uid="{EA497EC3-88A9-4BD6-B8EE-F346EB53E813}"/>
    <cellStyle name="40% - Accent2 2 3 3 2 3" xfId="21944" xr:uid="{6530105A-45EA-46C2-897F-6EFDD32EE450}"/>
    <cellStyle name="40% - Accent2 2 3 3 2 4" xfId="12645" xr:uid="{48CA6E8E-898D-4E3E-91E6-E38C1927E04B}"/>
    <cellStyle name="40% - Accent2 2 3 3 3" xfId="5391" xr:uid="{00000000-0005-0000-0000-000093040000}"/>
    <cellStyle name="40% - Accent2 2 3 3 3 2" xfId="24016" xr:uid="{DE916808-DC12-486A-AE2C-F62EF24A0137}"/>
    <cellStyle name="40% - Accent2 2 3 3 3 3" xfId="14717" xr:uid="{DD7B6C2B-73C5-4D12-BD92-97619939D69A}"/>
    <cellStyle name="40% - Accent2 2 3 3 4" xfId="19799" xr:uid="{912125D2-6E73-4E39-832A-BED0CC632835}"/>
    <cellStyle name="40% - Accent2 2 3 3 5" xfId="10500" xr:uid="{AE463B7A-6AFF-487E-8CED-70CF20001374}"/>
    <cellStyle name="40% - Accent2 2 3 4" xfId="1497" xr:uid="{00000000-0005-0000-0000-000094040000}"/>
    <cellStyle name="40% - Accent2 2 3 4 2" xfId="3727" xr:uid="{00000000-0005-0000-0000-000095040000}"/>
    <cellStyle name="40% - Accent2 2 3 4 2 2" xfId="7949" xr:uid="{00000000-0005-0000-0000-000096040000}"/>
    <cellStyle name="40% - Accent2 2 3 4 2 2 2" xfId="26574" xr:uid="{8DF62F20-0E54-4FBF-9895-EB2A349F010F}"/>
    <cellStyle name="40% - Accent2 2 3 4 2 2 3" xfId="17275" xr:uid="{36DFE7D9-C323-4816-8493-7880E043D0E1}"/>
    <cellStyle name="40% - Accent2 2 3 4 2 3" xfId="22357" xr:uid="{572DBFFE-FF3F-4B6B-B0E3-2F8F15FF0D2E}"/>
    <cellStyle name="40% - Accent2 2 3 4 2 4" xfId="13058" xr:uid="{8FA4C150-C1A0-476A-A509-DEFD05C4D641}"/>
    <cellStyle name="40% - Accent2 2 3 4 3" xfId="5804" xr:uid="{00000000-0005-0000-0000-000097040000}"/>
    <cellStyle name="40% - Accent2 2 3 4 3 2" xfId="24429" xr:uid="{C30888BE-676E-4D15-9DA8-49C1DD5C4670}"/>
    <cellStyle name="40% - Accent2 2 3 4 3 3" xfId="15130" xr:uid="{7616BCAA-885D-4FF9-9789-D92C2AF04D0D}"/>
    <cellStyle name="40% - Accent2 2 3 4 4" xfId="20212" xr:uid="{44B8107C-C732-496E-BEEA-338563D9AB44}"/>
    <cellStyle name="40% - Accent2 2 3 4 5" xfId="10913" xr:uid="{B97BF1A8-14A4-4A64-AF55-172F6AC763B3}"/>
    <cellStyle name="40% - Accent2 2 3 5" xfId="1911" xr:uid="{00000000-0005-0000-0000-000098040000}"/>
    <cellStyle name="40% - Accent2 2 3 5 2" xfId="4140" xr:uid="{00000000-0005-0000-0000-000099040000}"/>
    <cellStyle name="40% - Accent2 2 3 5 2 2" xfId="8362" xr:uid="{00000000-0005-0000-0000-00009A040000}"/>
    <cellStyle name="40% - Accent2 2 3 5 2 2 2" xfId="26987" xr:uid="{1DC70107-A88C-4DE3-903C-3DC1E88AAECC}"/>
    <cellStyle name="40% - Accent2 2 3 5 2 2 3" xfId="17688" xr:uid="{C35CA06A-A899-4D15-88E3-F731EB2D1B58}"/>
    <cellStyle name="40% - Accent2 2 3 5 2 3" xfId="22770" xr:uid="{469C4FEB-64A1-41BC-903B-BCBD3843E59B}"/>
    <cellStyle name="40% - Accent2 2 3 5 2 4" xfId="13471" xr:uid="{CA3B22A0-9920-473A-83DD-0FAA39A867BB}"/>
    <cellStyle name="40% - Accent2 2 3 5 3" xfId="6217" xr:uid="{00000000-0005-0000-0000-00009B040000}"/>
    <cellStyle name="40% - Accent2 2 3 5 3 2" xfId="24842" xr:uid="{3A006D91-8003-42AD-AF2C-AFF50FFFF8C5}"/>
    <cellStyle name="40% - Accent2 2 3 5 3 3" xfId="15543" xr:uid="{8354D630-64F9-4FD7-BBA1-784865A06816}"/>
    <cellStyle name="40% - Accent2 2 3 5 4" xfId="20625" xr:uid="{406C675E-48BC-4B3C-AD21-E7CAC1DF6399}"/>
    <cellStyle name="40% - Accent2 2 3 5 5" xfId="11326" xr:uid="{485B3EDC-AF87-4D86-B8B5-95FB18FB48B6}"/>
    <cellStyle name="40% - Accent2 2 3 6" xfId="2324" xr:uid="{00000000-0005-0000-0000-00009C040000}"/>
    <cellStyle name="40% - Accent2 2 3 6 2" xfId="6630" xr:uid="{00000000-0005-0000-0000-00009D040000}"/>
    <cellStyle name="40% - Accent2 2 3 6 2 2" xfId="25255" xr:uid="{58292D08-D005-4AC9-9AEB-A0A5AF49434C}"/>
    <cellStyle name="40% - Accent2 2 3 6 2 3" xfId="15956" xr:uid="{50E3DEB2-8CB6-4BDA-B37E-81D24665705A}"/>
    <cellStyle name="40% - Accent2 2 3 6 3" xfId="21038" xr:uid="{2E5B7757-6E27-44C0-9AE5-4E3AC5959B9F}"/>
    <cellStyle name="40% - Accent2 2 3 6 4" xfId="11739" xr:uid="{90990F2A-4018-4AD1-8124-7B970CF31070}"/>
    <cellStyle name="40% - Accent2 2 3 7" xfId="4564" xr:uid="{00000000-0005-0000-0000-00009E040000}"/>
    <cellStyle name="40% - Accent2 2 3 7 2" xfId="23189" xr:uid="{D0A9E521-D5F7-430D-800C-233826CDFCDA}"/>
    <cellStyle name="40% - Accent2 2 3 7 3" xfId="13890" xr:uid="{4E17D685-4A6E-44B3-909C-C1AAF32954FF}"/>
    <cellStyle name="40% - Accent2 2 3 8" xfId="9006" xr:uid="{E6E89EA5-B76F-4FCC-89B9-DD4135B6364B}"/>
    <cellStyle name="40% - Accent2 2 3 8 2" xfId="27629" xr:uid="{32A0C3B7-2321-49C9-8A74-464731EECF43}"/>
    <cellStyle name="40% - Accent2 2 3 8 3" xfId="18330" xr:uid="{48EE9615-D7BF-4848-BD1C-5D45B15B54E6}"/>
    <cellStyle name="40% - Accent2 2 3 9" xfId="18972" xr:uid="{90683ACC-8185-4014-B4BF-8ACBE6C75B96}"/>
    <cellStyle name="40% - Accent2 2 4" xfId="627" xr:uid="{00000000-0005-0000-0000-00009F040000}"/>
    <cellStyle name="40% - Accent2 2 4 2" xfId="2898" xr:uid="{00000000-0005-0000-0000-0000A0040000}"/>
    <cellStyle name="40% - Accent2 2 4 2 2" xfId="7120" xr:uid="{00000000-0005-0000-0000-0000A1040000}"/>
    <cellStyle name="40% - Accent2 2 4 2 2 2" xfId="25745" xr:uid="{530F80D8-50AE-488C-A6A4-ABFAA66B2E32}"/>
    <cellStyle name="40% - Accent2 2 4 2 2 3" xfId="16446" xr:uid="{BD39A677-3C91-4224-AFBC-297C8BB802B4}"/>
    <cellStyle name="40% - Accent2 2 4 2 3" xfId="21528" xr:uid="{0F359AD0-7274-403D-B08D-76CD459BC961}"/>
    <cellStyle name="40% - Accent2 2 4 2 4" xfId="12229" xr:uid="{271523C8-F402-4CF9-9208-914EF4EE4B95}"/>
    <cellStyle name="40% - Accent2 2 4 3" xfId="4975" xr:uid="{00000000-0005-0000-0000-0000A2040000}"/>
    <cellStyle name="40% - Accent2 2 4 3 2" xfId="23600" xr:uid="{E7D8923D-487D-41ED-9288-CC07CE43B3EA}"/>
    <cellStyle name="40% - Accent2 2 4 3 3" xfId="14301" xr:uid="{B79E4E60-646F-43D7-83F8-8706E7022CCF}"/>
    <cellStyle name="40% - Accent2 2 4 4" xfId="9223" xr:uid="{FA9890B4-781A-4E4C-81EE-BC7448559828}"/>
    <cellStyle name="40% - Accent2 2 4 4 2" xfId="27838" xr:uid="{0D14262E-E988-4E25-BBF0-FD80881D7381}"/>
    <cellStyle name="40% - Accent2 2 4 4 3" xfId="18539" xr:uid="{349397F8-A8E0-4250-8F6F-5B7ECA0F131D}"/>
    <cellStyle name="40% - Accent2 2 4 5" xfId="19383" xr:uid="{AE0C08F0-0E95-47FF-884F-4D947A956FE8}"/>
    <cellStyle name="40% - Accent2 2 4 6" xfId="10084" xr:uid="{AB7D26BC-047E-4064-BE4D-362E84435C9F}"/>
    <cellStyle name="40% - Accent2 2 5" xfId="1080" xr:uid="{00000000-0005-0000-0000-0000A3040000}"/>
    <cellStyle name="40% - Accent2 2 5 2" xfId="3311" xr:uid="{00000000-0005-0000-0000-0000A4040000}"/>
    <cellStyle name="40% - Accent2 2 5 2 2" xfId="7533" xr:uid="{00000000-0005-0000-0000-0000A5040000}"/>
    <cellStyle name="40% - Accent2 2 5 2 2 2" xfId="26158" xr:uid="{A17A5FBD-A0A0-48AB-B1DA-A3171C6979F7}"/>
    <cellStyle name="40% - Accent2 2 5 2 2 3" xfId="16859" xr:uid="{56A34DA5-212D-43E4-9D68-CAB484329211}"/>
    <cellStyle name="40% - Accent2 2 5 2 3" xfId="21941" xr:uid="{39145DC5-4BF0-4E35-8D0C-EB99F806DF53}"/>
    <cellStyle name="40% - Accent2 2 5 2 4" xfId="12642" xr:uid="{1C8BEA5C-0942-4307-932C-C14161D361C0}"/>
    <cellStyle name="40% - Accent2 2 5 3" xfId="5388" xr:uid="{00000000-0005-0000-0000-0000A6040000}"/>
    <cellStyle name="40% - Accent2 2 5 3 2" xfId="24013" xr:uid="{20E13376-1693-4442-8386-2FAF7107CBFA}"/>
    <cellStyle name="40% - Accent2 2 5 3 3" xfId="14714" xr:uid="{D8C866A4-1E7E-4CE3-BA01-2AD74F813CC3}"/>
    <cellStyle name="40% - Accent2 2 5 4" xfId="19796" xr:uid="{FF032017-D55D-48EA-9C9C-594ADF60BF4B}"/>
    <cellStyle name="40% - Accent2 2 5 5" xfId="10497" xr:uid="{849E7CD2-B980-45D2-A0A2-FF12922E849E}"/>
    <cellStyle name="40% - Accent2 2 6" xfId="1494" xr:uid="{00000000-0005-0000-0000-0000A7040000}"/>
    <cellStyle name="40% - Accent2 2 6 2" xfId="3724" xr:uid="{00000000-0005-0000-0000-0000A8040000}"/>
    <cellStyle name="40% - Accent2 2 6 2 2" xfId="7946" xr:uid="{00000000-0005-0000-0000-0000A9040000}"/>
    <cellStyle name="40% - Accent2 2 6 2 2 2" xfId="26571" xr:uid="{4E2963B7-AF73-4966-979A-588B6131D5F5}"/>
    <cellStyle name="40% - Accent2 2 6 2 2 3" xfId="17272" xr:uid="{1A81DC86-1D0B-41EF-88CC-F20A138BE203}"/>
    <cellStyle name="40% - Accent2 2 6 2 3" xfId="22354" xr:uid="{4B407838-2F69-4A05-9BD7-8B2A731D3F57}"/>
    <cellStyle name="40% - Accent2 2 6 2 4" xfId="13055" xr:uid="{74E029D2-E2D3-444C-AC1B-9B42D7508E94}"/>
    <cellStyle name="40% - Accent2 2 6 3" xfId="5801" xr:uid="{00000000-0005-0000-0000-0000AA040000}"/>
    <cellStyle name="40% - Accent2 2 6 3 2" xfId="24426" xr:uid="{0E21BC6E-3529-47A7-A4CB-5CE65504EC0E}"/>
    <cellStyle name="40% - Accent2 2 6 3 3" xfId="15127" xr:uid="{10F7A5CD-C07A-4F17-A052-F790D1147FFF}"/>
    <cellStyle name="40% - Accent2 2 6 4" xfId="20209" xr:uid="{EEA9C88F-066B-405F-A95B-4A05BFAAD9AB}"/>
    <cellStyle name="40% - Accent2 2 6 5" xfId="10910" xr:uid="{DD08BAA5-F2B4-4349-B2E6-01870F356E7F}"/>
    <cellStyle name="40% - Accent2 2 7" xfId="1908" xr:uid="{00000000-0005-0000-0000-0000AB040000}"/>
    <cellStyle name="40% - Accent2 2 7 2" xfId="4137" xr:uid="{00000000-0005-0000-0000-0000AC040000}"/>
    <cellStyle name="40% - Accent2 2 7 2 2" xfId="8359" xr:uid="{00000000-0005-0000-0000-0000AD040000}"/>
    <cellStyle name="40% - Accent2 2 7 2 2 2" xfId="26984" xr:uid="{E160A8E3-FACA-4127-97C6-C7B26931958A}"/>
    <cellStyle name="40% - Accent2 2 7 2 2 3" xfId="17685" xr:uid="{141043C8-409F-4334-95EA-F32B2B0591F0}"/>
    <cellStyle name="40% - Accent2 2 7 2 3" xfId="22767" xr:uid="{FBD4E196-F16C-44B4-8EF2-8C0D67C1B5B5}"/>
    <cellStyle name="40% - Accent2 2 7 2 4" xfId="13468" xr:uid="{7E2ABC48-C2B2-4C48-A2E0-32F13F9D7A51}"/>
    <cellStyle name="40% - Accent2 2 7 3" xfId="6214" xr:uid="{00000000-0005-0000-0000-0000AE040000}"/>
    <cellStyle name="40% - Accent2 2 7 3 2" xfId="24839" xr:uid="{C71415E8-69CA-4F3C-8E4B-9DBA4D4A20C8}"/>
    <cellStyle name="40% - Accent2 2 7 3 3" xfId="15540" xr:uid="{C2F63593-59B8-4BBB-AB4B-390B632EC17A}"/>
    <cellStyle name="40% - Accent2 2 7 4" xfId="20622" xr:uid="{1556C266-9D5E-4798-99A8-FCA05417019A}"/>
    <cellStyle name="40% - Accent2 2 7 5" xfId="11323" xr:uid="{059596B4-02F4-480D-B1FC-223ED375C9E1}"/>
    <cellStyle name="40% - Accent2 2 8" xfId="2321" xr:uid="{00000000-0005-0000-0000-0000AF040000}"/>
    <cellStyle name="40% - Accent2 2 8 2" xfId="6627" xr:uid="{00000000-0005-0000-0000-0000B0040000}"/>
    <cellStyle name="40% - Accent2 2 8 2 2" xfId="25252" xr:uid="{1D74C330-C1D0-4E7F-B1CC-1E7EC7D96B2E}"/>
    <cellStyle name="40% - Accent2 2 8 2 3" xfId="15953" xr:uid="{AD06B12C-4EA4-42AC-83A4-33658B502A58}"/>
    <cellStyle name="40% - Accent2 2 8 3" xfId="21035" xr:uid="{ECE2E7FD-975F-4874-86A7-FDC8A921DAB5}"/>
    <cellStyle name="40% - Accent2 2 8 4" xfId="11736" xr:uid="{1102C704-DA43-4CEA-8D19-C622AB42E56C}"/>
    <cellStyle name="40% - Accent2 2 9" xfId="4561" xr:uid="{00000000-0005-0000-0000-0000B1040000}"/>
    <cellStyle name="40% - Accent2 2 9 2" xfId="23186" xr:uid="{AC6B606A-50F9-4AC3-8006-8BE1767890F6}"/>
    <cellStyle name="40% - Accent2 2 9 3" xfId="13887" xr:uid="{2B8DD526-35FA-4025-8A9A-7EA79DF7D129}"/>
    <cellStyle name="40% - Accent2 3" xfId="62" xr:uid="{00000000-0005-0000-0000-0000B2040000}"/>
    <cellStyle name="40% - Accent2 3 10" xfId="18973" xr:uid="{698A0463-E4B5-4551-AF91-552DE15BD850}"/>
    <cellStyle name="40% - Accent2 3 11" xfId="9674" xr:uid="{C15F5B77-BB38-4886-BF43-3EFEE82B71B3}"/>
    <cellStyle name="40% - Accent2 3 2" xfId="63" xr:uid="{00000000-0005-0000-0000-0000B3040000}"/>
    <cellStyle name="40% - Accent2 3 2 10" xfId="9675" xr:uid="{C16C80B2-DB8C-48D7-8ED3-C9EBB41F3DBF}"/>
    <cellStyle name="40% - Accent2 3 2 2" xfId="632" xr:uid="{00000000-0005-0000-0000-0000B4040000}"/>
    <cellStyle name="40% - Accent2 3 2 2 2" xfId="2903" xr:uid="{00000000-0005-0000-0000-0000B5040000}"/>
    <cellStyle name="40% - Accent2 3 2 2 2 2" xfId="7125" xr:uid="{00000000-0005-0000-0000-0000B6040000}"/>
    <cellStyle name="40% - Accent2 3 2 2 2 2 2" xfId="25750" xr:uid="{D6244F74-E934-4014-869A-D46355D910B8}"/>
    <cellStyle name="40% - Accent2 3 2 2 2 2 3" xfId="16451" xr:uid="{CD6A0A69-256F-486A-9175-279BE2DCEFFA}"/>
    <cellStyle name="40% - Accent2 3 2 2 2 3" xfId="21533" xr:uid="{7E2ED732-5ED8-4BB4-8359-9C46B58693F4}"/>
    <cellStyle name="40% - Accent2 3 2 2 2 4" xfId="12234" xr:uid="{BF1B5CC4-0C10-4F5B-94C1-C7217486878B}"/>
    <cellStyle name="40% - Accent2 3 2 2 3" xfId="4980" xr:uid="{00000000-0005-0000-0000-0000B7040000}"/>
    <cellStyle name="40% - Accent2 3 2 2 3 2" xfId="23605" xr:uid="{14F30BDC-695C-4EE7-A8EF-487D9863A00D}"/>
    <cellStyle name="40% - Accent2 3 2 2 3 3" xfId="14306" xr:uid="{013CF027-25C8-47DD-8367-C53296102041}"/>
    <cellStyle name="40% - Accent2 3 2 2 4" xfId="9496" xr:uid="{700FA1AF-D943-4FDB-BFB1-F903AD1F731A}"/>
    <cellStyle name="40% - Accent2 3 2 2 4 2" xfId="28110" xr:uid="{A54EDF13-BA82-4336-BEEF-C833D8B98905}"/>
    <cellStyle name="40% - Accent2 3 2 2 4 3" xfId="18811" xr:uid="{413E75A9-0E66-4C0D-8A31-74AEA682E9FF}"/>
    <cellStyle name="40% - Accent2 3 2 2 5" xfId="19388" xr:uid="{81C97180-785C-48EC-99B5-5F385B835B6E}"/>
    <cellStyle name="40% - Accent2 3 2 2 6" xfId="10089" xr:uid="{E5D3B41A-CA7C-4822-993B-AF478D27BDE4}"/>
    <cellStyle name="40% - Accent2 3 2 3" xfId="1085" xr:uid="{00000000-0005-0000-0000-0000B8040000}"/>
    <cellStyle name="40% - Accent2 3 2 3 2" xfId="3316" xr:uid="{00000000-0005-0000-0000-0000B9040000}"/>
    <cellStyle name="40% - Accent2 3 2 3 2 2" xfId="7538" xr:uid="{00000000-0005-0000-0000-0000BA040000}"/>
    <cellStyle name="40% - Accent2 3 2 3 2 2 2" xfId="26163" xr:uid="{13ADBEC8-C872-4C82-8013-93F11D49D4AE}"/>
    <cellStyle name="40% - Accent2 3 2 3 2 2 3" xfId="16864" xr:uid="{D81A91AF-054D-4CA5-8DC3-39A24DABE4BB}"/>
    <cellStyle name="40% - Accent2 3 2 3 2 3" xfId="21946" xr:uid="{D5961DAB-81A8-424F-85BF-14B4FC203C80}"/>
    <cellStyle name="40% - Accent2 3 2 3 2 4" xfId="12647" xr:uid="{091B7238-7310-446A-9F58-D22E02BB2619}"/>
    <cellStyle name="40% - Accent2 3 2 3 3" xfId="5393" xr:uid="{00000000-0005-0000-0000-0000BB040000}"/>
    <cellStyle name="40% - Accent2 3 2 3 3 2" xfId="24018" xr:uid="{36042FE8-22CE-41A4-A09A-7B1777B6A278}"/>
    <cellStyle name="40% - Accent2 3 2 3 3 3" xfId="14719" xr:uid="{C32774EE-E8CA-456A-BE4D-A9FF52B16748}"/>
    <cellStyle name="40% - Accent2 3 2 3 4" xfId="19801" xr:uid="{914EC5B1-4C49-4677-A2C9-B3C3273C2450}"/>
    <cellStyle name="40% - Accent2 3 2 3 5" xfId="10502" xr:uid="{E12FF8AA-0465-45C8-A36A-F04B6D30920B}"/>
    <cellStyle name="40% - Accent2 3 2 4" xfId="1499" xr:uid="{00000000-0005-0000-0000-0000BC040000}"/>
    <cellStyle name="40% - Accent2 3 2 4 2" xfId="3729" xr:uid="{00000000-0005-0000-0000-0000BD040000}"/>
    <cellStyle name="40% - Accent2 3 2 4 2 2" xfId="7951" xr:uid="{00000000-0005-0000-0000-0000BE040000}"/>
    <cellStyle name="40% - Accent2 3 2 4 2 2 2" xfId="26576" xr:uid="{BEFD3420-DC18-4641-9918-B53A2B94E3CA}"/>
    <cellStyle name="40% - Accent2 3 2 4 2 2 3" xfId="17277" xr:uid="{C430DD03-3327-4729-B51D-92E7C39214AB}"/>
    <cellStyle name="40% - Accent2 3 2 4 2 3" xfId="22359" xr:uid="{C242A549-B510-46A0-AA29-20A5AF1307FE}"/>
    <cellStyle name="40% - Accent2 3 2 4 2 4" xfId="13060" xr:uid="{08C4F329-CFB4-4579-97D6-4B765C71F807}"/>
    <cellStyle name="40% - Accent2 3 2 4 3" xfId="5806" xr:uid="{00000000-0005-0000-0000-0000BF040000}"/>
    <cellStyle name="40% - Accent2 3 2 4 3 2" xfId="24431" xr:uid="{11FB56B2-041D-4251-95F2-8A8D53CD5B68}"/>
    <cellStyle name="40% - Accent2 3 2 4 3 3" xfId="15132" xr:uid="{E4E102A9-8A3E-4135-994D-AA4617F25D0C}"/>
    <cellStyle name="40% - Accent2 3 2 4 4" xfId="20214" xr:uid="{D9235742-0DBC-482B-B562-53581D040A56}"/>
    <cellStyle name="40% - Accent2 3 2 4 5" xfId="10915" xr:uid="{C0C710C1-C27D-4D66-AFF6-BEA03066B9F9}"/>
    <cellStyle name="40% - Accent2 3 2 5" xfId="1913" xr:uid="{00000000-0005-0000-0000-0000C0040000}"/>
    <cellStyle name="40% - Accent2 3 2 5 2" xfId="4142" xr:uid="{00000000-0005-0000-0000-0000C1040000}"/>
    <cellStyle name="40% - Accent2 3 2 5 2 2" xfId="8364" xr:uid="{00000000-0005-0000-0000-0000C2040000}"/>
    <cellStyle name="40% - Accent2 3 2 5 2 2 2" xfId="26989" xr:uid="{D4DB797F-8049-4DC2-8F7D-68B3A4C3F958}"/>
    <cellStyle name="40% - Accent2 3 2 5 2 2 3" xfId="17690" xr:uid="{C27421C1-EA74-44EB-B972-CE3F0BECEFA3}"/>
    <cellStyle name="40% - Accent2 3 2 5 2 3" xfId="22772" xr:uid="{B0F33B98-0750-4668-A09E-F65D3F8ED24A}"/>
    <cellStyle name="40% - Accent2 3 2 5 2 4" xfId="13473" xr:uid="{DC6809EF-3F5A-4AD8-BD9F-CA89C83514F5}"/>
    <cellStyle name="40% - Accent2 3 2 5 3" xfId="6219" xr:uid="{00000000-0005-0000-0000-0000C3040000}"/>
    <cellStyle name="40% - Accent2 3 2 5 3 2" xfId="24844" xr:uid="{22E3F013-61DB-46C4-84C7-5D25D167B841}"/>
    <cellStyle name="40% - Accent2 3 2 5 3 3" xfId="15545" xr:uid="{E1141395-BD08-4F2B-B5D1-67CA2FB7BB7F}"/>
    <cellStyle name="40% - Accent2 3 2 5 4" xfId="20627" xr:uid="{C6EEB725-CAE4-478D-9BE5-1C0AD00E7E6B}"/>
    <cellStyle name="40% - Accent2 3 2 5 5" xfId="11328" xr:uid="{A4CD03D0-09A1-40DC-9BFF-D5FF0F27DB77}"/>
    <cellStyle name="40% - Accent2 3 2 6" xfId="2326" xr:uid="{00000000-0005-0000-0000-0000C4040000}"/>
    <cellStyle name="40% - Accent2 3 2 6 2" xfId="6632" xr:uid="{00000000-0005-0000-0000-0000C5040000}"/>
    <cellStyle name="40% - Accent2 3 2 6 2 2" xfId="25257" xr:uid="{5DC33D73-FF58-4AA8-BD13-04CAE1ED852B}"/>
    <cellStyle name="40% - Accent2 3 2 6 2 3" xfId="15958" xr:uid="{45640E96-B65F-4866-AC31-74DA8E5ECB15}"/>
    <cellStyle name="40% - Accent2 3 2 6 3" xfId="21040" xr:uid="{46D12E63-8715-4DAC-BC71-A9A211381AA3}"/>
    <cellStyle name="40% - Accent2 3 2 6 4" xfId="11741" xr:uid="{0CF832CF-B833-4277-836C-0BFB4C05CB00}"/>
    <cellStyle name="40% - Accent2 3 2 7" xfId="4566" xr:uid="{00000000-0005-0000-0000-0000C6040000}"/>
    <cellStyle name="40% - Accent2 3 2 7 2" xfId="23191" xr:uid="{D00AD0E8-3C60-4AEB-8B86-C6583AA5A24C}"/>
    <cellStyle name="40% - Accent2 3 2 7 3" xfId="13892" xr:uid="{2DFBBF3D-D69C-4559-A9EA-4FF6E73C0DC5}"/>
    <cellStyle name="40% - Accent2 3 2 8" xfId="9071" xr:uid="{B5463F05-11FC-4377-B380-DDB549C63AA9}"/>
    <cellStyle name="40% - Accent2 3 2 8 2" xfId="27694" xr:uid="{AB3FEF1E-3FA0-4892-854E-D7A6BB76E9AD}"/>
    <cellStyle name="40% - Accent2 3 2 8 3" xfId="18395" xr:uid="{6EB89F1F-5D68-4F7E-AA7D-5432F8D86A7B}"/>
    <cellStyle name="40% - Accent2 3 2 9" xfId="18974" xr:uid="{5B73EFA5-2B41-488D-80B6-B883AE3AD16B}"/>
    <cellStyle name="40% - Accent2 3 3" xfId="631" xr:uid="{00000000-0005-0000-0000-0000C7040000}"/>
    <cellStyle name="40% - Accent2 3 3 2" xfId="2902" xr:uid="{00000000-0005-0000-0000-0000C8040000}"/>
    <cellStyle name="40% - Accent2 3 3 2 2" xfId="7124" xr:uid="{00000000-0005-0000-0000-0000C9040000}"/>
    <cellStyle name="40% - Accent2 3 3 2 2 2" xfId="25749" xr:uid="{7246A4A5-4AA6-44B3-A27E-CD820AEA7D68}"/>
    <cellStyle name="40% - Accent2 3 3 2 2 3" xfId="16450" xr:uid="{BD14B024-8C4B-400C-B416-CA5F1013736D}"/>
    <cellStyle name="40% - Accent2 3 3 2 3" xfId="21532" xr:uid="{9F49FC52-42C4-42A9-AACD-10DDD740D0F8}"/>
    <cellStyle name="40% - Accent2 3 3 2 4" xfId="12233" xr:uid="{1F108930-AE8B-419A-9182-0A0429ED1A0C}"/>
    <cellStyle name="40% - Accent2 3 3 3" xfId="4979" xr:uid="{00000000-0005-0000-0000-0000CA040000}"/>
    <cellStyle name="40% - Accent2 3 3 3 2" xfId="23604" xr:uid="{6E1C7184-5B74-4B7E-812B-23C99072A76D}"/>
    <cellStyle name="40% - Accent2 3 3 3 3" xfId="14305" xr:uid="{3ABE6CFC-66F5-4509-9820-E6A47B43FB96}"/>
    <cellStyle name="40% - Accent2 3 3 4" xfId="9289" xr:uid="{B234EB9F-4AFE-41A2-A17D-ABC1D0F80875}"/>
    <cellStyle name="40% - Accent2 3 3 4 2" xfId="27903" xr:uid="{049B453F-1326-4535-B4FD-6C13FCEDF5EA}"/>
    <cellStyle name="40% - Accent2 3 3 4 3" xfId="18604" xr:uid="{4BCF4D2B-D6E5-4F6B-BC2B-97EF9618DE08}"/>
    <cellStyle name="40% - Accent2 3 3 5" xfId="19387" xr:uid="{94093AF6-66B8-4563-8395-2DDDD62EA071}"/>
    <cellStyle name="40% - Accent2 3 3 6" xfId="10088" xr:uid="{8DBEF3D9-F167-4AA9-8FBA-1664C15B799E}"/>
    <cellStyle name="40% - Accent2 3 4" xfId="1084" xr:uid="{00000000-0005-0000-0000-0000CB040000}"/>
    <cellStyle name="40% - Accent2 3 4 2" xfId="3315" xr:uid="{00000000-0005-0000-0000-0000CC040000}"/>
    <cellStyle name="40% - Accent2 3 4 2 2" xfId="7537" xr:uid="{00000000-0005-0000-0000-0000CD040000}"/>
    <cellStyle name="40% - Accent2 3 4 2 2 2" xfId="26162" xr:uid="{22973DF7-1B3F-4544-A28D-A15C9CA114B6}"/>
    <cellStyle name="40% - Accent2 3 4 2 2 3" xfId="16863" xr:uid="{9136DBBC-EEEB-478C-94E1-8961690EF204}"/>
    <cellStyle name="40% - Accent2 3 4 2 3" xfId="21945" xr:uid="{E403506B-1F92-4DA3-BB39-806CEDE9435F}"/>
    <cellStyle name="40% - Accent2 3 4 2 4" xfId="12646" xr:uid="{9C65B07C-E2B0-4CED-AE03-D32B3D659823}"/>
    <cellStyle name="40% - Accent2 3 4 3" xfId="5392" xr:uid="{00000000-0005-0000-0000-0000CE040000}"/>
    <cellStyle name="40% - Accent2 3 4 3 2" xfId="24017" xr:uid="{909F5721-8003-403A-B846-F2E4A0BEEBBF}"/>
    <cellStyle name="40% - Accent2 3 4 3 3" xfId="14718" xr:uid="{FAE58F39-B3C0-4488-A59E-F0B507594BD1}"/>
    <cellStyle name="40% - Accent2 3 4 4" xfId="19800" xr:uid="{25A96BAC-54D2-4BA7-9B03-6FD187DDD435}"/>
    <cellStyle name="40% - Accent2 3 4 5" xfId="10501" xr:uid="{8E4C4B76-EF4F-40E0-A4F0-5AEC2C702884}"/>
    <cellStyle name="40% - Accent2 3 5" xfId="1498" xr:uid="{00000000-0005-0000-0000-0000CF040000}"/>
    <cellStyle name="40% - Accent2 3 5 2" xfId="3728" xr:uid="{00000000-0005-0000-0000-0000D0040000}"/>
    <cellStyle name="40% - Accent2 3 5 2 2" xfId="7950" xr:uid="{00000000-0005-0000-0000-0000D1040000}"/>
    <cellStyle name="40% - Accent2 3 5 2 2 2" xfId="26575" xr:uid="{7879CBE6-BC20-4F25-B613-03210D463B3F}"/>
    <cellStyle name="40% - Accent2 3 5 2 2 3" xfId="17276" xr:uid="{198B935A-F5F7-46C3-BA94-366B5130339C}"/>
    <cellStyle name="40% - Accent2 3 5 2 3" xfId="22358" xr:uid="{08875DE6-819F-4AE4-A232-E7858314576B}"/>
    <cellStyle name="40% - Accent2 3 5 2 4" xfId="13059" xr:uid="{CC94AA7B-FC57-403C-85D8-4C45ECE7B788}"/>
    <cellStyle name="40% - Accent2 3 5 3" xfId="5805" xr:uid="{00000000-0005-0000-0000-0000D2040000}"/>
    <cellStyle name="40% - Accent2 3 5 3 2" xfId="24430" xr:uid="{4CA22231-0B78-4164-8038-DD688AD7A8ED}"/>
    <cellStyle name="40% - Accent2 3 5 3 3" xfId="15131" xr:uid="{624A4E29-EC64-4FEB-A00D-825B070EE5FE}"/>
    <cellStyle name="40% - Accent2 3 5 4" xfId="20213" xr:uid="{7DED44F2-8B78-4952-9399-BCE776ED7A90}"/>
    <cellStyle name="40% - Accent2 3 5 5" xfId="10914" xr:uid="{7DF7BD3A-4214-494C-A833-FB5844C71050}"/>
    <cellStyle name="40% - Accent2 3 6" xfId="1912" xr:uid="{00000000-0005-0000-0000-0000D3040000}"/>
    <cellStyle name="40% - Accent2 3 6 2" xfId="4141" xr:uid="{00000000-0005-0000-0000-0000D4040000}"/>
    <cellStyle name="40% - Accent2 3 6 2 2" xfId="8363" xr:uid="{00000000-0005-0000-0000-0000D5040000}"/>
    <cellStyle name="40% - Accent2 3 6 2 2 2" xfId="26988" xr:uid="{1E790FC5-D4AC-469B-965A-4CB10658D8C6}"/>
    <cellStyle name="40% - Accent2 3 6 2 2 3" xfId="17689" xr:uid="{5E8588FB-6CD4-4276-A94A-91B0FEBA8F59}"/>
    <cellStyle name="40% - Accent2 3 6 2 3" xfId="22771" xr:uid="{D8A8AF4B-ECDA-4E2D-B595-90BBFFDADBA6}"/>
    <cellStyle name="40% - Accent2 3 6 2 4" xfId="13472" xr:uid="{2D3DBB78-9F5F-4846-8EF2-8DE2B4C1735A}"/>
    <cellStyle name="40% - Accent2 3 6 3" xfId="6218" xr:uid="{00000000-0005-0000-0000-0000D6040000}"/>
    <cellStyle name="40% - Accent2 3 6 3 2" xfId="24843" xr:uid="{6913CED5-EEFE-4732-B754-AE218D1A579F}"/>
    <cellStyle name="40% - Accent2 3 6 3 3" xfId="15544" xr:uid="{334DD8F4-91AF-43E7-8501-930597EB4BB6}"/>
    <cellStyle name="40% - Accent2 3 6 4" xfId="20626" xr:uid="{4BDF8AE1-3738-459B-9792-E9913E232870}"/>
    <cellStyle name="40% - Accent2 3 6 5" xfId="11327" xr:uid="{BE1CFF22-ACD1-4059-B219-30977F01CAC4}"/>
    <cellStyle name="40% - Accent2 3 7" xfId="2325" xr:uid="{00000000-0005-0000-0000-0000D7040000}"/>
    <cellStyle name="40% - Accent2 3 7 2" xfId="6631" xr:uid="{00000000-0005-0000-0000-0000D8040000}"/>
    <cellStyle name="40% - Accent2 3 7 2 2" xfId="25256" xr:uid="{E82A7A48-CF90-4E72-A0DB-B3F2EC903AA0}"/>
    <cellStyle name="40% - Accent2 3 7 2 3" xfId="15957" xr:uid="{B1F6E753-2E2D-446C-9C52-15A8CD289497}"/>
    <cellStyle name="40% - Accent2 3 7 3" xfId="21039" xr:uid="{7F68258F-43A7-4594-A2BE-CECC101EB93E}"/>
    <cellStyle name="40% - Accent2 3 7 4" xfId="11740" xr:uid="{F8CEC1D0-FB13-4E8F-8118-B5AC32CBDAC6}"/>
    <cellStyle name="40% - Accent2 3 8" xfId="4565" xr:uid="{00000000-0005-0000-0000-0000D9040000}"/>
    <cellStyle name="40% - Accent2 3 8 2" xfId="23190" xr:uid="{EF753B4B-7645-4AE2-B231-B889C531DD9B}"/>
    <cellStyle name="40% - Accent2 3 8 3" xfId="13891" xr:uid="{8B88B1B2-3057-480D-9E59-308692F48C55}"/>
    <cellStyle name="40% - Accent2 3 9" xfId="8864" xr:uid="{311EF031-8CA9-4ACC-8705-6D408E1B50DB}"/>
    <cellStyle name="40% - Accent2 3 9 2" xfId="27487" xr:uid="{90DA2E77-F6C1-44F3-B4D0-87D4D0BA591A}"/>
    <cellStyle name="40% - Accent2 3 9 3" xfId="18188" xr:uid="{B69950CB-8036-4BAC-912A-2CE0FAE304EB}"/>
    <cellStyle name="40% - Accent2 4" xfId="64" xr:uid="{00000000-0005-0000-0000-0000DA040000}"/>
    <cellStyle name="40% - Accent2 4 10" xfId="9676" xr:uid="{E97F3AF3-DC18-4EC3-8CFE-3665608875D7}"/>
    <cellStyle name="40% - Accent2 4 2" xfId="633" xr:uid="{00000000-0005-0000-0000-0000DB040000}"/>
    <cellStyle name="40% - Accent2 4 2 2" xfId="2904" xr:uid="{00000000-0005-0000-0000-0000DC040000}"/>
    <cellStyle name="40% - Accent2 4 2 2 2" xfId="7126" xr:uid="{00000000-0005-0000-0000-0000DD040000}"/>
    <cellStyle name="40% - Accent2 4 2 2 2 2" xfId="25751" xr:uid="{E150D06A-094D-4E3E-92DF-D02544F6C6E9}"/>
    <cellStyle name="40% - Accent2 4 2 2 2 3" xfId="16452" xr:uid="{E919877F-8D89-4093-AB17-2F798B4BA762}"/>
    <cellStyle name="40% - Accent2 4 2 2 3" xfId="21534" xr:uid="{B3B82595-421F-4D39-AE5C-5AE59E274389}"/>
    <cellStyle name="40% - Accent2 4 2 2 4" xfId="12235" xr:uid="{F2EDF55A-88A0-443B-A31D-14EB75C7B046}"/>
    <cellStyle name="40% - Accent2 4 2 3" xfId="4981" xr:uid="{00000000-0005-0000-0000-0000DE040000}"/>
    <cellStyle name="40% - Accent2 4 2 3 2" xfId="23606" xr:uid="{9E8817B4-657F-4AE3-8061-055EBA7BD29E}"/>
    <cellStyle name="40% - Accent2 4 2 3 3" xfId="14307" xr:uid="{49070E0E-2183-404B-AC0F-1EE440D3913F}"/>
    <cellStyle name="40% - Accent2 4 2 4" xfId="9375" xr:uid="{E0F8B4F7-419E-40A5-89E1-F3F0DF6ADFF8}"/>
    <cellStyle name="40% - Accent2 4 2 4 2" xfId="27989" xr:uid="{E08383D5-6E13-48A2-B913-27D45EF48D70}"/>
    <cellStyle name="40% - Accent2 4 2 4 3" xfId="18690" xr:uid="{4B8EA74A-0145-425E-97B7-96F9414DD512}"/>
    <cellStyle name="40% - Accent2 4 2 5" xfId="19389" xr:uid="{35F6D10E-B26A-4B70-A166-641BBE8D419C}"/>
    <cellStyle name="40% - Accent2 4 2 6" xfId="10090" xr:uid="{1B5B0697-34FC-4FCC-8C15-9397D3A62DBA}"/>
    <cellStyle name="40% - Accent2 4 3" xfId="1086" xr:uid="{00000000-0005-0000-0000-0000DF040000}"/>
    <cellStyle name="40% - Accent2 4 3 2" xfId="3317" xr:uid="{00000000-0005-0000-0000-0000E0040000}"/>
    <cellStyle name="40% - Accent2 4 3 2 2" xfId="7539" xr:uid="{00000000-0005-0000-0000-0000E1040000}"/>
    <cellStyle name="40% - Accent2 4 3 2 2 2" xfId="26164" xr:uid="{A06AF042-E4C4-4CF3-A32D-29765E64315F}"/>
    <cellStyle name="40% - Accent2 4 3 2 2 3" xfId="16865" xr:uid="{EB356252-2946-4A9D-935B-30DC4B3C2C75}"/>
    <cellStyle name="40% - Accent2 4 3 2 3" xfId="21947" xr:uid="{3F9C36A8-6C3C-4ADA-B339-39BBCB373E2A}"/>
    <cellStyle name="40% - Accent2 4 3 2 4" xfId="12648" xr:uid="{303342C7-8FCE-4013-9145-0E871445DFDA}"/>
    <cellStyle name="40% - Accent2 4 3 3" xfId="5394" xr:uid="{00000000-0005-0000-0000-0000E2040000}"/>
    <cellStyle name="40% - Accent2 4 3 3 2" xfId="24019" xr:uid="{B70D6609-FE6F-43C8-9D8B-950605523D4C}"/>
    <cellStyle name="40% - Accent2 4 3 3 3" xfId="14720" xr:uid="{3E6E2991-F381-414A-B8B9-B26DE6E75831}"/>
    <cellStyle name="40% - Accent2 4 3 4" xfId="19802" xr:uid="{C9042A77-A3AE-4D99-94A0-2CE1F658C1CD}"/>
    <cellStyle name="40% - Accent2 4 3 5" xfId="10503" xr:uid="{86AC8AD4-E7F6-4617-9E2F-9841AC51D68C}"/>
    <cellStyle name="40% - Accent2 4 4" xfId="1500" xr:uid="{00000000-0005-0000-0000-0000E3040000}"/>
    <cellStyle name="40% - Accent2 4 4 2" xfId="3730" xr:uid="{00000000-0005-0000-0000-0000E4040000}"/>
    <cellStyle name="40% - Accent2 4 4 2 2" xfId="7952" xr:uid="{00000000-0005-0000-0000-0000E5040000}"/>
    <cellStyle name="40% - Accent2 4 4 2 2 2" xfId="26577" xr:uid="{D893DFBF-0549-4E6B-8C9E-ECC6C23F7164}"/>
    <cellStyle name="40% - Accent2 4 4 2 2 3" xfId="17278" xr:uid="{907F3DD1-B3D9-4549-A021-1FE3F48D870F}"/>
    <cellStyle name="40% - Accent2 4 4 2 3" xfId="22360" xr:uid="{E00A161E-1311-47B0-851E-4A3E04032306}"/>
    <cellStyle name="40% - Accent2 4 4 2 4" xfId="13061" xr:uid="{6953AB44-0DE4-4263-B203-B666C56477D6}"/>
    <cellStyle name="40% - Accent2 4 4 3" xfId="5807" xr:uid="{00000000-0005-0000-0000-0000E6040000}"/>
    <cellStyle name="40% - Accent2 4 4 3 2" xfId="24432" xr:uid="{5B220E55-77AB-4622-AE0B-43541C351AE9}"/>
    <cellStyle name="40% - Accent2 4 4 3 3" xfId="15133" xr:uid="{2C9108AD-320A-47E1-9611-EB4382BCE99E}"/>
    <cellStyle name="40% - Accent2 4 4 4" xfId="20215" xr:uid="{B66F100D-8C35-477C-9761-1EB3A613C24C}"/>
    <cellStyle name="40% - Accent2 4 4 5" xfId="10916" xr:uid="{8B88CCA4-E115-4892-8937-57EF6274B579}"/>
    <cellStyle name="40% - Accent2 4 5" xfId="1914" xr:uid="{00000000-0005-0000-0000-0000E7040000}"/>
    <cellStyle name="40% - Accent2 4 5 2" xfId="4143" xr:uid="{00000000-0005-0000-0000-0000E8040000}"/>
    <cellStyle name="40% - Accent2 4 5 2 2" xfId="8365" xr:uid="{00000000-0005-0000-0000-0000E9040000}"/>
    <cellStyle name="40% - Accent2 4 5 2 2 2" xfId="26990" xr:uid="{5DA996FA-77EE-49A5-AFCB-B4A246EB3923}"/>
    <cellStyle name="40% - Accent2 4 5 2 2 3" xfId="17691" xr:uid="{4E3A2162-2A17-4260-A375-5DB81D1083AA}"/>
    <cellStyle name="40% - Accent2 4 5 2 3" xfId="22773" xr:uid="{0BA2AA45-ED3D-4A0D-949B-C204C922A6ED}"/>
    <cellStyle name="40% - Accent2 4 5 2 4" xfId="13474" xr:uid="{35777ED6-9293-478C-86E6-F9E351EEC997}"/>
    <cellStyle name="40% - Accent2 4 5 3" xfId="6220" xr:uid="{00000000-0005-0000-0000-0000EA040000}"/>
    <cellStyle name="40% - Accent2 4 5 3 2" xfId="24845" xr:uid="{0014A6A5-1750-417C-B7A5-8B253A88E122}"/>
    <cellStyle name="40% - Accent2 4 5 3 3" xfId="15546" xr:uid="{90A1FC27-FEC4-4E59-A232-081485B46154}"/>
    <cellStyle name="40% - Accent2 4 5 4" xfId="20628" xr:uid="{81545727-F351-4742-B620-949D6A4AD76E}"/>
    <cellStyle name="40% - Accent2 4 5 5" xfId="11329" xr:uid="{B0EE70E7-C1AA-4529-9F34-42653F661657}"/>
    <cellStyle name="40% - Accent2 4 6" xfId="2327" xr:uid="{00000000-0005-0000-0000-0000EB040000}"/>
    <cellStyle name="40% - Accent2 4 6 2" xfId="6633" xr:uid="{00000000-0005-0000-0000-0000EC040000}"/>
    <cellStyle name="40% - Accent2 4 6 2 2" xfId="25258" xr:uid="{FB3E2CB4-265F-4657-A2B2-7B60BD661682}"/>
    <cellStyle name="40% - Accent2 4 6 2 3" xfId="15959" xr:uid="{CAA9416A-490D-4BC8-9D59-53993D8E003B}"/>
    <cellStyle name="40% - Accent2 4 6 3" xfId="21041" xr:uid="{D3CC6286-41C2-41DF-B9CB-C6E3173B8A00}"/>
    <cellStyle name="40% - Accent2 4 6 4" xfId="11742" xr:uid="{837F0D26-8C65-4C6B-BA10-EB77137C20D9}"/>
    <cellStyle name="40% - Accent2 4 7" xfId="4567" xr:uid="{00000000-0005-0000-0000-0000ED040000}"/>
    <cellStyle name="40% - Accent2 4 7 2" xfId="23192" xr:uid="{04B1D062-3F25-4873-8389-A49DE3283448}"/>
    <cellStyle name="40% - Accent2 4 7 3" xfId="13893" xr:uid="{8C45C927-97B0-4ABB-A66A-68D708F97F59}"/>
    <cellStyle name="40% - Accent2 4 8" xfId="8950" xr:uid="{02FCA414-0598-4779-8636-7B176A3552C0}"/>
    <cellStyle name="40% - Accent2 4 8 2" xfId="27573" xr:uid="{10C56825-F8AC-43E1-97CD-CC97114AAD20}"/>
    <cellStyle name="40% - Accent2 4 8 3" xfId="18274" xr:uid="{49205B1D-D599-4407-AE5A-BEF42E73A96E}"/>
    <cellStyle name="40% - Accent2 4 9" xfId="18975" xr:uid="{0281EC4E-DEE2-4150-B13A-397EE801E22E}"/>
    <cellStyle name="40% - Accent2 5" xfId="626" xr:uid="{00000000-0005-0000-0000-0000EE040000}"/>
    <cellStyle name="40% - Accent2 5 2" xfId="2897" xr:uid="{00000000-0005-0000-0000-0000EF040000}"/>
    <cellStyle name="40% - Accent2 5 2 2" xfId="7119" xr:uid="{00000000-0005-0000-0000-0000F0040000}"/>
    <cellStyle name="40% - Accent2 5 2 2 2" xfId="25744" xr:uid="{D422B7BB-C0AD-4AEB-ACCE-87F2E0DA8406}"/>
    <cellStyle name="40% - Accent2 5 2 2 3" xfId="16445" xr:uid="{35AFD6E3-F987-4032-BD13-9B49ED57B7A2}"/>
    <cellStyle name="40% - Accent2 5 2 3" xfId="21527" xr:uid="{B6B42275-A579-40F7-990C-CC8ED902E35B}"/>
    <cellStyle name="40% - Accent2 5 2 4" xfId="12228" xr:uid="{85ACCF40-4A16-460C-B694-1C301A39E281}"/>
    <cellStyle name="40% - Accent2 5 3" xfId="4974" xr:uid="{00000000-0005-0000-0000-0000F1040000}"/>
    <cellStyle name="40% - Accent2 5 3 2" xfId="23599" xr:uid="{FD8DE3B4-B56C-43FE-BF7B-00B5152D2CCB}"/>
    <cellStyle name="40% - Accent2 5 3 3" xfId="14300" xr:uid="{EFFD59D4-AC1E-43F8-B3D0-8838A315A2AD}"/>
    <cellStyle name="40% - Accent2 5 4" xfId="9183" xr:uid="{071EDB8E-9FD1-4063-BCEF-70B734E5ECF1}"/>
    <cellStyle name="40% - Accent2 5 4 2" xfId="27800" xr:uid="{880D5E19-F74B-464F-BF7A-F28CE71C33F5}"/>
    <cellStyle name="40% - Accent2 5 4 3" xfId="18501" xr:uid="{F2584A7B-8063-4CF4-AB64-11B13D4C88A3}"/>
    <cellStyle name="40% - Accent2 5 5" xfId="19382" xr:uid="{4018AEEE-CD65-4F0C-B9E8-F391DF710270}"/>
    <cellStyle name="40% - Accent2 5 6" xfId="10083" xr:uid="{9F0A15D1-A9B4-4A08-8107-D40CABE63127}"/>
    <cellStyle name="40% - Accent2 6" xfId="1079" xr:uid="{00000000-0005-0000-0000-0000F2040000}"/>
    <cellStyle name="40% - Accent2 6 2" xfId="3310" xr:uid="{00000000-0005-0000-0000-0000F3040000}"/>
    <cellStyle name="40% - Accent2 6 2 2" xfId="7532" xr:uid="{00000000-0005-0000-0000-0000F4040000}"/>
    <cellStyle name="40% - Accent2 6 2 2 2" xfId="26157" xr:uid="{F6366A0B-EA87-4166-B489-5C103A7EDF12}"/>
    <cellStyle name="40% - Accent2 6 2 2 3" xfId="16858" xr:uid="{DAF02793-5C93-4576-B895-8CBCEE31DAA3}"/>
    <cellStyle name="40% - Accent2 6 2 3" xfId="21940" xr:uid="{4C19EE91-B27D-4DE9-9875-BF4744C4CAEA}"/>
    <cellStyle name="40% - Accent2 6 2 4" xfId="12641" xr:uid="{2843736C-3530-4659-8132-E419824CE5F8}"/>
    <cellStyle name="40% - Accent2 6 3" xfId="5387" xr:uid="{00000000-0005-0000-0000-0000F5040000}"/>
    <cellStyle name="40% - Accent2 6 3 2" xfId="24012" xr:uid="{111288E8-3EA0-4D8C-A41F-E89ADF4BC212}"/>
    <cellStyle name="40% - Accent2 6 3 3" xfId="14713" xr:uid="{51580899-F55E-4846-9C4E-2F90B1A88F45}"/>
    <cellStyle name="40% - Accent2 6 4" xfId="19795" xr:uid="{44B70175-72D0-42AC-97AA-737C2D09490E}"/>
    <cellStyle name="40% - Accent2 6 5" xfId="10496" xr:uid="{0C31BB08-FDD0-4749-91EB-7742FD85CC0A}"/>
    <cellStyle name="40% - Accent2 7" xfId="1493" xr:uid="{00000000-0005-0000-0000-0000F6040000}"/>
    <cellStyle name="40% - Accent2 7 2" xfId="3723" xr:uid="{00000000-0005-0000-0000-0000F7040000}"/>
    <cellStyle name="40% - Accent2 7 2 2" xfId="7945" xr:uid="{00000000-0005-0000-0000-0000F8040000}"/>
    <cellStyle name="40% - Accent2 7 2 2 2" xfId="26570" xr:uid="{DE66F50C-0DB7-4EF3-9E64-EA389E7139F5}"/>
    <cellStyle name="40% - Accent2 7 2 2 3" xfId="17271" xr:uid="{FAD06727-CA8E-40CC-AB59-6F429F647401}"/>
    <cellStyle name="40% - Accent2 7 2 3" xfId="22353" xr:uid="{F3CADEBF-E346-4036-9AEA-32619F49958D}"/>
    <cellStyle name="40% - Accent2 7 2 4" xfId="13054" xr:uid="{D5DF4A98-CB16-4A9B-B82E-53602A26C280}"/>
    <cellStyle name="40% - Accent2 7 3" xfId="5800" xr:uid="{00000000-0005-0000-0000-0000F9040000}"/>
    <cellStyle name="40% - Accent2 7 3 2" xfId="24425" xr:uid="{1934ECDA-6313-4CAA-9DD7-DF949E21F391}"/>
    <cellStyle name="40% - Accent2 7 3 3" xfId="15126" xr:uid="{62D67548-8C08-4518-9081-E029B68681DF}"/>
    <cellStyle name="40% - Accent2 7 4" xfId="20208" xr:uid="{F2189B44-55EE-4C51-9DA5-14E34A01E117}"/>
    <cellStyle name="40% - Accent2 7 5" xfId="10909" xr:uid="{252EC9F2-19CB-48F3-94F5-F61D4192732F}"/>
    <cellStyle name="40% - Accent2 8" xfId="1907" xr:uid="{00000000-0005-0000-0000-0000FA040000}"/>
    <cellStyle name="40% - Accent2 8 2" xfId="4136" xr:uid="{00000000-0005-0000-0000-0000FB040000}"/>
    <cellStyle name="40% - Accent2 8 2 2" xfId="8358" xr:uid="{00000000-0005-0000-0000-0000FC040000}"/>
    <cellStyle name="40% - Accent2 8 2 2 2" xfId="26983" xr:uid="{63FAFE82-0EC4-4C9A-937E-A37F9840580B}"/>
    <cellStyle name="40% - Accent2 8 2 2 3" xfId="17684" xr:uid="{932B9775-0226-4C6E-B293-91BAFC6FE043}"/>
    <cellStyle name="40% - Accent2 8 2 3" xfId="22766" xr:uid="{2605CD67-0630-4646-A29E-ED523A60B96D}"/>
    <cellStyle name="40% - Accent2 8 2 4" xfId="13467" xr:uid="{CCC2E003-5196-43E1-B732-2CC1E931586B}"/>
    <cellStyle name="40% - Accent2 8 3" xfId="6213" xr:uid="{00000000-0005-0000-0000-0000FD040000}"/>
    <cellStyle name="40% - Accent2 8 3 2" xfId="24838" xr:uid="{C9EA2699-3D0A-42C9-AEE5-26BF666D59A2}"/>
    <cellStyle name="40% - Accent2 8 3 3" xfId="15539" xr:uid="{8091C641-F1A1-44C0-8C84-8AB72153CB90}"/>
    <cellStyle name="40% - Accent2 8 4" xfId="20621" xr:uid="{9F97ECC3-4B71-48F2-BD72-0873CE0E0DB3}"/>
    <cellStyle name="40% - Accent2 8 5" xfId="11322" xr:uid="{8DA3713B-E0A3-4AD4-9B18-9AF7DA72F90A}"/>
    <cellStyle name="40% - Accent2 9" xfId="2320" xr:uid="{00000000-0005-0000-0000-0000FE040000}"/>
    <cellStyle name="40% - Accent2 9 2" xfId="6626" xr:uid="{00000000-0005-0000-0000-0000FF040000}"/>
    <cellStyle name="40% - Accent2 9 2 2" xfId="25251" xr:uid="{90C4D628-04F0-47AC-BEE6-B4A316039B57}"/>
    <cellStyle name="40% - Accent2 9 2 3" xfId="15952" xr:uid="{532EA6D8-74B2-4FE3-B4D3-718884FC1CC2}"/>
    <cellStyle name="40% - Accent2 9 3" xfId="21034" xr:uid="{60C9C8A1-F917-4242-BC65-9662CCACBD20}"/>
    <cellStyle name="40% - Accent2 9 4" xfId="11735" xr:uid="{E2ED171D-E2A5-4757-9116-19F30607706B}"/>
    <cellStyle name="40% - Accent3" xfId="65" builtinId="39" customBuiltin="1"/>
    <cellStyle name="40% - Accent3 10" xfId="4568" xr:uid="{00000000-0005-0000-0000-000001050000}"/>
    <cellStyle name="40% - Accent3 10 2" xfId="23193" xr:uid="{0EE0FC36-A9B2-4FF8-8B53-26BC914B24D4}"/>
    <cellStyle name="40% - Accent3 10 3" xfId="13894" xr:uid="{D05BE0DA-077B-400B-AA5E-EB331AFC8919}"/>
    <cellStyle name="40% - Accent3 11" xfId="8763" xr:uid="{CEFBFA85-5B68-4AEB-BF0D-8E604938B05F}"/>
    <cellStyle name="40% - Accent3 11 2" xfId="27386" xr:uid="{1F69DF0F-BFEF-435D-B400-FA2B8EEACC0E}"/>
    <cellStyle name="40% - Accent3 11 3" xfId="18087" xr:uid="{ECF695D2-B4A4-4964-BD5A-B8EB1BDEC565}"/>
    <cellStyle name="40% - Accent3 12" xfId="18976" xr:uid="{88317542-262F-459F-94AC-7E468454B961}"/>
    <cellStyle name="40% - Accent3 13" xfId="9677" xr:uid="{68CE812B-BF2B-4661-9559-9BCD158BA442}"/>
    <cellStyle name="40% - Accent3 2" xfId="66" xr:uid="{00000000-0005-0000-0000-000002050000}"/>
    <cellStyle name="40% - Accent3 2 10" xfId="8800" xr:uid="{00FF2AAD-7D96-45B5-8981-0BB923A3505B}"/>
    <cellStyle name="40% - Accent3 2 10 2" xfId="27423" xr:uid="{EC449FB8-9D75-44E3-8243-091F55AE9DD3}"/>
    <cellStyle name="40% - Accent3 2 10 3" xfId="18124" xr:uid="{F3BD6B6C-F5C3-4C87-BD16-F4685D6779A1}"/>
    <cellStyle name="40% - Accent3 2 11" xfId="18977" xr:uid="{3C437353-CD37-45FA-91C5-F24FE3707F51}"/>
    <cellStyle name="40% - Accent3 2 12" xfId="9678" xr:uid="{28CF6DAF-910B-4167-BAA4-9C790AA8D3E6}"/>
    <cellStyle name="40% - Accent3 2 2" xfId="67" xr:uid="{00000000-0005-0000-0000-000003050000}"/>
    <cellStyle name="40% - Accent3 2 2 10" xfId="18978" xr:uid="{E7F4CF92-AF98-46E6-B178-3DBB6F103B43}"/>
    <cellStyle name="40% - Accent3 2 2 11" xfId="9679" xr:uid="{5E6180F2-22D8-4CC1-B393-70F555151826}"/>
    <cellStyle name="40% - Accent3 2 2 2" xfId="68" xr:uid="{00000000-0005-0000-0000-000004050000}"/>
    <cellStyle name="40% - Accent3 2 2 2 10" xfId="9680" xr:uid="{1190D60B-5C95-4111-9D2A-3EE81B351891}"/>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2 2 2" xfId="25755" xr:uid="{FF1A5A02-B348-461E-BC8F-93D31DA41C9D}"/>
    <cellStyle name="40% - Accent3 2 2 2 2 2 2 3" xfId="16456" xr:uid="{5EA3794E-5201-4CE7-B319-31335E6B9D7E}"/>
    <cellStyle name="40% - Accent3 2 2 2 2 2 3" xfId="21538" xr:uid="{6930555A-6888-4C4D-B915-9258B759A72B}"/>
    <cellStyle name="40% - Accent3 2 2 2 2 2 4" xfId="12239" xr:uid="{CDBDD5CB-9B32-4360-A6DB-AF86C9659B97}"/>
    <cellStyle name="40% - Accent3 2 2 2 2 3" xfId="4985" xr:uid="{00000000-0005-0000-0000-000008050000}"/>
    <cellStyle name="40% - Accent3 2 2 2 2 3 2" xfId="23610" xr:uid="{1B1B814A-28A0-424B-A255-4788C24D0AAB}"/>
    <cellStyle name="40% - Accent3 2 2 2 2 3 3" xfId="14311" xr:uid="{3675C9E8-8D30-43D3-9C88-4C1D556C0A5B}"/>
    <cellStyle name="40% - Accent3 2 2 2 2 4" xfId="9535" xr:uid="{3AC66435-D4C7-42EF-A799-3DC81A57BDF4}"/>
    <cellStyle name="40% - Accent3 2 2 2 2 4 2" xfId="28149" xr:uid="{935D9E28-D4EA-478E-A6A8-CD8A996E1B1B}"/>
    <cellStyle name="40% - Accent3 2 2 2 2 4 3" xfId="18850" xr:uid="{910AA251-B972-44F8-8973-01B6486BC85F}"/>
    <cellStyle name="40% - Accent3 2 2 2 2 5" xfId="19393" xr:uid="{65065A7A-73C4-4019-A3AB-117E5B24B620}"/>
    <cellStyle name="40% - Accent3 2 2 2 2 6" xfId="10094" xr:uid="{69F5AE4B-4A87-4173-A850-C876792449E8}"/>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2 2 2" xfId="26168" xr:uid="{0602424A-16AC-40B5-B480-A02940E8C94A}"/>
    <cellStyle name="40% - Accent3 2 2 2 3 2 2 3" xfId="16869" xr:uid="{F7776382-DDFD-4EE8-9374-A149DF18C79B}"/>
    <cellStyle name="40% - Accent3 2 2 2 3 2 3" xfId="21951" xr:uid="{CA05CC0A-1170-4825-BECD-76850DBC4E1E}"/>
    <cellStyle name="40% - Accent3 2 2 2 3 2 4" xfId="12652" xr:uid="{DC81FBDB-3420-4DBE-92CA-B1495662DF08}"/>
    <cellStyle name="40% - Accent3 2 2 2 3 3" xfId="5398" xr:uid="{00000000-0005-0000-0000-00000C050000}"/>
    <cellStyle name="40% - Accent3 2 2 2 3 3 2" xfId="24023" xr:uid="{F8712142-68B0-4DE1-ABED-1D9BCC911B7E}"/>
    <cellStyle name="40% - Accent3 2 2 2 3 3 3" xfId="14724" xr:uid="{C01E31CE-6AEC-433D-B6EF-8EED3F07C93E}"/>
    <cellStyle name="40% - Accent3 2 2 2 3 4" xfId="19806" xr:uid="{161FEC90-3EFC-4BAF-9912-D2A19F83606D}"/>
    <cellStyle name="40% - Accent3 2 2 2 3 5" xfId="10507" xr:uid="{5E6FD1DA-0140-4774-A3B1-B34F00D9B00A}"/>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2 2 2" xfId="26581" xr:uid="{C08FEAFA-0B58-47C3-BAF7-76503DCB29C0}"/>
    <cellStyle name="40% - Accent3 2 2 2 4 2 2 3" xfId="17282" xr:uid="{B2E5BB09-3A0F-43DA-8679-48952C794CB2}"/>
    <cellStyle name="40% - Accent3 2 2 2 4 2 3" xfId="22364" xr:uid="{84EE0DA2-FD24-4D9E-B61B-16097AE9CD33}"/>
    <cellStyle name="40% - Accent3 2 2 2 4 2 4" xfId="13065" xr:uid="{94D396E0-D618-454D-B89B-23143B33D5AD}"/>
    <cellStyle name="40% - Accent3 2 2 2 4 3" xfId="5811" xr:uid="{00000000-0005-0000-0000-000010050000}"/>
    <cellStyle name="40% - Accent3 2 2 2 4 3 2" xfId="24436" xr:uid="{1547E66A-E625-4C99-88BA-1592FA55FADF}"/>
    <cellStyle name="40% - Accent3 2 2 2 4 3 3" xfId="15137" xr:uid="{78295230-4B01-4305-A882-36DF5DF21C69}"/>
    <cellStyle name="40% - Accent3 2 2 2 4 4" xfId="20219" xr:uid="{C5B85F8A-2B51-42A2-A2EB-B150AF7B2DE2}"/>
    <cellStyle name="40% - Accent3 2 2 2 4 5" xfId="10920" xr:uid="{F8EE711D-FBCF-4EBF-BB9D-11974ADB2EDD}"/>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2 2 2" xfId="26994" xr:uid="{06A2F287-E8AE-4C6D-81D5-57D9D716CBAE}"/>
    <cellStyle name="40% - Accent3 2 2 2 5 2 2 3" xfId="17695" xr:uid="{FC387913-1126-45DF-91CE-460B16425F3C}"/>
    <cellStyle name="40% - Accent3 2 2 2 5 2 3" xfId="22777" xr:uid="{AC8B1F3C-C4B6-4174-BE95-A56405AE9D33}"/>
    <cellStyle name="40% - Accent3 2 2 2 5 2 4" xfId="13478" xr:uid="{8FD1EC98-916A-4A53-8ADA-8A821EE5DFBF}"/>
    <cellStyle name="40% - Accent3 2 2 2 5 3" xfId="6224" xr:uid="{00000000-0005-0000-0000-000014050000}"/>
    <cellStyle name="40% - Accent3 2 2 2 5 3 2" xfId="24849" xr:uid="{CC34FFA2-3C56-4C0A-9D5F-CF33ED0CB4AF}"/>
    <cellStyle name="40% - Accent3 2 2 2 5 3 3" xfId="15550" xr:uid="{148AC240-1D8A-4C93-AB49-A7CB57247ED9}"/>
    <cellStyle name="40% - Accent3 2 2 2 5 4" xfId="20632" xr:uid="{D7B42C03-6939-4DE2-844A-9A6DB9436A53}"/>
    <cellStyle name="40% - Accent3 2 2 2 5 5" xfId="11333" xr:uid="{AFCF337A-7F4D-4FEE-BB12-403FF6382E42}"/>
    <cellStyle name="40% - Accent3 2 2 2 6" xfId="2331" xr:uid="{00000000-0005-0000-0000-000015050000}"/>
    <cellStyle name="40% - Accent3 2 2 2 6 2" xfId="6637" xr:uid="{00000000-0005-0000-0000-000016050000}"/>
    <cellStyle name="40% - Accent3 2 2 2 6 2 2" xfId="25262" xr:uid="{15C6A685-C556-445F-91F2-2B7C4DC313F5}"/>
    <cellStyle name="40% - Accent3 2 2 2 6 2 3" xfId="15963" xr:uid="{3265C5C0-8B5C-4058-AB08-57A06429BDBC}"/>
    <cellStyle name="40% - Accent3 2 2 2 6 3" xfId="21045" xr:uid="{754D21F4-94B6-4E34-8BE1-9E71C8D11F90}"/>
    <cellStyle name="40% - Accent3 2 2 2 6 4" xfId="11746" xr:uid="{378C3F28-C5D4-4CD3-B13A-302A05FD4E40}"/>
    <cellStyle name="40% - Accent3 2 2 2 7" xfId="4571" xr:uid="{00000000-0005-0000-0000-000017050000}"/>
    <cellStyle name="40% - Accent3 2 2 2 7 2" xfId="23196" xr:uid="{C182444B-C0E8-427B-B922-1D5840609024}"/>
    <cellStyle name="40% - Accent3 2 2 2 7 3" xfId="13897" xr:uid="{CE544627-E4B3-4C32-AB1B-DEB2F8CA0F8E}"/>
    <cellStyle name="40% - Accent3 2 2 2 8" xfId="9110" xr:uid="{E41CBEF9-86F8-44B9-895F-532A7BDC9A2A}"/>
    <cellStyle name="40% - Accent3 2 2 2 8 2" xfId="27733" xr:uid="{D2762BDA-0083-4B75-8130-7806A2EC7F3D}"/>
    <cellStyle name="40% - Accent3 2 2 2 8 3" xfId="18434" xr:uid="{B9138126-A38B-471B-9B51-CE24AF1DDE16}"/>
    <cellStyle name="40% - Accent3 2 2 2 9" xfId="18979" xr:uid="{1B6186F8-A94B-42E1-BB68-5F7E0A9F7850}"/>
    <cellStyle name="40% - Accent3 2 2 3" xfId="636" xr:uid="{00000000-0005-0000-0000-000018050000}"/>
    <cellStyle name="40% - Accent3 2 2 3 2" xfId="2907" xr:uid="{00000000-0005-0000-0000-000019050000}"/>
    <cellStyle name="40% - Accent3 2 2 3 2 2" xfId="7129" xr:uid="{00000000-0005-0000-0000-00001A050000}"/>
    <cellStyle name="40% - Accent3 2 2 3 2 2 2" xfId="25754" xr:uid="{FA179512-C936-42C6-96DB-9749BD818AD6}"/>
    <cellStyle name="40% - Accent3 2 2 3 2 2 3" xfId="16455" xr:uid="{1E783766-846C-4C24-A70D-C3F566007909}"/>
    <cellStyle name="40% - Accent3 2 2 3 2 3" xfId="21537" xr:uid="{841DD34E-EE20-4D15-BEAD-F30630247B73}"/>
    <cellStyle name="40% - Accent3 2 2 3 2 4" xfId="12238" xr:uid="{64F13C6B-4883-43ED-AA1E-BE9B54965C25}"/>
    <cellStyle name="40% - Accent3 2 2 3 3" xfId="4984" xr:uid="{00000000-0005-0000-0000-00001B050000}"/>
    <cellStyle name="40% - Accent3 2 2 3 3 2" xfId="23609" xr:uid="{43B4CE37-6591-4378-BFBE-CBB5562AE8E9}"/>
    <cellStyle name="40% - Accent3 2 2 3 3 3" xfId="14310" xr:uid="{930443AA-AF48-437B-A732-232EA7A9828F}"/>
    <cellStyle name="40% - Accent3 2 2 3 4" xfId="9328" xr:uid="{1DAEB9B9-01CE-426D-A8F1-CE08999D7264}"/>
    <cellStyle name="40% - Accent3 2 2 3 4 2" xfId="27942" xr:uid="{76E428F8-A320-4045-80D4-FE78BB9D30D0}"/>
    <cellStyle name="40% - Accent3 2 2 3 4 3" xfId="18643" xr:uid="{B1F5AA5D-8315-4A28-9EB0-036F18D97ACC}"/>
    <cellStyle name="40% - Accent3 2 2 3 5" xfId="19392" xr:uid="{0AA2D4F3-E6C6-47A8-9BA1-40B831F6C3B6}"/>
    <cellStyle name="40% - Accent3 2 2 3 6" xfId="10093" xr:uid="{826E5C59-CF6B-4CE7-A2B2-5F36416DC791}"/>
    <cellStyle name="40% - Accent3 2 2 4" xfId="1089" xr:uid="{00000000-0005-0000-0000-00001C050000}"/>
    <cellStyle name="40% - Accent3 2 2 4 2" xfId="3320" xr:uid="{00000000-0005-0000-0000-00001D050000}"/>
    <cellStyle name="40% - Accent3 2 2 4 2 2" xfId="7542" xr:uid="{00000000-0005-0000-0000-00001E050000}"/>
    <cellStyle name="40% - Accent3 2 2 4 2 2 2" xfId="26167" xr:uid="{E7F494F5-C505-4E2E-8B1D-7EEFF20031CD}"/>
    <cellStyle name="40% - Accent3 2 2 4 2 2 3" xfId="16868" xr:uid="{A9BA3F1B-CEDB-4EC4-A5AE-425EB4531779}"/>
    <cellStyle name="40% - Accent3 2 2 4 2 3" xfId="21950" xr:uid="{334CE3ED-5C1B-455F-AE8C-19476B07BA66}"/>
    <cellStyle name="40% - Accent3 2 2 4 2 4" xfId="12651" xr:uid="{C60CD236-616B-4BFB-8C2B-E1D16D3EB2B0}"/>
    <cellStyle name="40% - Accent3 2 2 4 3" xfId="5397" xr:uid="{00000000-0005-0000-0000-00001F050000}"/>
    <cellStyle name="40% - Accent3 2 2 4 3 2" xfId="24022" xr:uid="{E2472547-3ED6-40E3-99BF-12C1560DB9AF}"/>
    <cellStyle name="40% - Accent3 2 2 4 3 3" xfId="14723" xr:uid="{59C2A65D-D342-41E6-94B0-1F9FC36FA502}"/>
    <cellStyle name="40% - Accent3 2 2 4 4" xfId="19805" xr:uid="{2FBC09C5-7578-4373-BC34-54CC1291E33A}"/>
    <cellStyle name="40% - Accent3 2 2 4 5" xfId="10506" xr:uid="{050C6C75-8159-4C03-B731-D05D730FBEF1}"/>
    <cellStyle name="40% - Accent3 2 2 5" xfId="1503" xr:uid="{00000000-0005-0000-0000-000020050000}"/>
    <cellStyle name="40% - Accent3 2 2 5 2" xfId="3733" xr:uid="{00000000-0005-0000-0000-000021050000}"/>
    <cellStyle name="40% - Accent3 2 2 5 2 2" xfId="7955" xr:uid="{00000000-0005-0000-0000-000022050000}"/>
    <cellStyle name="40% - Accent3 2 2 5 2 2 2" xfId="26580" xr:uid="{F5589950-6E45-4D5E-9305-9A00568005F9}"/>
    <cellStyle name="40% - Accent3 2 2 5 2 2 3" xfId="17281" xr:uid="{0CE30E4D-2AAF-41C4-887D-0805963B50ED}"/>
    <cellStyle name="40% - Accent3 2 2 5 2 3" xfId="22363" xr:uid="{289F01F7-D025-4860-BF30-B8A362895497}"/>
    <cellStyle name="40% - Accent3 2 2 5 2 4" xfId="13064" xr:uid="{469C37BF-687E-404E-A8ED-92DBB833F51C}"/>
    <cellStyle name="40% - Accent3 2 2 5 3" xfId="5810" xr:uid="{00000000-0005-0000-0000-000023050000}"/>
    <cellStyle name="40% - Accent3 2 2 5 3 2" xfId="24435" xr:uid="{52422172-E364-42A9-AE09-46898026169E}"/>
    <cellStyle name="40% - Accent3 2 2 5 3 3" xfId="15136" xr:uid="{BCC2A3FB-5485-44E8-9A5C-4D7643DCDF8D}"/>
    <cellStyle name="40% - Accent3 2 2 5 4" xfId="20218" xr:uid="{018C710D-CE61-4CCE-BF2E-86A0F7DE2585}"/>
    <cellStyle name="40% - Accent3 2 2 5 5" xfId="10919" xr:uid="{1586F933-343C-4DDD-85D3-9752B251B7F6}"/>
    <cellStyle name="40% - Accent3 2 2 6" xfId="1917" xr:uid="{00000000-0005-0000-0000-000024050000}"/>
    <cellStyle name="40% - Accent3 2 2 6 2" xfId="4146" xr:uid="{00000000-0005-0000-0000-000025050000}"/>
    <cellStyle name="40% - Accent3 2 2 6 2 2" xfId="8368" xr:uid="{00000000-0005-0000-0000-000026050000}"/>
    <cellStyle name="40% - Accent3 2 2 6 2 2 2" xfId="26993" xr:uid="{4DBF6015-CC67-49ED-B8D4-E495A100DA2A}"/>
    <cellStyle name="40% - Accent3 2 2 6 2 2 3" xfId="17694" xr:uid="{EC8E7631-F2E6-4BEB-9DDF-5E7394470CBF}"/>
    <cellStyle name="40% - Accent3 2 2 6 2 3" xfId="22776" xr:uid="{C3AA1077-4D62-4D75-BE35-DF5BDE255157}"/>
    <cellStyle name="40% - Accent3 2 2 6 2 4" xfId="13477" xr:uid="{5D6DEEFB-812D-4D28-A7D0-C4DC0FAA8B74}"/>
    <cellStyle name="40% - Accent3 2 2 6 3" xfId="6223" xr:uid="{00000000-0005-0000-0000-000027050000}"/>
    <cellStyle name="40% - Accent3 2 2 6 3 2" xfId="24848" xr:uid="{645169D2-3B98-4B8B-BD65-75B30F8340B3}"/>
    <cellStyle name="40% - Accent3 2 2 6 3 3" xfId="15549" xr:uid="{1AA4EA9A-CB0F-416D-8CB5-3F1AE1B01AD4}"/>
    <cellStyle name="40% - Accent3 2 2 6 4" xfId="20631" xr:uid="{84DA10A4-7B79-4865-BDB9-F0F1D5D64825}"/>
    <cellStyle name="40% - Accent3 2 2 6 5" xfId="11332" xr:uid="{6D84D98A-581A-4584-8C0D-B17EA5C67AF5}"/>
    <cellStyle name="40% - Accent3 2 2 7" xfId="2330" xr:uid="{00000000-0005-0000-0000-000028050000}"/>
    <cellStyle name="40% - Accent3 2 2 7 2" xfId="6636" xr:uid="{00000000-0005-0000-0000-000029050000}"/>
    <cellStyle name="40% - Accent3 2 2 7 2 2" xfId="25261" xr:uid="{FBD04854-8306-4058-B6AA-A68B812C31A5}"/>
    <cellStyle name="40% - Accent3 2 2 7 2 3" xfId="15962" xr:uid="{0D17549F-8BFF-4C17-B6BB-8DF5F55156AE}"/>
    <cellStyle name="40% - Accent3 2 2 7 3" xfId="21044" xr:uid="{870DCA7C-93BB-44AD-9252-CF8BC8041C19}"/>
    <cellStyle name="40% - Accent3 2 2 7 4" xfId="11745" xr:uid="{F17EB4DA-455C-43EE-A907-7E72D7B949DA}"/>
    <cellStyle name="40% - Accent3 2 2 8" xfId="4570" xr:uid="{00000000-0005-0000-0000-00002A050000}"/>
    <cellStyle name="40% - Accent3 2 2 8 2" xfId="23195" xr:uid="{F1B6A0D0-A75F-46DB-B1DE-2851DBE4CC28}"/>
    <cellStyle name="40% - Accent3 2 2 8 3" xfId="13896" xr:uid="{4F5FE705-2E7B-482D-87DC-2A772F64116C}"/>
    <cellStyle name="40% - Accent3 2 2 9" xfId="8903" xr:uid="{D9C85917-26AE-466C-8B98-905BCDA9E329}"/>
    <cellStyle name="40% - Accent3 2 2 9 2" xfId="27526" xr:uid="{A96599CC-43E2-4546-8FCF-FBB3F83557C1}"/>
    <cellStyle name="40% - Accent3 2 2 9 3" xfId="18227" xr:uid="{5EB095A0-DB3F-4279-8DEC-46CF62416399}"/>
    <cellStyle name="40% - Accent3 2 3" xfId="69" xr:uid="{00000000-0005-0000-0000-00002B050000}"/>
    <cellStyle name="40% - Accent3 2 3 10" xfId="9681" xr:uid="{7D9FABAD-D98A-4E26-A8EA-C848BCF860B2}"/>
    <cellStyle name="40% - Accent3 2 3 2" xfId="638" xr:uid="{00000000-0005-0000-0000-00002C050000}"/>
    <cellStyle name="40% - Accent3 2 3 2 2" xfId="2909" xr:uid="{00000000-0005-0000-0000-00002D050000}"/>
    <cellStyle name="40% - Accent3 2 3 2 2 2" xfId="7131" xr:uid="{00000000-0005-0000-0000-00002E050000}"/>
    <cellStyle name="40% - Accent3 2 3 2 2 2 2" xfId="25756" xr:uid="{3359E3A9-F6F1-4C51-8041-EEF0818D3EFA}"/>
    <cellStyle name="40% - Accent3 2 3 2 2 2 3" xfId="16457" xr:uid="{237EB5B9-0617-4ECC-A2BC-E9A7A52BC334}"/>
    <cellStyle name="40% - Accent3 2 3 2 2 3" xfId="21539" xr:uid="{8E107E83-D092-43E1-9ED2-F0495B1F837C}"/>
    <cellStyle name="40% - Accent3 2 3 2 2 4" xfId="12240" xr:uid="{0EEF2D85-9917-4D57-A345-D530A5790A5C}"/>
    <cellStyle name="40% - Accent3 2 3 2 3" xfId="4986" xr:uid="{00000000-0005-0000-0000-00002F050000}"/>
    <cellStyle name="40% - Accent3 2 3 2 3 2" xfId="23611" xr:uid="{03E0B1BC-2A0B-40A5-8402-27D310099F0A}"/>
    <cellStyle name="40% - Accent3 2 3 2 3 3" xfId="14312" xr:uid="{4932252E-F5E3-42F9-8306-6F4E0B0F71DE}"/>
    <cellStyle name="40% - Accent3 2 3 2 4" xfId="9432" xr:uid="{54D6848B-0200-4F42-820D-262A8F9A2C0F}"/>
    <cellStyle name="40% - Accent3 2 3 2 4 2" xfId="28046" xr:uid="{CF40FCDE-7934-43BD-945C-077CD437952A}"/>
    <cellStyle name="40% - Accent3 2 3 2 4 3" xfId="18747" xr:uid="{38809482-7052-403F-8E9B-C5D0751DA69B}"/>
    <cellStyle name="40% - Accent3 2 3 2 5" xfId="19394" xr:uid="{DBE62242-A60B-4B51-9EE4-73AF93C067A2}"/>
    <cellStyle name="40% - Accent3 2 3 2 6" xfId="10095" xr:uid="{0763FF2B-5D7A-4D54-A122-C1C6EA83A2A5}"/>
    <cellStyle name="40% - Accent3 2 3 3" xfId="1091" xr:uid="{00000000-0005-0000-0000-000030050000}"/>
    <cellStyle name="40% - Accent3 2 3 3 2" xfId="3322" xr:uid="{00000000-0005-0000-0000-000031050000}"/>
    <cellStyle name="40% - Accent3 2 3 3 2 2" xfId="7544" xr:uid="{00000000-0005-0000-0000-000032050000}"/>
    <cellStyle name="40% - Accent3 2 3 3 2 2 2" xfId="26169" xr:uid="{80DF0646-7F2C-437C-9CFB-A3A45982D254}"/>
    <cellStyle name="40% - Accent3 2 3 3 2 2 3" xfId="16870" xr:uid="{B3A57D0C-FC4A-40BC-921C-B1F1284D6529}"/>
    <cellStyle name="40% - Accent3 2 3 3 2 3" xfId="21952" xr:uid="{BADCDA34-952D-413D-8EA9-F6D78D793058}"/>
    <cellStyle name="40% - Accent3 2 3 3 2 4" xfId="12653" xr:uid="{6BB84896-FA07-4F2D-A55D-1809961CB7A7}"/>
    <cellStyle name="40% - Accent3 2 3 3 3" xfId="5399" xr:uid="{00000000-0005-0000-0000-000033050000}"/>
    <cellStyle name="40% - Accent3 2 3 3 3 2" xfId="24024" xr:uid="{BD77810B-0A16-46EC-8A3E-4C818AEED21F}"/>
    <cellStyle name="40% - Accent3 2 3 3 3 3" xfId="14725" xr:uid="{5A82FD7F-8248-4764-8AF9-D0137A4F15D5}"/>
    <cellStyle name="40% - Accent3 2 3 3 4" xfId="19807" xr:uid="{16D7119B-4FF8-4591-87FC-9EE8078D2E79}"/>
    <cellStyle name="40% - Accent3 2 3 3 5" xfId="10508" xr:uid="{F12C927D-A755-4C50-805A-034B29A94018}"/>
    <cellStyle name="40% - Accent3 2 3 4" xfId="1505" xr:uid="{00000000-0005-0000-0000-000034050000}"/>
    <cellStyle name="40% - Accent3 2 3 4 2" xfId="3735" xr:uid="{00000000-0005-0000-0000-000035050000}"/>
    <cellStyle name="40% - Accent3 2 3 4 2 2" xfId="7957" xr:uid="{00000000-0005-0000-0000-000036050000}"/>
    <cellStyle name="40% - Accent3 2 3 4 2 2 2" xfId="26582" xr:uid="{DEF9C491-6854-41B7-ACFB-14A8F8D5BD61}"/>
    <cellStyle name="40% - Accent3 2 3 4 2 2 3" xfId="17283" xr:uid="{F2249DB6-ED1B-402B-B88B-7B113D0D04DE}"/>
    <cellStyle name="40% - Accent3 2 3 4 2 3" xfId="22365" xr:uid="{A6243AC1-9880-4E6D-A84F-F217CD536256}"/>
    <cellStyle name="40% - Accent3 2 3 4 2 4" xfId="13066" xr:uid="{BD408512-3D37-41B0-9EE0-969CFC79FB86}"/>
    <cellStyle name="40% - Accent3 2 3 4 3" xfId="5812" xr:uid="{00000000-0005-0000-0000-000037050000}"/>
    <cellStyle name="40% - Accent3 2 3 4 3 2" xfId="24437" xr:uid="{00944893-1457-48D0-9952-8BE3A7E15D19}"/>
    <cellStyle name="40% - Accent3 2 3 4 3 3" xfId="15138" xr:uid="{D2183EBC-AB7C-4EB2-814F-806A15FB00CC}"/>
    <cellStyle name="40% - Accent3 2 3 4 4" xfId="20220" xr:uid="{05A3748A-9968-4CE7-8856-061D0E894C66}"/>
    <cellStyle name="40% - Accent3 2 3 4 5" xfId="10921" xr:uid="{03DBC07B-6CD8-4606-A0D6-705C05C2C81A}"/>
    <cellStyle name="40% - Accent3 2 3 5" xfId="1919" xr:uid="{00000000-0005-0000-0000-000038050000}"/>
    <cellStyle name="40% - Accent3 2 3 5 2" xfId="4148" xr:uid="{00000000-0005-0000-0000-000039050000}"/>
    <cellStyle name="40% - Accent3 2 3 5 2 2" xfId="8370" xr:uid="{00000000-0005-0000-0000-00003A050000}"/>
    <cellStyle name="40% - Accent3 2 3 5 2 2 2" xfId="26995" xr:uid="{1C84A125-9E69-4287-9034-295C541C770A}"/>
    <cellStyle name="40% - Accent3 2 3 5 2 2 3" xfId="17696" xr:uid="{C1231CE3-3DF7-437B-864B-87B0AD155C4C}"/>
    <cellStyle name="40% - Accent3 2 3 5 2 3" xfId="22778" xr:uid="{F936CF45-F857-4799-B5F6-D583CF3B7419}"/>
    <cellStyle name="40% - Accent3 2 3 5 2 4" xfId="13479" xr:uid="{43ADF156-4618-43FE-AE8F-0C188FE98750}"/>
    <cellStyle name="40% - Accent3 2 3 5 3" xfId="6225" xr:uid="{00000000-0005-0000-0000-00003B050000}"/>
    <cellStyle name="40% - Accent3 2 3 5 3 2" xfId="24850" xr:uid="{770C42E1-E361-4482-837C-4EA044E5CFF5}"/>
    <cellStyle name="40% - Accent3 2 3 5 3 3" xfId="15551" xr:uid="{D71DEED8-D125-42AF-86A5-0C6D5D4D448C}"/>
    <cellStyle name="40% - Accent3 2 3 5 4" xfId="20633" xr:uid="{B01B1DEF-19A5-4981-963D-E325C72AA716}"/>
    <cellStyle name="40% - Accent3 2 3 5 5" xfId="11334" xr:uid="{4589D69A-1568-420C-89F2-AAED09634B69}"/>
    <cellStyle name="40% - Accent3 2 3 6" xfId="2332" xr:uid="{00000000-0005-0000-0000-00003C050000}"/>
    <cellStyle name="40% - Accent3 2 3 6 2" xfId="6638" xr:uid="{00000000-0005-0000-0000-00003D050000}"/>
    <cellStyle name="40% - Accent3 2 3 6 2 2" xfId="25263" xr:uid="{BEB7E8B2-1A46-4BA5-B92C-90D03E346643}"/>
    <cellStyle name="40% - Accent3 2 3 6 2 3" xfId="15964" xr:uid="{D224AE4F-B3BA-4C06-90C2-AB2A464B1BA7}"/>
    <cellStyle name="40% - Accent3 2 3 6 3" xfId="21046" xr:uid="{5F231383-CFD7-4CE7-8EF8-B7551D637B5B}"/>
    <cellStyle name="40% - Accent3 2 3 6 4" xfId="11747" xr:uid="{CF9397D3-DB8C-4937-9BEE-04F12D06A573}"/>
    <cellStyle name="40% - Accent3 2 3 7" xfId="4572" xr:uid="{00000000-0005-0000-0000-00003E050000}"/>
    <cellStyle name="40% - Accent3 2 3 7 2" xfId="23197" xr:uid="{D35B8C49-D12E-4341-A591-1E2D7A48568A}"/>
    <cellStyle name="40% - Accent3 2 3 7 3" xfId="13898" xr:uid="{4C42089F-C59E-4917-AD18-F7A88414495E}"/>
    <cellStyle name="40% - Accent3 2 3 8" xfId="9007" xr:uid="{2DEFD82C-2A62-4C1E-AA8D-7F2606BD9091}"/>
    <cellStyle name="40% - Accent3 2 3 8 2" xfId="27630" xr:uid="{34520EAF-351D-4E99-8002-CBA4B86E0716}"/>
    <cellStyle name="40% - Accent3 2 3 8 3" xfId="18331" xr:uid="{AA9D3C0A-2F6D-4100-90A3-35797BA567DD}"/>
    <cellStyle name="40% - Accent3 2 3 9" xfId="18980" xr:uid="{7D8327FD-4739-46C8-A81D-43F701491E86}"/>
    <cellStyle name="40% - Accent3 2 4" xfId="635" xr:uid="{00000000-0005-0000-0000-00003F050000}"/>
    <cellStyle name="40% - Accent3 2 4 2" xfId="2906" xr:uid="{00000000-0005-0000-0000-000040050000}"/>
    <cellStyle name="40% - Accent3 2 4 2 2" xfId="7128" xr:uid="{00000000-0005-0000-0000-000041050000}"/>
    <cellStyle name="40% - Accent3 2 4 2 2 2" xfId="25753" xr:uid="{460505B3-9B79-44AF-850D-C39558E97D5E}"/>
    <cellStyle name="40% - Accent3 2 4 2 2 3" xfId="16454" xr:uid="{12BAF73C-A928-4F62-A95F-F8C06C8B7713}"/>
    <cellStyle name="40% - Accent3 2 4 2 3" xfId="21536" xr:uid="{6FCEA2F0-1B27-4A27-8275-4F8F80B83E6D}"/>
    <cellStyle name="40% - Accent3 2 4 2 4" xfId="12237" xr:uid="{3BA9D495-9685-411B-B451-841CA4F6E073}"/>
    <cellStyle name="40% - Accent3 2 4 3" xfId="4983" xr:uid="{00000000-0005-0000-0000-000042050000}"/>
    <cellStyle name="40% - Accent3 2 4 3 2" xfId="23608" xr:uid="{7676ABCB-8180-415F-983B-E2B43AA7F496}"/>
    <cellStyle name="40% - Accent3 2 4 3 3" xfId="14309" xr:uid="{34A4D326-91EF-4404-828B-F8B117A34309}"/>
    <cellStyle name="40% - Accent3 2 4 4" xfId="9224" xr:uid="{6B91012A-BFF2-4F1F-901C-A91F06F80031}"/>
    <cellStyle name="40% - Accent3 2 4 4 2" xfId="27839" xr:uid="{0755EADF-D3C2-44EB-A58A-74FD520066D5}"/>
    <cellStyle name="40% - Accent3 2 4 4 3" xfId="18540" xr:uid="{0BD7C75E-1D38-47C3-B2FC-F0EDF3D50357}"/>
    <cellStyle name="40% - Accent3 2 4 5" xfId="19391" xr:uid="{9D1F4000-A92D-43E3-BF03-11CA1949C9CC}"/>
    <cellStyle name="40% - Accent3 2 4 6" xfId="10092" xr:uid="{0D1E5DC0-FA39-490B-9CB3-69FACE828A44}"/>
    <cellStyle name="40% - Accent3 2 5" xfId="1088" xr:uid="{00000000-0005-0000-0000-000043050000}"/>
    <cellStyle name="40% - Accent3 2 5 2" xfId="3319" xr:uid="{00000000-0005-0000-0000-000044050000}"/>
    <cellStyle name="40% - Accent3 2 5 2 2" xfId="7541" xr:uid="{00000000-0005-0000-0000-000045050000}"/>
    <cellStyle name="40% - Accent3 2 5 2 2 2" xfId="26166" xr:uid="{ED93A7AA-E67B-4A27-81AF-6EAEC1071C4B}"/>
    <cellStyle name="40% - Accent3 2 5 2 2 3" xfId="16867" xr:uid="{62241110-14DA-47C5-8D2A-4FDB77483897}"/>
    <cellStyle name="40% - Accent3 2 5 2 3" xfId="21949" xr:uid="{49AB79F5-E0E6-489E-B950-2EAD8D18CE8D}"/>
    <cellStyle name="40% - Accent3 2 5 2 4" xfId="12650" xr:uid="{8995FECF-CC6E-42D2-899A-FA46C70933C5}"/>
    <cellStyle name="40% - Accent3 2 5 3" xfId="5396" xr:uid="{00000000-0005-0000-0000-000046050000}"/>
    <cellStyle name="40% - Accent3 2 5 3 2" xfId="24021" xr:uid="{D291DE02-0BFF-4737-91B0-325591377C24}"/>
    <cellStyle name="40% - Accent3 2 5 3 3" xfId="14722" xr:uid="{FB8EC9E7-3A65-4E1A-A5C3-4A32BCDA8B9D}"/>
    <cellStyle name="40% - Accent3 2 5 4" xfId="19804" xr:uid="{733E5DC1-69AD-4498-B6E1-97E1BB76E97C}"/>
    <cellStyle name="40% - Accent3 2 5 5" xfId="10505" xr:uid="{AEB2B21D-5A07-4A20-A011-3BA811A5CCE2}"/>
    <cellStyle name="40% - Accent3 2 6" xfId="1502" xr:uid="{00000000-0005-0000-0000-000047050000}"/>
    <cellStyle name="40% - Accent3 2 6 2" xfId="3732" xr:uid="{00000000-0005-0000-0000-000048050000}"/>
    <cellStyle name="40% - Accent3 2 6 2 2" xfId="7954" xr:uid="{00000000-0005-0000-0000-000049050000}"/>
    <cellStyle name="40% - Accent3 2 6 2 2 2" xfId="26579" xr:uid="{A0A8E9CA-7BAF-425C-978E-B6777BD29866}"/>
    <cellStyle name="40% - Accent3 2 6 2 2 3" xfId="17280" xr:uid="{1508E91A-111B-4E31-9165-69CB84375C51}"/>
    <cellStyle name="40% - Accent3 2 6 2 3" xfId="22362" xr:uid="{CC476246-72A0-404F-9503-0CF0B90FEFA8}"/>
    <cellStyle name="40% - Accent3 2 6 2 4" xfId="13063" xr:uid="{341FE34D-62DB-4C8A-8068-D09C68CCC030}"/>
    <cellStyle name="40% - Accent3 2 6 3" xfId="5809" xr:uid="{00000000-0005-0000-0000-00004A050000}"/>
    <cellStyle name="40% - Accent3 2 6 3 2" xfId="24434" xr:uid="{16393EB5-B5C2-40C2-A68B-6343737941CC}"/>
    <cellStyle name="40% - Accent3 2 6 3 3" xfId="15135" xr:uid="{9ED5FA53-6C2A-4D4E-9A2D-38D4EAC3AA14}"/>
    <cellStyle name="40% - Accent3 2 6 4" xfId="20217" xr:uid="{B0E98E0F-6E7A-46BD-A97A-B1801D87AE89}"/>
    <cellStyle name="40% - Accent3 2 6 5" xfId="10918" xr:uid="{A3287790-8574-455D-BEC7-BF7EF1AAD251}"/>
    <cellStyle name="40% - Accent3 2 7" xfId="1916" xr:uid="{00000000-0005-0000-0000-00004B050000}"/>
    <cellStyle name="40% - Accent3 2 7 2" xfId="4145" xr:uid="{00000000-0005-0000-0000-00004C050000}"/>
    <cellStyle name="40% - Accent3 2 7 2 2" xfId="8367" xr:uid="{00000000-0005-0000-0000-00004D050000}"/>
    <cellStyle name="40% - Accent3 2 7 2 2 2" xfId="26992" xr:uid="{4708287B-E31B-4758-A70C-4926E46653C7}"/>
    <cellStyle name="40% - Accent3 2 7 2 2 3" xfId="17693" xr:uid="{6B6D3423-61BD-4FBE-AC74-98FEDA2C3B67}"/>
    <cellStyle name="40% - Accent3 2 7 2 3" xfId="22775" xr:uid="{3E517447-C8B6-41F0-8C48-9C748D645622}"/>
    <cellStyle name="40% - Accent3 2 7 2 4" xfId="13476" xr:uid="{D13D81EB-344A-45D1-9739-50974B1CA391}"/>
    <cellStyle name="40% - Accent3 2 7 3" xfId="6222" xr:uid="{00000000-0005-0000-0000-00004E050000}"/>
    <cellStyle name="40% - Accent3 2 7 3 2" xfId="24847" xr:uid="{2880C560-66E8-4DC1-B13B-925FE407DB62}"/>
    <cellStyle name="40% - Accent3 2 7 3 3" xfId="15548" xr:uid="{9A30A4E8-AC41-4A15-83EE-340A67014921}"/>
    <cellStyle name="40% - Accent3 2 7 4" xfId="20630" xr:uid="{E4831BCB-8061-4692-BC38-7CF0221D5661}"/>
    <cellStyle name="40% - Accent3 2 7 5" xfId="11331" xr:uid="{48AFCD8C-D549-41E6-A82F-9B4F278DF528}"/>
    <cellStyle name="40% - Accent3 2 8" xfId="2329" xr:uid="{00000000-0005-0000-0000-00004F050000}"/>
    <cellStyle name="40% - Accent3 2 8 2" xfId="6635" xr:uid="{00000000-0005-0000-0000-000050050000}"/>
    <cellStyle name="40% - Accent3 2 8 2 2" xfId="25260" xr:uid="{6A8F3694-8452-4F38-8B56-B41151B5687E}"/>
    <cellStyle name="40% - Accent3 2 8 2 3" xfId="15961" xr:uid="{425095F6-AFC4-41BB-97CF-10CB74FFE0D6}"/>
    <cellStyle name="40% - Accent3 2 8 3" xfId="21043" xr:uid="{767106DF-FAC6-476F-AC0C-EF9A00CDB9BF}"/>
    <cellStyle name="40% - Accent3 2 8 4" xfId="11744" xr:uid="{48E0F261-361D-4994-A693-9231A4467BCF}"/>
    <cellStyle name="40% - Accent3 2 9" xfId="4569" xr:uid="{00000000-0005-0000-0000-000051050000}"/>
    <cellStyle name="40% - Accent3 2 9 2" xfId="23194" xr:uid="{71E007B3-9BF7-4152-B44D-493AFD9B8312}"/>
    <cellStyle name="40% - Accent3 2 9 3" xfId="13895" xr:uid="{5768CE30-1346-47D8-8B5B-9CBFB2DEBB00}"/>
    <cellStyle name="40% - Accent3 3" xfId="70" xr:uid="{00000000-0005-0000-0000-000052050000}"/>
    <cellStyle name="40% - Accent3 3 10" xfId="18981" xr:uid="{306F2B9B-B1A2-4B46-B043-3A49E5F1BBAE}"/>
    <cellStyle name="40% - Accent3 3 11" xfId="9682" xr:uid="{9DCC692D-B578-4334-9812-53AB3B15DBF7}"/>
    <cellStyle name="40% - Accent3 3 2" xfId="71" xr:uid="{00000000-0005-0000-0000-000053050000}"/>
    <cellStyle name="40% - Accent3 3 2 10" xfId="9683" xr:uid="{ED8D5053-2A9D-4438-9533-D32C7BF8BD1F}"/>
    <cellStyle name="40% - Accent3 3 2 2" xfId="640" xr:uid="{00000000-0005-0000-0000-000054050000}"/>
    <cellStyle name="40% - Accent3 3 2 2 2" xfId="2911" xr:uid="{00000000-0005-0000-0000-000055050000}"/>
    <cellStyle name="40% - Accent3 3 2 2 2 2" xfId="7133" xr:uid="{00000000-0005-0000-0000-000056050000}"/>
    <cellStyle name="40% - Accent3 3 2 2 2 2 2" xfId="25758" xr:uid="{4CC742D8-285F-49B4-BA55-26DACE2E4373}"/>
    <cellStyle name="40% - Accent3 3 2 2 2 2 3" xfId="16459" xr:uid="{AAC13506-5342-4ADC-93D4-E7317E3BB958}"/>
    <cellStyle name="40% - Accent3 3 2 2 2 3" xfId="21541" xr:uid="{B41FAF53-B647-406A-9382-40C658995081}"/>
    <cellStyle name="40% - Accent3 3 2 2 2 4" xfId="12242" xr:uid="{04C5C565-A54F-4CB3-8F0B-D697B972CE9C}"/>
    <cellStyle name="40% - Accent3 3 2 2 3" xfId="4988" xr:uid="{00000000-0005-0000-0000-000057050000}"/>
    <cellStyle name="40% - Accent3 3 2 2 3 2" xfId="23613" xr:uid="{E5223F5F-1504-4E31-A5CC-CAAE032B61E9}"/>
    <cellStyle name="40% - Accent3 3 2 2 3 3" xfId="14314" xr:uid="{CA8C7ECA-6B35-4854-9A42-0A2CFFD38755}"/>
    <cellStyle name="40% - Accent3 3 2 2 4" xfId="9498" xr:uid="{7C43CF58-5AE0-4BAA-9D2B-CAB92F3612F1}"/>
    <cellStyle name="40% - Accent3 3 2 2 4 2" xfId="28112" xr:uid="{566764B2-DD15-4E1D-8567-A8A474B41677}"/>
    <cellStyle name="40% - Accent3 3 2 2 4 3" xfId="18813" xr:uid="{53C19FFD-9FDE-47D5-818C-2D0DEA6D728E}"/>
    <cellStyle name="40% - Accent3 3 2 2 5" xfId="19396" xr:uid="{0751263B-1E6D-4506-8ADA-A9239C3E95C4}"/>
    <cellStyle name="40% - Accent3 3 2 2 6" xfId="10097" xr:uid="{540E0B1A-E0A7-4F22-AB1A-20B66F5D5BC7}"/>
    <cellStyle name="40% - Accent3 3 2 3" xfId="1093" xr:uid="{00000000-0005-0000-0000-000058050000}"/>
    <cellStyle name="40% - Accent3 3 2 3 2" xfId="3324" xr:uid="{00000000-0005-0000-0000-000059050000}"/>
    <cellStyle name="40% - Accent3 3 2 3 2 2" xfId="7546" xr:uid="{00000000-0005-0000-0000-00005A050000}"/>
    <cellStyle name="40% - Accent3 3 2 3 2 2 2" xfId="26171" xr:uid="{95E83693-A999-420D-A76B-0641F515507B}"/>
    <cellStyle name="40% - Accent3 3 2 3 2 2 3" xfId="16872" xr:uid="{0A5132B5-1B2C-48B4-8A80-CD128271D8FA}"/>
    <cellStyle name="40% - Accent3 3 2 3 2 3" xfId="21954" xr:uid="{51FD92F3-3BC0-4D66-8186-C64D6FA75E23}"/>
    <cellStyle name="40% - Accent3 3 2 3 2 4" xfId="12655" xr:uid="{CF0F1047-C6E3-44B2-9A3F-BCB4A47809D7}"/>
    <cellStyle name="40% - Accent3 3 2 3 3" xfId="5401" xr:uid="{00000000-0005-0000-0000-00005B050000}"/>
    <cellStyle name="40% - Accent3 3 2 3 3 2" xfId="24026" xr:uid="{A5786B68-A984-4111-9599-2AF5B24589D4}"/>
    <cellStyle name="40% - Accent3 3 2 3 3 3" xfId="14727" xr:uid="{0CA277B1-2018-4304-81CA-E4B98F378BAB}"/>
    <cellStyle name="40% - Accent3 3 2 3 4" xfId="19809" xr:uid="{B110A91C-3A73-4AD7-8DDD-C71D0E304D42}"/>
    <cellStyle name="40% - Accent3 3 2 3 5" xfId="10510" xr:uid="{ED32C647-6729-48AA-821E-8CB9FFCB7547}"/>
    <cellStyle name="40% - Accent3 3 2 4" xfId="1507" xr:uid="{00000000-0005-0000-0000-00005C050000}"/>
    <cellStyle name="40% - Accent3 3 2 4 2" xfId="3737" xr:uid="{00000000-0005-0000-0000-00005D050000}"/>
    <cellStyle name="40% - Accent3 3 2 4 2 2" xfId="7959" xr:uid="{00000000-0005-0000-0000-00005E050000}"/>
    <cellStyle name="40% - Accent3 3 2 4 2 2 2" xfId="26584" xr:uid="{BB8BA245-76EC-4AC4-94A3-9312C494113F}"/>
    <cellStyle name="40% - Accent3 3 2 4 2 2 3" xfId="17285" xr:uid="{5CF7C1C5-6294-482D-AA75-58E591369D7B}"/>
    <cellStyle name="40% - Accent3 3 2 4 2 3" xfId="22367" xr:uid="{E237A502-CE83-485B-AFE4-2A11574AA6FA}"/>
    <cellStyle name="40% - Accent3 3 2 4 2 4" xfId="13068" xr:uid="{4EAE9C21-4D35-464C-A899-9CF98DC41713}"/>
    <cellStyle name="40% - Accent3 3 2 4 3" xfId="5814" xr:uid="{00000000-0005-0000-0000-00005F050000}"/>
    <cellStyle name="40% - Accent3 3 2 4 3 2" xfId="24439" xr:uid="{56DB9DF4-098F-4155-AA99-5A96D96EE0B0}"/>
    <cellStyle name="40% - Accent3 3 2 4 3 3" xfId="15140" xr:uid="{6969465A-ABF2-4413-87B7-C188BF533D3A}"/>
    <cellStyle name="40% - Accent3 3 2 4 4" xfId="20222" xr:uid="{AB8FCA67-F083-45AA-B086-9602DCAE4709}"/>
    <cellStyle name="40% - Accent3 3 2 4 5" xfId="10923" xr:uid="{84BF1A26-A562-4A7B-9EB3-3BB4106B05D5}"/>
    <cellStyle name="40% - Accent3 3 2 5" xfId="1921" xr:uid="{00000000-0005-0000-0000-000060050000}"/>
    <cellStyle name="40% - Accent3 3 2 5 2" xfId="4150" xr:uid="{00000000-0005-0000-0000-000061050000}"/>
    <cellStyle name="40% - Accent3 3 2 5 2 2" xfId="8372" xr:uid="{00000000-0005-0000-0000-000062050000}"/>
    <cellStyle name="40% - Accent3 3 2 5 2 2 2" xfId="26997" xr:uid="{7F4B9E49-CBE5-49D8-8F35-9FE7CC7A3BF3}"/>
    <cellStyle name="40% - Accent3 3 2 5 2 2 3" xfId="17698" xr:uid="{2D50D12E-4749-4390-8128-C71E6CE91FEE}"/>
    <cellStyle name="40% - Accent3 3 2 5 2 3" xfId="22780" xr:uid="{0EC9D8C8-21D2-44B3-A20B-02133EB88603}"/>
    <cellStyle name="40% - Accent3 3 2 5 2 4" xfId="13481" xr:uid="{5A186004-54B2-4A28-B85D-17BFE70E81A3}"/>
    <cellStyle name="40% - Accent3 3 2 5 3" xfId="6227" xr:uid="{00000000-0005-0000-0000-000063050000}"/>
    <cellStyle name="40% - Accent3 3 2 5 3 2" xfId="24852" xr:uid="{FA52535E-C5B1-4EC2-BA92-6D4CE6EE8AEA}"/>
    <cellStyle name="40% - Accent3 3 2 5 3 3" xfId="15553" xr:uid="{0AB5A598-912E-4D7B-B397-D40DF4A533CA}"/>
    <cellStyle name="40% - Accent3 3 2 5 4" xfId="20635" xr:uid="{774B4797-FAED-4AE8-9232-1ACC99328D52}"/>
    <cellStyle name="40% - Accent3 3 2 5 5" xfId="11336" xr:uid="{806573C8-A255-4BD2-8F72-F1EF9FB37CEF}"/>
    <cellStyle name="40% - Accent3 3 2 6" xfId="2334" xr:uid="{00000000-0005-0000-0000-000064050000}"/>
    <cellStyle name="40% - Accent3 3 2 6 2" xfId="6640" xr:uid="{00000000-0005-0000-0000-000065050000}"/>
    <cellStyle name="40% - Accent3 3 2 6 2 2" xfId="25265" xr:uid="{62AACA8E-B675-4482-BD23-4ED89C3794D9}"/>
    <cellStyle name="40% - Accent3 3 2 6 2 3" xfId="15966" xr:uid="{5806A0CF-10CD-4078-808B-D96A6A4A6A1C}"/>
    <cellStyle name="40% - Accent3 3 2 6 3" xfId="21048" xr:uid="{20C6C679-836E-4C28-B990-18D9B962977A}"/>
    <cellStyle name="40% - Accent3 3 2 6 4" xfId="11749" xr:uid="{A27DE418-ABD2-490E-ADDA-CB25E10A95BB}"/>
    <cellStyle name="40% - Accent3 3 2 7" xfId="4574" xr:uid="{00000000-0005-0000-0000-000066050000}"/>
    <cellStyle name="40% - Accent3 3 2 7 2" xfId="23199" xr:uid="{4EC37700-8AE3-4EE0-9F09-A8FE798B5892}"/>
    <cellStyle name="40% - Accent3 3 2 7 3" xfId="13900" xr:uid="{351CAF0A-DEB6-43D8-9424-A76591C94D9F}"/>
    <cellStyle name="40% - Accent3 3 2 8" xfId="9073" xr:uid="{0E71C752-2CF0-411D-A05E-4DA4A73CFC34}"/>
    <cellStyle name="40% - Accent3 3 2 8 2" xfId="27696" xr:uid="{138A0314-4248-483A-B38A-61EE13A97BF2}"/>
    <cellStyle name="40% - Accent3 3 2 8 3" xfId="18397" xr:uid="{840B24B7-F837-4C95-9D96-ECF6D2620FDA}"/>
    <cellStyle name="40% - Accent3 3 2 9" xfId="18982" xr:uid="{93539DA0-8698-472E-82E7-F0FC203DC8AE}"/>
    <cellStyle name="40% - Accent3 3 3" xfId="639" xr:uid="{00000000-0005-0000-0000-000067050000}"/>
    <cellStyle name="40% - Accent3 3 3 2" xfId="2910" xr:uid="{00000000-0005-0000-0000-000068050000}"/>
    <cellStyle name="40% - Accent3 3 3 2 2" xfId="7132" xr:uid="{00000000-0005-0000-0000-000069050000}"/>
    <cellStyle name="40% - Accent3 3 3 2 2 2" xfId="25757" xr:uid="{D755108D-F6B3-42A1-87F0-8F5BE8AC547B}"/>
    <cellStyle name="40% - Accent3 3 3 2 2 3" xfId="16458" xr:uid="{25B45C8D-3D0C-4346-AC87-29550506F993}"/>
    <cellStyle name="40% - Accent3 3 3 2 3" xfId="21540" xr:uid="{18DDB569-0B79-4AA8-AED6-C6CC71840202}"/>
    <cellStyle name="40% - Accent3 3 3 2 4" xfId="12241" xr:uid="{D05FB0D9-0A13-4902-B9A2-9357D027D4B6}"/>
    <cellStyle name="40% - Accent3 3 3 3" xfId="4987" xr:uid="{00000000-0005-0000-0000-00006A050000}"/>
    <cellStyle name="40% - Accent3 3 3 3 2" xfId="23612" xr:uid="{470327D2-37BF-4E70-A518-5B3E706A0438}"/>
    <cellStyle name="40% - Accent3 3 3 3 3" xfId="14313" xr:uid="{6B5F01CC-446E-4925-B559-300106A5EB17}"/>
    <cellStyle name="40% - Accent3 3 3 4" xfId="9291" xr:uid="{59AB3F6D-A8C6-4A37-A8E3-967850079A77}"/>
    <cellStyle name="40% - Accent3 3 3 4 2" xfId="27905" xr:uid="{1E274AD8-CD7E-4E0D-8DA3-76BCFEE98FBC}"/>
    <cellStyle name="40% - Accent3 3 3 4 3" xfId="18606" xr:uid="{F11B5D78-A380-48BA-A20A-3C837AFA46A1}"/>
    <cellStyle name="40% - Accent3 3 3 5" xfId="19395" xr:uid="{E7229D96-2A58-435D-9416-C91D3CB2E5E4}"/>
    <cellStyle name="40% - Accent3 3 3 6" xfId="10096" xr:uid="{7E37149D-F97D-4C7F-8BF7-05F699E10692}"/>
    <cellStyle name="40% - Accent3 3 4" xfId="1092" xr:uid="{00000000-0005-0000-0000-00006B050000}"/>
    <cellStyle name="40% - Accent3 3 4 2" xfId="3323" xr:uid="{00000000-0005-0000-0000-00006C050000}"/>
    <cellStyle name="40% - Accent3 3 4 2 2" xfId="7545" xr:uid="{00000000-0005-0000-0000-00006D050000}"/>
    <cellStyle name="40% - Accent3 3 4 2 2 2" xfId="26170" xr:uid="{C6D35B6D-1ABF-4A16-ADB9-CE8CA2188030}"/>
    <cellStyle name="40% - Accent3 3 4 2 2 3" xfId="16871" xr:uid="{246C6357-AE3F-4969-9DE5-12537CFF94D1}"/>
    <cellStyle name="40% - Accent3 3 4 2 3" xfId="21953" xr:uid="{5EDF868F-C1C7-496D-AE92-7E5BB33EECB7}"/>
    <cellStyle name="40% - Accent3 3 4 2 4" xfId="12654" xr:uid="{EAE7F0D4-B620-4DF4-B5FE-F5A20EDB3A53}"/>
    <cellStyle name="40% - Accent3 3 4 3" xfId="5400" xr:uid="{00000000-0005-0000-0000-00006E050000}"/>
    <cellStyle name="40% - Accent3 3 4 3 2" xfId="24025" xr:uid="{5D22C0A5-D0FB-496F-BD98-006EACF1DB13}"/>
    <cellStyle name="40% - Accent3 3 4 3 3" xfId="14726" xr:uid="{05086F1A-297F-4510-A763-B9A6B3FC29AB}"/>
    <cellStyle name="40% - Accent3 3 4 4" xfId="19808" xr:uid="{E1AD3D23-0258-43D9-913E-B20872F4B153}"/>
    <cellStyle name="40% - Accent3 3 4 5" xfId="10509" xr:uid="{61AAD9FF-F7F8-4259-ABDD-B121C778647C}"/>
    <cellStyle name="40% - Accent3 3 5" xfId="1506" xr:uid="{00000000-0005-0000-0000-00006F050000}"/>
    <cellStyle name="40% - Accent3 3 5 2" xfId="3736" xr:uid="{00000000-0005-0000-0000-000070050000}"/>
    <cellStyle name="40% - Accent3 3 5 2 2" xfId="7958" xr:uid="{00000000-0005-0000-0000-000071050000}"/>
    <cellStyle name="40% - Accent3 3 5 2 2 2" xfId="26583" xr:uid="{34007269-40B0-48DD-BA9A-2BD98EAADA76}"/>
    <cellStyle name="40% - Accent3 3 5 2 2 3" xfId="17284" xr:uid="{F28CAFD2-CA35-4E43-9554-933CCA4D84BC}"/>
    <cellStyle name="40% - Accent3 3 5 2 3" xfId="22366" xr:uid="{8A05227B-5639-4839-B2AD-5D97BEDED1A6}"/>
    <cellStyle name="40% - Accent3 3 5 2 4" xfId="13067" xr:uid="{DCEA5C32-9832-4BE2-89FF-EE3F53597977}"/>
    <cellStyle name="40% - Accent3 3 5 3" xfId="5813" xr:uid="{00000000-0005-0000-0000-000072050000}"/>
    <cellStyle name="40% - Accent3 3 5 3 2" xfId="24438" xr:uid="{B9A17C37-2EE9-4366-9DEA-BEBB4DE65AFE}"/>
    <cellStyle name="40% - Accent3 3 5 3 3" xfId="15139" xr:uid="{CF15BFB2-6BAA-4B17-8584-4CE4102B2038}"/>
    <cellStyle name="40% - Accent3 3 5 4" xfId="20221" xr:uid="{676E6DBC-79A0-4DA8-9F95-6942DB91898E}"/>
    <cellStyle name="40% - Accent3 3 5 5" xfId="10922" xr:uid="{19E7BA6E-0735-4283-80B8-88CBD1163B43}"/>
    <cellStyle name="40% - Accent3 3 6" xfId="1920" xr:uid="{00000000-0005-0000-0000-000073050000}"/>
    <cellStyle name="40% - Accent3 3 6 2" xfId="4149" xr:uid="{00000000-0005-0000-0000-000074050000}"/>
    <cellStyle name="40% - Accent3 3 6 2 2" xfId="8371" xr:uid="{00000000-0005-0000-0000-000075050000}"/>
    <cellStyle name="40% - Accent3 3 6 2 2 2" xfId="26996" xr:uid="{6EDC5CE3-6A54-40EA-BE1E-E5175379C5A5}"/>
    <cellStyle name="40% - Accent3 3 6 2 2 3" xfId="17697" xr:uid="{427612F7-9F36-4AC8-9062-4A6989538088}"/>
    <cellStyle name="40% - Accent3 3 6 2 3" xfId="22779" xr:uid="{F073D5BB-B482-4337-A554-0220EF307B81}"/>
    <cellStyle name="40% - Accent3 3 6 2 4" xfId="13480" xr:uid="{AF429252-0E46-4D88-AAA5-EC73EBA10C20}"/>
    <cellStyle name="40% - Accent3 3 6 3" xfId="6226" xr:uid="{00000000-0005-0000-0000-000076050000}"/>
    <cellStyle name="40% - Accent3 3 6 3 2" xfId="24851" xr:uid="{FB33BF80-444C-4877-A7D8-5ACDAFE8CBDD}"/>
    <cellStyle name="40% - Accent3 3 6 3 3" xfId="15552" xr:uid="{A63BC004-FD9E-4810-9D35-D9A3B558F5C4}"/>
    <cellStyle name="40% - Accent3 3 6 4" xfId="20634" xr:uid="{644843E9-C365-47C6-8283-6636D5670C15}"/>
    <cellStyle name="40% - Accent3 3 6 5" xfId="11335" xr:uid="{F6FB7057-8C6D-4615-80F4-6C47F2A34CF1}"/>
    <cellStyle name="40% - Accent3 3 7" xfId="2333" xr:uid="{00000000-0005-0000-0000-000077050000}"/>
    <cellStyle name="40% - Accent3 3 7 2" xfId="6639" xr:uid="{00000000-0005-0000-0000-000078050000}"/>
    <cellStyle name="40% - Accent3 3 7 2 2" xfId="25264" xr:uid="{D8C31710-F3DE-44C1-A3D6-B3C1770A5391}"/>
    <cellStyle name="40% - Accent3 3 7 2 3" xfId="15965" xr:uid="{E0E77134-0811-47C7-B6B8-55FA2B10F7E6}"/>
    <cellStyle name="40% - Accent3 3 7 3" xfId="21047" xr:uid="{AC4121F8-5878-4C79-9429-28688672BAA5}"/>
    <cellStyle name="40% - Accent3 3 7 4" xfId="11748" xr:uid="{66F549E2-25B4-491F-9F55-68C9854D3749}"/>
    <cellStyle name="40% - Accent3 3 8" xfId="4573" xr:uid="{00000000-0005-0000-0000-000079050000}"/>
    <cellStyle name="40% - Accent3 3 8 2" xfId="23198" xr:uid="{C981298C-5D99-476D-8F48-7AD21FE61490}"/>
    <cellStyle name="40% - Accent3 3 8 3" xfId="13899" xr:uid="{939357F7-07CA-4251-B6F1-90E50BBB87E6}"/>
    <cellStyle name="40% - Accent3 3 9" xfId="8866" xr:uid="{1A1EF43E-4A2B-42A8-98A3-CEC34DD3B00D}"/>
    <cellStyle name="40% - Accent3 3 9 2" xfId="27489" xr:uid="{F8AC0FBE-66A1-49D1-848C-306D649FA991}"/>
    <cellStyle name="40% - Accent3 3 9 3" xfId="18190" xr:uid="{29E362AA-AB58-46C6-8744-D0DCD2C89B83}"/>
    <cellStyle name="40% - Accent3 4" xfId="72" xr:uid="{00000000-0005-0000-0000-00007A050000}"/>
    <cellStyle name="40% - Accent3 4 10" xfId="9684" xr:uid="{CB187F40-28EB-4D86-B0B0-FBA3D33C9959}"/>
    <cellStyle name="40% - Accent3 4 2" xfId="641" xr:uid="{00000000-0005-0000-0000-00007B050000}"/>
    <cellStyle name="40% - Accent3 4 2 2" xfId="2912" xr:uid="{00000000-0005-0000-0000-00007C050000}"/>
    <cellStyle name="40% - Accent3 4 2 2 2" xfId="7134" xr:uid="{00000000-0005-0000-0000-00007D050000}"/>
    <cellStyle name="40% - Accent3 4 2 2 2 2" xfId="25759" xr:uid="{40E524DF-DA4D-45E0-B64A-4D4FFB1BE45A}"/>
    <cellStyle name="40% - Accent3 4 2 2 2 3" xfId="16460" xr:uid="{420F184C-7A02-4D6E-959D-69E931B26477}"/>
    <cellStyle name="40% - Accent3 4 2 2 3" xfId="21542" xr:uid="{C20A1760-BB77-44FF-AC18-60759D28E6CC}"/>
    <cellStyle name="40% - Accent3 4 2 2 4" xfId="12243" xr:uid="{5FBB81E9-B6BD-4EF1-A3A2-3702BFEFE250}"/>
    <cellStyle name="40% - Accent3 4 2 3" xfId="4989" xr:uid="{00000000-0005-0000-0000-00007E050000}"/>
    <cellStyle name="40% - Accent3 4 2 3 2" xfId="23614" xr:uid="{8538FA52-32B9-4283-8AC9-90A1C642FD19}"/>
    <cellStyle name="40% - Accent3 4 2 3 3" xfId="14315" xr:uid="{66957F55-E5AD-431F-805F-CE22F6698677}"/>
    <cellStyle name="40% - Accent3 4 2 4" xfId="9377" xr:uid="{F4393833-4E73-4685-9332-CF918D5239A9}"/>
    <cellStyle name="40% - Accent3 4 2 4 2" xfId="27991" xr:uid="{914F98F4-6C09-45FE-9B78-98999A2A52BF}"/>
    <cellStyle name="40% - Accent3 4 2 4 3" xfId="18692" xr:uid="{85C0A382-C8CD-4B39-8BF1-BDFE6DB4A20A}"/>
    <cellStyle name="40% - Accent3 4 2 5" xfId="19397" xr:uid="{94E8444E-7EDE-4DAB-8DE9-57E34ED4251D}"/>
    <cellStyle name="40% - Accent3 4 2 6" xfId="10098" xr:uid="{95430CA4-F3EF-4170-BBD8-F061BAE818A1}"/>
    <cellStyle name="40% - Accent3 4 3" xfId="1094" xr:uid="{00000000-0005-0000-0000-00007F050000}"/>
    <cellStyle name="40% - Accent3 4 3 2" xfId="3325" xr:uid="{00000000-0005-0000-0000-000080050000}"/>
    <cellStyle name="40% - Accent3 4 3 2 2" xfId="7547" xr:uid="{00000000-0005-0000-0000-000081050000}"/>
    <cellStyle name="40% - Accent3 4 3 2 2 2" xfId="26172" xr:uid="{24D0ACC4-3FAB-4B88-9B7A-249679556984}"/>
    <cellStyle name="40% - Accent3 4 3 2 2 3" xfId="16873" xr:uid="{20253A84-9E4A-4B83-8092-DCBB7B424CC6}"/>
    <cellStyle name="40% - Accent3 4 3 2 3" xfId="21955" xr:uid="{C901165D-E7A3-48A7-BCB4-1D146D424757}"/>
    <cellStyle name="40% - Accent3 4 3 2 4" xfId="12656" xr:uid="{D4451A77-6D0B-4DE8-86C4-EA64C5B2AD33}"/>
    <cellStyle name="40% - Accent3 4 3 3" xfId="5402" xr:uid="{00000000-0005-0000-0000-000082050000}"/>
    <cellStyle name="40% - Accent3 4 3 3 2" xfId="24027" xr:uid="{444C35BD-A244-4C43-B8A3-31CB8B537E20}"/>
    <cellStyle name="40% - Accent3 4 3 3 3" xfId="14728" xr:uid="{27E1DFAA-5F9D-4787-A3CD-C2242A462A6B}"/>
    <cellStyle name="40% - Accent3 4 3 4" xfId="19810" xr:uid="{B9CCF3A0-DE76-4B92-9775-BD6FFEDCDBB0}"/>
    <cellStyle name="40% - Accent3 4 3 5" xfId="10511" xr:uid="{E02BF492-1B1E-474B-8547-7548F1DA6F2D}"/>
    <cellStyle name="40% - Accent3 4 4" xfId="1508" xr:uid="{00000000-0005-0000-0000-000083050000}"/>
    <cellStyle name="40% - Accent3 4 4 2" xfId="3738" xr:uid="{00000000-0005-0000-0000-000084050000}"/>
    <cellStyle name="40% - Accent3 4 4 2 2" xfId="7960" xr:uid="{00000000-0005-0000-0000-000085050000}"/>
    <cellStyle name="40% - Accent3 4 4 2 2 2" xfId="26585" xr:uid="{3D445FA0-26F2-4A04-BCB2-0721A935ACD6}"/>
    <cellStyle name="40% - Accent3 4 4 2 2 3" xfId="17286" xr:uid="{47525B06-CB8B-4BE3-B357-2B4C58CD6974}"/>
    <cellStyle name="40% - Accent3 4 4 2 3" xfId="22368" xr:uid="{697049AA-B9F1-4E8A-9E7E-20109D1F06A5}"/>
    <cellStyle name="40% - Accent3 4 4 2 4" xfId="13069" xr:uid="{8B6B6B60-54A7-4808-A2F2-5F32FB383F30}"/>
    <cellStyle name="40% - Accent3 4 4 3" xfId="5815" xr:uid="{00000000-0005-0000-0000-000086050000}"/>
    <cellStyle name="40% - Accent3 4 4 3 2" xfId="24440" xr:uid="{7A1058DD-81FE-42C7-B6B0-A56E3A63FF68}"/>
    <cellStyle name="40% - Accent3 4 4 3 3" xfId="15141" xr:uid="{1B51674B-D065-49BD-8C74-91E5053417E9}"/>
    <cellStyle name="40% - Accent3 4 4 4" xfId="20223" xr:uid="{6ABE0C59-75A4-45E5-BF36-6CC011C1BD1C}"/>
    <cellStyle name="40% - Accent3 4 4 5" xfId="10924" xr:uid="{9FC3AA1D-1663-4A39-B34A-704427A65624}"/>
    <cellStyle name="40% - Accent3 4 5" xfId="1922" xr:uid="{00000000-0005-0000-0000-000087050000}"/>
    <cellStyle name="40% - Accent3 4 5 2" xfId="4151" xr:uid="{00000000-0005-0000-0000-000088050000}"/>
    <cellStyle name="40% - Accent3 4 5 2 2" xfId="8373" xr:uid="{00000000-0005-0000-0000-000089050000}"/>
    <cellStyle name="40% - Accent3 4 5 2 2 2" xfId="26998" xr:uid="{EA40F90C-F4E7-46A6-9F2C-7318E6DBF568}"/>
    <cellStyle name="40% - Accent3 4 5 2 2 3" xfId="17699" xr:uid="{87B25331-2A6C-49C7-A688-843295B36A7A}"/>
    <cellStyle name="40% - Accent3 4 5 2 3" xfId="22781" xr:uid="{9039944B-10A5-49A3-B7CA-55B6353CCF3A}"/>
    <cellStyle name="40% - Accent3 4 5 2 4" xfId="13482" xr:uid="{331C248C-3A0A-4C66-928F-9434CBA8320A}"/>
    <cellStyle name="40% - Accent3 4 5 3" xfId="6228" xr:uid="{00000000-0005-0000-0000-00008A050000}"/>
    <cellStyle name="40% - Accent3 4 5 3 2" xfId="24853" xr:uid="{4D625FDA-B48B-4A18-96C6-D0B85D9E4634}"/>
    <cellStyle name="40% - Accent3 4 5 3 3" xfId="15554" xr:uid="{79A5F9B7-A903-47A5-901E-1333EF58B5E1}"/>
    <cellStyle name="40% - Accent3 4 5 4" xfId="20636" xr:uid="{2EFC9021-965A-4CCD-B4FF-EF5570A6D8A5}"/>
    <cellStyle name="40% - Accent3 4 5 5" xfId="11337" xr:uid="{757DC798-6502-4D4B-8F15-D5AC5C445794}"/>
    <cellStyle name="40% - Accent3 4 6" xfId="2335" xr:uid="{00000000-0005-0000-0000-00008B050000}"/>
    <cellStyle name="40% - Accent3 4 6 2" xfId="6641" xr:uid="{00000000-0005-0000-0000-00008C050000}"/>
    <cellStyle name="40% - Accent3 4 6 2 2" xfId="25266" xr:uid="{D220B692-8AC0-4562-B4D5-FDA19A10D6D8}"/>
    <cellStyle name="40% - Accent3 4 6 2 3" xfId="15967" xr:uid="{1B6F4759-6EF7-437E-9178-E1A51B1A6E00}"/>
    <cellStyle name="40% - Accent3 4 6 3" xfId="21049" xr:uid="{5F6E1152-7A84-44E7-AC6E-DA5145027116}"/>
    <cellStyle name="40% - Accent3 4 6 4" xfId="11750" xr:uid="{FEAE78C7-3E33-439A-9E5A-6D6F0B13DDCD}"/>
    <cellStyle name="40% - Accent3 4 7" xfId="4575" xr:uid="{00000000-0005-0000-0000-00008D050000}"/>
    <cellStyle name="40% - Accent3 4 7 2" xfId="23200" xr:uid="{CF6CF863-5F8B-4068-9C79-11A4DD708A14}"/>
    <cellStyle name="40% - Accent3 4 7 3" xfId="13901" xr:uid="{009665FA-4F23-4424-931F-05B78FF48058}"/>
    <cellStyle name="40% - Accent3 4 8" xfId="8952" xr:uid="{74BF8F1E-4A34-4787-9BA1-0B97E446635F}"/>
    <cellStyle name="40% - Accent3 4 8 2" xfId="27575" xr:uid="{8355EDDB-D899-4959-8FC4-B04EBF7EFFDF}"/>
    <cellStyle name="40% - Accent3 4 8 3" xfId="18276" xr:uid="{07127A41-A6D4-4D94-BA65-703044D4855D}"/>
    <cellStyle name="40% - Accent3 4 9" xfId="18983" xr:uid="{96482CC0-2B5F-4F8D-BDDD-EAF9D7A488D4}"/>
    <cellStyle name="40% - Accent3 5" xfId="634" xr:uid="{00000000-0005-0000-0000-00008E050000}"/>
    <cellStyle name="40% - Accent3 5 2" xfId="2905" xr:uid="{00000000-0005-0000-0000-00008F050000}"/>
    <cellStyle name="40% - Accent3 5 2 2" xfId="7127" xr:uid="{00000000-0005-0000-0000-000090050000}"/>
    <cellStyle name="40% - Accent3 5 2 2 2" xfId="25752" xr:uid="{A3165DEF-0BD7-4796-B723-0DF2F5C6E046}"/>
    <cellStyle name="40% - Accent3 5 2 2 3" xfId="16453" xr:uid="{832BF67F-7ED9-4C1B-8450-292C4F5220E7}"/>
    <cellStyle name="40% - Accent3 5 2 3" xfId="21535" xr:uid="{8A4C6B6C-6C5C-4D2F-A143-C2FBC1250740}"/>
    <cellStyle name="40% - Accent3 5 2 4" xfId="12236" xr:uid="{8FA59ACC-BB8E-416C-AA51-56EF6EB42E54}"/>
    <cellStyle name="40% - Accent3 5 3" xfId="4982" xr:uid="{00000000-0005-0000-0000-000091050000}"/>
    <cellStyle name="40% - Accent3 5 3 2" xfId="23607" xr:uid="{263B838D-5497-4B41-871D-D4F1FC641BCF}"/>
    <cellStyle name="40% - Accent3 5 3 3" xfId="14308" xr:uid="{86F97D1C-E58B-4A78-8A9B-09503E35CF1A}"/>
    <cellStyle name="40% - Accent3 5 4" xfId="9185" xr:uid="{526F025D-EBF7-4976-9E38-4C0631A2843B}"/>
    <cellStyle name="40% - Accent3 5 4 2" xfId="27802" xr:uid="{2116F2F2-392C-4934-B1BE-4FA4440AC163}"/>
    <cellStyle name="40% - Accent3 5 4 3" xfId="18503" xr:uid="{102F1B39-32C7-4EBD-B930-AA8B6B9C3BB8}"/>
    <cellStyle name="40% - Accent3 5 5" xfId="19390" xr:uid="{F50245F6-E6D9-4EB0-9FBA-9BD2ED6352B6}"/>
    <cellStyle name="40% - Accent3 5 6" xfId="10091" xr:uid="{9ABA54E0-34C0-4E04-8C28-4CA3F973B97F}"/>
    <cellStyle name="40% - Accent3 6" xfId="1087" xr:uid="{00000000-0005-0000-0000-000092050000}"/>
    <cellStyle name="40% - Accent3 6 2" xfId="3318" xr:uid="{00000000-0005-0000-0000-000093050000}"/>
    <cellStyle name="40% - Accent3 6 2 2" xfId="7540" xr:uid="{00000000-0005-0000-0000-000094050000}"/>
    <cellStyle name="40% - Accent3 6 2 2 2" xfId="26165" xr:uid="{16E5532B-005B-4FB1-A049-A5E3D1DE7CDE}"/>
    <cellStyle name="40% - Accent3 6 2 2 3" xfId="16866" xr:uid="{081B350F-DE1A-457F-9CD5-82F9AC645458}"/>
    <cellStyle name="40% - Accent3 6 2 3" xfId="21948" xr:uid="{79311F0C-47F8-4065-948C-F833F4CDD9FC}"/>
    <cellStyle name="40% - Accent3 6 2 4" xfId="12649" xr:uid="{5BBA7687-CA21-4E6C-BF42-1A37F4A90B30}"/>
    <cellStyle name="40% - Accent3 6 3" xfId="5395" xr:uid="{00000000-0005-0000-0000-000095050000}"/>
    <cellStyle name="40% - Accent3 6 3 2" xfId="24020" xr:uid="{151AA3E2-83A7-4D1C-B3A0-42716DEBC97D}"/>
    <cellStyle name="40% - Accent3 6 3 3" xfId="14721" xr:uid="{6016B95E-2C59-481C-8205-33B2B114A1AD}"/>
    <cellStyle name="40% - Accent3 6 4" xfId="19803" xr:uid="{A348C62F-8745-4D72-BBCC-D91B43C00CC4}"/>
    <cellStyle name="40% - Accent3 6 5" xfId="10504" xr:uid="{4A8B7C5B-50FB-4A14-A42E-86E3275DABEF}"/>
    <cellStyle name="40% - Accent3 7" xfId="1501" xr:uid="{00000000-0005-0000-0000-000096050000}"/>
    <cellStyle name="40% - Accent3 7 2" xfId="3731" xr:uid="{00000000-0005-0000-0000-000097050000}"/>
    <cellStyle name="40% - Accent3 7 2 2" xfId="7953" xr:uid="{00000000-0005-0000-0000-000098050000}"/>
    <cellStyle name="40% - Accent3 7 2 2 2" xfId="26578" xr:uid="{FA373279-AB01-40EE-8DBB-ED08BB2DFBA6}"/>
    <cellStyle name="40% - Accent3 7 2 2 3" xfId="17279" xr:uid="{C3A27E4B-82B6-4308-9B33-C07F5DBC26AA}"/>
    <cellStyle name="40% - Accent3 7 2 3" xfId="22361" xr:uid="{6AAB9FB2-5221-444E-9E78-ADF13C5D2D40}"/>
    <cellStyle name="40% - Accent3 7 2 4" xfId="13062" xr:uid="{810E9735-C330-48B1-9DE8-EEBF383BC1D1}"/>
    <cellStyle name="40% - Accent3 7 3" xfId="5808" xr:uid="{00000000-0005-0000-0000-000099050000}"/>
    <cellStyle name="40% - Accent3 7 3 2" xfId="24433" xr:uid="{0C62FFC6-2182-4FAE-A4D8-A41B0349E2E0}"/>
    <cellStyle name="40% - Accent3 7 3 3" xfId="15134" xr:uid="{5B8DFCC5-ECFA-44FA-BA26-3537B68CE62A}"/>
    <cellStyle name="40% - Accent3 7 4" xfId="20216" xr:uid="{BBCFD5A2-FC1F-4823-A966-C2B6A8D5D6DE}"/>
    <cellStyle name="40% - Accent3 7 5" xfId="10917" xr:uid="{C570BC09-6EAA-4F7A-AE09-11DE9712AD03}"/>
    <cellStyle name="40% - Accent3 8" xfId="1915" xr:uid="{00000000-0005-0000-0000-00009A050000}"/>
    <cellStyle name="40% - Accent3 8 2" xfId="4144" xr:uid="{00000000-0005-0000-0000-00009B050000}"/>
    <cellStyle name="40% - Accent3 8 2 2" xfId="8366" xr:uid="{00000000-0005-0000-0000-00009C050000}"/>
    <cellStyle name="40% - Accent3 8 2 2 2" xfId="26991" xr:uid="{D24AC5A4-A0EE-4BF8-AA3B-946C08CA5D3C}"/>
    <cellStyle name="40% - Accent3 8 2 2 3" xfId="17692" xr:uid="{BE37D73D-64D2-4C6A-B946-DA08C749D20A}"/>
    <cellStyle name="40% - Accent3 8 2 3" xfId="22774" xr:uid="{3C0643F4-42EC-45A1-A9BB-1C0AE3B9C49E}"/>
    <cellStyle name="40% - Accent3 8 2 4" xfId="13475" xr:uid="{FD0B5599-D46B-4FB4-AFD7-AF8DCF72D245}"/>
    <cellStyle name="40% - Accent3 8 3" xfId="6221" xr:uid="{00000000-0005-0000-0000-00009D050000}"/>
    <cellStyle name="40% - Accent3 8 3 2" xfId="24846" xr:uid="{9A87FF80-5FB8-4B66-9B6E-BA3CA7581DE0}"/>
    <cellStyle name="40% - Accent3 8 3 3" xfId="15547" xr:uid="{53AE85D5-9FD0-49DC-B47A-A6FA23848DAA}"/>
    <cellStyle name="40% - Accent3 8 4" xfId="20629" xr:uid="{4E5107FA-9CFA-4459-A4A1-88E4697381D7}"/>
    <cellStyle name="40% - Accent3 8 5" xfId="11330" xr:uid="{D16DE302-A23B-484B-BB8F-B9AB8B9CBEA6}"/>
    <cellStyle name="40% - Accent3 9" xfId="2328" xr:uid="{00000000-0005-0000-0000-00009E050000}"/>
    <cellStyle name="40% - Accent3 9 2" xfId="6634" xr:uid="{00000000-0005-0000-0000-00009F050000}"/>
    <cellStyle name="40% - Accent3 9 2 2" xfId="25259" xr:uid="{0F50D233-7CAD-416C-9DC2-48ECB455EF20}"/>
    <cellStyle name="40% - Accent3 9 2 3" xfId="15960" xr:uid="{1B1927CA-7DE3-442A-8064-4C2938C9D326}"/>
    <cellStyle name="40% - Accent3 9 3" xfId="21042" xr:uid="{D8544F2C-8EE6-4D75-8D03-34CB72218EC7}"/>
    <cellStyle name="40% - Accent3 9 4" xfId="11743" xr:uid="{901BB891-9F67-459D-8151-1D02CD439F00}"/>
    <cellStyle name="40% - Accent4" xfId="73" builtinId="43" customBuiltin="1"/>
    <cellStyle name="40% - Accent4 10" xfId="4576" xr:uid="{00000000-0005-0000-0000-0000A1050000}"/>
    <cellStyle name="40% - Accent4 10 2" xfId="23201" xr:uid="{8B76AE3D-6C17-475C-9BA4-B8C055ADADCC}"/>
    <cellStyle name="40% - Accent4 10 3" xfId="13902" xr:uid="{B5069FC5-9F21-410E-B49E-DF42FEECA48C}"/>
    <cellStyle name="40% - Accent4 11" xfId="8765" xr:uid="{18B6B6D6-5043-43D1-BB02-3855BF7027C3}"/>
    <cellStyle name="40% - Accent4 11 2" xfId="27388" xr:uid="{0D66D0B6-EE4F-4099-82E9-609CB715D3CB}"/>
    <cellStyle name="40% - Accent4 11 3" xfId="18089" xr:uid="{67ED8991-4EAF-4D2C-8545-88A28B6CFF1E}"/>
    <cellStyle name="40% - Accent4 12" xfId="18984" xr:uid="{F78E8FB3-13E2-427A-BBF3-D575917DFF90}"/>
    <cellStyle name="40% - Accent4 13" xfId="9685" xr:uid="{49EB172E-B120-4846-96D9-CA37C12FA305}"/>
    <cellStyle name="40% - Accent4 2" xfId="74" xr:uid="{00000000-0005-0000-0000-0000A2050000}"/>
    <cellStyle name="40% - Accent4 2 10" xfId="8801" xr:uid="{223FCC58-A05E-4022-8080-E75A80678FA6}"/>
    <cellStyle name="40% - Accent4 2 10 2" xfId="27424" xr:uid="{EDD576D7-136B-4A7E-905E-AE5AE037876B}"/>
    <cellStyle name="40% - Accent4 2 10 3" xfId="18125" xr:uid="{696B834C-7FFC-45B1-9283-F0B96A914439}"/>
    <cellStyle name="40% - Accent4 2 11" xfId="18985" xr:uid="{D34AEF9C-202B-4735-B432-CCF6514CCDDB}"/>
    <cellStyle name="40% - Accent4 2 12" xfId="9686" xr:uid="{8E5F1981-B3FA-4E59-A659-DCE75017A94A}"/>
    <cellStyle name="40% - Accent4 2 2" xfId="75" xr:uid="{00000000-0005-0000-0000-0000A3050000}"/>
    <cellStyle name="40% - Accent4 2 2 10" xfId="18986" xr:uid="{2B19B661-8E49-4195-99F1-77E6A1C3CF3A}"/>
    <cellStyle name="40% - Accent4 2 2 11" xfId="9687" xr:uid="{0B7724CA-BE4E-459F-8B40-D02AA709A1C4}"/>
    <cellStyle name="40% - Accent4 2 2 2" xfId="76" xr:uid="{00000000-0005-0000-0000-0000A4050000}"/>
    <cellStyle name="40% - Accent4 2 2 2 10" xfId="9688" xr:uid="{574F7FBB-FBD3-43D3-B147-7836477396FE}"/>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2 2 2" xfId="25763" xr:uid="{9BE7B984-CBDD-40E2-B621-A1DD96EB7FBD}"/>
    <cellStyle name="40% - Accent4 2 2 2 2 2 2 3" xfId="16464" xr:uid="{3A139B56-8686-48F3-9D98-84E92CFC4F72}"/>
    <cellStyle name="40% - Accent4 2 2 2 2 2 3" xfId="21546" xr:uid="{AFD0AC33-5D97-47FB-8936-86AABC9FD5EC}"/>
    <cellStyle name="40% - Accent4 2 2 2 2 2 4" xfId="12247" xr:uid="{8C48E171-0BFA-475F-AB6D-C067C16B2591}"/>
    <cellStyle name="40% - Accent4 2 2 2 2 3" xfId="4993" xr:uid="{00000000-0005-0000-0000-0000A8050000}"/>
    <cellStyle name="40% - Accent4 2 2 2 2 3 2" xfId="23618" xr:uid="{A6D54577-9D4A-4169-B2EA-B21B0C296744}"/>
    <cellStyle name="40% - Accent4 2 2 2 2 3 3" xfId="14319" xr:uid="{54B1770F-4981-421F-95D5-A62F4A44F6AB}"/>
    <cellStyle name="40% - Accent4 2 2 2 2 4" xfId="9536" xr:uid="{4351D24F-CE30-4CFD-968F-4B882F0FC9B5}"/>
    <cellStyle name="40% - Accent4 2 2 2 2 4 2" xfId="28150" xr:uid="{F29DA890-F231-4006-AE88-AF4067EA20FB}"/>
    <cellStyle name="40% - Accent4 2 2 2 2 4 3" xfId="18851" xr:uid="{25FCF036-5566-4B39-B135-69B5F99F6A08}"/>
    <cellStyle name="40% - Accent4 2 2 2 2 5" xfId="19401" xr:uid="{F8B18008-118A-47F1-B5FF-7AAF43020F20}"/>
    <cellStyle name="40% - Accent4 2 2 2 2 6" xfId="10102" xr:uid="{916627F9-5665-4CD2-8ACE-CA7A44C41A8D}"/>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2 2 2" xfId="26176" xr:uid="{3CA3B457-A8E4-47AF-8AFA-E42565499596}"/>
    <cellStyle name="40% - Accent4 2 2 2 3 2 2 3" xfId="16877" xr:uid="{420AA740-16F2-4B4D-8F13-F37B3B0EFE5C}"/>
    <cellStyle name="40% - Accent4 2 2 2 3 2 3" xfId="21959" xr:uid="{A3342929-6B5E-4A23-84BA-8B7F04E3E44D}"/>
    <cellStyle name="40% - Accent4 2 2 2 3 2 4" xfId="12660" xr:uid="{757963E7-494B-4E86-8C0D-742A09632130}"/>
    <cellStyle name="40% - Accent4 2 2 2 3 3" xfId="5406" xr:uid="{00000000-0005-0000-0000-0000AC050000}"/>
    <cellStyle name="40% - Accent4 2 2 2 3 3 2" xfId="24031" xr:uid="{F88195E0-A5B2-42D7-8810-B306C415DA9A}"/>
    <cellStyle name="40% - Accent4 2 2 2 3 3 3" xfId="14732" xr:uid="{D4428C25-14D6-4D95-B96F-6B0490C5A8E1}"/>
    <cellStyle name="40% - Accent4 2 2 2 3 4" xfId="19814" xr:uid="{37BFFAB3-07DF-44AC-B3AE-238E12F5372C}"/>
    <cellStyle name="40% - Accent4 2 2 2 3 5" xfId="10515" xr:uid="{B55D3C1B-7AF0-4EA6-80D5-9C26AD9D2D6E}"/>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2 2 2" xfId="26589" xr:uid="{FB2A3E4F-EEC4-4C37-92F4-186177D642A2}"/>
    <cellStyle name="40% - Accent4 2 2 2 4 2 2 3" xfId="17290" xr:uid="{8F0018A4-A098-4699-8683-7804A2B43A74}"/>
    <cellStyle name="40% - Accent4 2 2 2 4 2 3" xfId="22372" xr:uid="{7EF5205A-0841-4A2D-9EEE-FB610FB50B03}"/>
    <cellStyle name="40% - Accent4 2 2 2 4 2 4" xfId="13073" xr:uid="{E42F27AF-4C2E-4655-9B55-81132F832730}"/>
    <cellStyle name="40% - Accent4 2 2 2 4 3" xfId="5819" xr:uid="{00000000-0005-0000-0000-0000B0050000}"/>
    <cellStyle name="40% - Accent4 2 2 2 4 3 2" xfId="24444" xr:uid="{6A4C0843-AD16-416C-B204-C0B97F95BA26}"/>
    <cellStyle name="40% - Accent4 2 2 2 4 3 3" xfId="15145" xr:uid="{D9F690D1-A53E-4F82-92F9-D76DFB5C879E}"/>
    <cellStyle name="40% - Accent4 2 2 2 4 4" xfId="20227" xr:uid="{A7BCB550-B1A8-453B-ACAE-AC60E4596828}"/>
    <cellStyle name="40% - Accent4 2 2 2 4 5" xfId="10928" xr:uid="{31E1F687-D56C-4A15-925D-2D14314292D5}"/>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2 2 2" xfId="27002" xr:uid="{D9B36808-F3C4-4EEC-9D4B-87ACED24F555}"/>
    <cellStyle name="40% - Accent4 2 2 2 5 2 2 3" xfId="17703" xr:uid="{DE5E8AF3-65DB-4923-9B27-6BF2B0660135}"/>
    <cellStyle name="40% - Accent4 2 2 2 5 2 3" xfId="22785" xr:uid="{DDCE30C3-C7D7-4F1E-9CB3-8787FD96673E}"/>
    <cellStyle name="40% - Accent4 2 2 2 5 2 4" xfId="13486" xr:uid="{403E0F57-1F90-4326-9BB9-01D26BC328E7}"/>
    <cellStyle name="40% - Accent4 2 2 2 5 3" xfId="6232" xr:uid="{00000000-0005-0000-0000-0000B4050000}"/>
    <cellStyle name="40% - Accent4 2 2 2 5 3 2" xfId="24857" xr:uid="{073F7EBB-9AEA-4F67-880B-E8843FD47CD5}"/>
    <cellStyle name="40% - Accent4 2 2 2 5 3 3" xfId="15558" xr:uid="{BE94B2DB-F03E-443E-A9B0-C10B6DFA6026}"/>
    <cellStyle name="40% - Accent4 2 2 2 5 4" xfId="20640" xr:uid="{AA8F6EE5-F7EA-45EF-BDE2-81B65B1A6ED0}"/>
    <cellStyle name="40% - Accent4 2 2 2 5 5" xfId="11341" xr:uid="{84225CDD-2B2C-43E9-A86D-AFB5A1701737}"/>
    <cellStyle name="40% - Accent4 2 2 2 6" xfId="2339" xr:uid="{00000000-0005-0000-0000-0000B5050000}"/>
    <cellStyle name="40% - Accent4 2 2 2 6 2" xfId="6645" xr:uid="{00000000-0005-0000-0000-0000B6050000}"/>
    <cellStyle name="40% - Accent4 2 2 2 6 2 2" xfId="25270" xr:uid="{40AA6716-641B-47D7-A0DE-DAC7705A573F}"/>
    <cellStyle name="40% - Accent4 2 2 2 6 2 3" xfId="15971" xr:uid="{D9C1AC96-D4A3-417A-A086-EFECF45694FE}"/>
    <cellStyle name="40% - Accent4 2 2 2 6 3" xfId="21053" xr:uid="{7763EC29-A009-45D0-B9A1-02F9C4F46E74}"/>
    <cellStyle name="40% - Accent4 2 2 2 6 4" xfId="11754" xr:uid="{F0A2A48E-DCDE-4AF7-82BF-AA5638C7E49B}"/>
    <cellStyle name="40% - Accent4 2 2 2 7" xfId="4579" xr:uid="{00000000-0005-0000-0000-0000B7050000}"/>
    <cellStyle name="40% - Accent4 2 2 2 7 2" xfId="23204" xr:uid="{B2B9602F-8881-46CB-93BF-0BEEE77895FA}"/>
    <cellStyle name="40% - Accent4 2 2 2 7 3" xfId="13905" xr:uid="{0C93753F-8487-4E3C-979A-099497437E51}"/>
    <cellStyle name="40% - Accent4 2 2 2 8" xfId="9111" xr:uid="{1DD86F12-0D11-497C-88D9-78D90E1EF65F}"/>
    <cellStyle name="40% - Accent4 2 2 2 8 2" xfId="27734" xr:uid="{BE6559EB-A46F-49A2-A989-D0BEBFD08700}"/>
    <cellStyle name="40% - Accent4 2 2 2 8 3" xfId="18435" xr:uid="{CEE99FA9-F06F-4004-BAF5-0558DB22F412}"/>
    <cellStyle name="40% - Accent4 2 2 2 9" xfId="18987" xr:uid="{C3764E70-C2E7-473A-BE01-CD1EC2EB1C08}"/>
    <cellStyle name="40% - Accent4 2 2 3" xfId="644" xr:uid="{00000000-0005-0000-0000-0000B8050000}"/>
    <cellStyle name="40% - Accent4 2 2 3 2" xfId="2915" xr:uid="{00000000-0005-0000-0000-0000B9050000}"/>
    <cellStyle name="40% - Accent4 2 2 3 2 2" xfId="7137" xr:uid="{00000000-0005-0000-0000-0000BA050000}"/>
    <cellStyle name="40% - Accent4 2 2 3 2 2 2" xfId="25762" xr:uid="{6F13903A-1DDA-4E82-80E6-B829F2FA5AA5}"/>
    <cellStyle name="40% - Accent4 2 2 3 2 2 3" xfId="16463" xr:uid="{9BFE39E8-92EF-47DA-9B62-85628F7CBBF2}"/>
    <cellStyle name="40% - Accent4 2 2 3 2 3" xfId="21545" xr:uid="{0C020FA3-609C-4116-BBCB-CC47AECD7B35}"/>
    <cellStyle name="40% - Accent4 2 2 3 2 4" xfId="12246" xr:uid="{3A708168-C092-401D-8335-C7F885E8D576}"/>
    <cellStyle name="40% - Accent4 2 2 3 3" xfId="4992" xr:uid="{00000000-0005-0000-0000-0000BB050000}"/>
    <cellStyle name="40% - Accent4 2 2 3 3 2" xfId="23617" xr:uid="{B699A0B3-2F16-49B3-935D-AC5E1EE64F64}"/>
    <cellStyle name="40% - Accent4 2 2 3 3 3" xfId="14318" xr:uid="{C71CB74E-8F4D-45B5-AF45-DBD3C2AA5789}"/>
    <cellStyle name="40% - Accent4 2 2 3 4" xfId="9329" xr:uid="{62CB3536-9FC4-4DBF-9121-AD0025D891C9}"/>
    <cellStyle name="40% - Accent4 2 2 3 4 2" xfId="27943" xr:uid="{88A5767E-914C-4CC5-9B49-44B9C552B593}"/>
    <cellStyle name="40% - Accent4 2 2 3 4 3" xfId="18644" xr:uid="{68577FAE-9D80-4E76-B4A5-49F337527D98}"/>
    <cellStyle name="40% - Accent4 2 2 3 5" xfId="19400" xr:uid="{21227C63-369A-4548-94E5-92B925276033}"/>
    <cellStyle name="40% - Accent4 2 2 3 6" xfId="10101" xr:uid="{27BED03A-DCC5-44DB-813A-D7E4505261B1}"/>
    <cellStyle name="40% - Accent4 2 2 4" xfId="1097" xr:uid="{00000000-0005-0000-0000-0000BC050000}"/>
    <cellStyle name="40% - Accent4 2 2 4 2" xfId="3328" xr:uid="{00000000-0005-0000-0000-0000BD050000}"/>
    <cellStyle name="40% - Accent4 2 2 4 2 2" xfId="7550" xr:uid="{00000000-0005-0000-0000-0000BE050000}"/>
    <cellStyle name="40% - Accent4 2 2 4 2 2 2" xfId="26175" xr:uid="{D2011E41-4912-497E-A92A-6E496BA2A77C}"/>
    <cellStyle name="40% - Accent4 2 2 4 2 2 3" xfId="16876" xr:uid="{37EF4AC5-486E-48CB-946B-93FD8F834A6B}"/>
    <cellStyle name="40% - Accent4 2 2 4 2 3" xfId="21958" xr:uid="{FF1EE696-38B9-46B8-97C3-B4F7360E4991}"/>
    <cellStyle name="40% - Accent4 2 2 4 2 4" xfId="12659" xr:uid="{D9F8A463-847F-41C2-A2E2-BC93AE15C6FB}"/>
    <cellStyle name="40% - Accent4 2 2 4 3" xfId="5405" xr:uid="{00000000-0005-0000-0000-0000BF050000}"/>
    <cellStyle name="40% - Accent4 2 2 4 3 2" xfId="24030" xr:uid="{CBF52829-F182-491D-BDF7-A9F3AD0D0333}"/>
    <cellStyle name="40% - Accent4 2 2 4 3 3" xfId="14731" xr:uid="{72F102FC-D659-48CC-A212-73B50A8F1A8F}"/>
    <cellStyle name="40% - Accent4 2 2 4 4" xfId="19813" xr:uid="{F89C9047-A1D2-43F0-B5F0-D548A0D35262}"/>
    <cellStyle name="40% - Accent4 2 2 4 5" xfId="10514" xr:uid="{6B3D61D8-E557-408D-83EF-D47A1A647ABD}"/>
    <cellStyle name="40% - Accent4 2 2 5" xfId="1511" xr:uid="{00000000-0005-0000-0000-0000C0050000}"/>
    <cellStyle name="40% - Accent4 2 2 5 2" xfId="3741" xr:uid="{00000000-0005-0000-0000-0000C1050000}"/>
    <cellStyle name="40% - Accent4 2 2 5 2 2" xfId="7963" xr:uid="{00000000-0005-0000-0000-0000C2050000}"/>
    <cellStyle name="40% - Accent4 2 2 5 2 2 2" xfId="26588" xr:uid="{AAA72789-9A51-4F1E-B056-B93E61635EB7}"/>
    <cellStyle name="40% - Accent4 2 2 5 2 2 3" xfId="17289" xr:uid="{DC0CE27A-0F76-4A43-8142-A5B2C0E0201B}"/>
    <cellStyle name="40% - Accent4 2 2 5 2 3" xfId="22371" xr:uid="{B6EB03A5-9BB4-4548-8035-70A899227C28}"/>
    <cellStyle name="40% - Accent4 2 2 5 2 4" xfId="13072" xr:uid="{6A8E0B52-D775-4F46-9AD0-C38BB5C797DC}"/>
    <cellStyle name="40% - Accent4 2 2 5 3" xfId="5818" xr:uid="{00000000-0005-0000-0000-0000C3050000}"/>
    <cellStyle name="40% - Accent4 2 2 5 3 2" xfId="24443" xr:uid="{7EAC71D4-15FF-4E67-ACDA-EACAEE39E5B0}"/>
    <cellStyle name="40% - Accent4 2 2 5 3 3" xfId="15144" xr:uid="{25EB3C47-D3A8-4098-9D67-F7A2E5036632}"/>
    <cellStyle name="40% - Accent4 2 2 5 4" xfId="20226" xr:uid="{7118A436-CFDC-4FEF-B358-C3377839FDEC}"/>
    <cellStyle name="40% - Accent4 2 2 5 5" xfId="10927" xr:uid="{79E434E1-14ED-4A33-B04D-CE5B87AA4F0A}"/>
    <cellStyle name="40% - Accent4 2 2 6" xfId="1925" xr:uid="{00000000-0005-0000-0000-0000C4050000}"/>
    <cellStyle name="40% - Accent4 2 2 6 2" xfId="4154" xr:uid="{00000000-0005-0000-0000-0000C5050000}"/>
    <cellStyle name="40% - Accent4 2 2 6 2 2" xfId="8376" xr:uid="{00000000-0005-0000-0000-0000C6050000}"/>
    <cellStyle name="40% - Accent4 2 2 6 2 2 2" xfId="27001" xr:uid="{B3E0AAE7-B5FA-4133-B348-3FE2F8AAB6B8}"/>
    <cellStyle name="40% - Accent4 2 2 6 2 2 3" xfId="17702" xr:uid="{B12589FE-993F-4F75-8719-84D77C810849}"/>
    <cellStyle name="40% - Accent4 2 2 6 2 3" xfId="22784" xr:uid="{4301A934-86EF-4CB6-9D07-95EDF0327F2B}"/>
    <cellStyle name="40% - Accent4 2 2 6 2 4" xfId="13485" xr:uid="{1EC6447C-ACED-4020-AAC7-7EF69EAD1044}"/>
    <cellStyle name="40% - Accent4 2 2 6 3" xfId="6231" xr:uid="{00000000-0005-0000-0000-0000C7050000}"/>
    <cellStyle name="40% - Accent4 2 2 6 3 2" xfId="24856" xr:uid="{3691ECCB-EC56-46F1-80E7-78DFCC3F55D5}"/>
    <cellStyle name="40% - Accent4 2 2 6 3 3" xfId="15557" xr:uid="{7A411500-1C62-4071-BA5A-04B2E03CB84A}"/>
    <cellStyle name="40% - Accent4 2 2 6 4" xfId="20639" xr:uid="{F23DD8DD-461A-491C-8CDB-E5CC452B100D}"/>
    <cellStyle name="40% - Accent4 2 2 6 5" xfId="11340" xr:uid="{6521E709-98C6-4E64-BBE4-53EF02E1020C}"/>
    <cellStyle name="40% - Accent4 2 2 7" xfId="2338" xr:uid="{00000000-0005-0000-0000-0000C8050000}"/>
    <cellStyle name="40% - Accent4 2 2 7 2" xfId="6644" xr:uid="{00000000-0005-0000-0000-0000C9050000}"/>
    <cellStyle name="40% - Accent4 2 2 7 2 2" xfId="25269" xr:uid="{9DEEC7B6-B49E-4CFB-8068-E69908E20164}"/>
    <cellStyle name="40% - Accent4 2 2 7 2 3" xfId="15970" xr:uid="{9020E7CB-B415-4FEE-AE39-8C01601B61F8}"/>
    <cellStyle name="40% - Accent4 2 2 7 3" xfId="21052" xr:uid="{EA37023B-3397-4010-822B-98D978F503C0}"/>
    <cellStyle name="40% - Accent4 2 2 7 4" xfId="11753" xr:uid="{E518D74B-F622-409C-933B-0EF123033162}"/>
    <cellStyle name="40% - Accent4 2 2 8" xfId="4578" xr:uid="{00000000-0005-0000-0000-0000CA050000}"/>
    <cellStyle name="40% - Accent4 2 2 8 2" xfId="23203" xr:uid="{3D1724F7-5FD5-42CB-8E2A-272BA88C9531}"/>
    <cellStyle name="40% - Accent4 2 2 8 3" xfId="13904" xr:uid="{69917B9A-C810-4095-B35A-F9688B14943F}"/>
    <cellStyle name="40% - Accent4 2 2 9" xfId="8904" xr:uid="{64C959C5-2FAF-462D-88B6-14B59CDC763B}"/>
    <cellStyle name="40% - Accent4 2 2 9 2" xfId="27527" xr:uid="{1AD1B33F-AAB2-421F-B092-A018A83498DE}"/>
    <cellStyle name="40% - Accent4 2 2 9 3" xfId="18228" xr:uid="{D574A071-24E7-439B-A5C5-B8209C7687C9}"/>
    <cellStyle name="40% - Accent4 2 3" xfId="77" xr:uid="{00000000-0005-0000-0000-0000CB050000}"/>
    <cellStyle name="40% - Accent4 2 3 10" xfId="9689" xr:uid="{2C38D56A-0D76-47F9-8E60-967D2E402B22}"/>
    <cellStyle name="40% - Accent4 2 3 2" xfId="646" xr:uid="{00000000-0005-0000-0000-0000CC050000}"/>
    <cellStyle name="40% - Accent4 2 3 2 2" xfId="2917" xr:uid="{00000000-0005-0000-0000-0000CD050000}"/>
    <cellStyle name="40% - Accent4 2 3 2 2 2" xfId="7139" xr:uid="{00000000-0005-0000-0000-0000CE050000}"/>
    <cellStyle name="40% - Accent4 2 3 2 2 2 2" xfId="25764" xr:uid="{DCAB4A2D-2F66-4E5A-BB7B-99944BC1870A}"/>
    <cellStyle name="40% - Accent4 2 3 2 2 2 3" xfId="16465" xr:uid="{79B4BAE3-BC26-484F-8C66-D805F582174F}"/>
    <cellStyle name="40% - Accent4 2 3 2 2 3" xfId="21547" xr:uid="{A8955B02-91C2-4B58-A969-CBFB1D86BFBB}"/>
    <cellStyle name="40% - Accent4 2 3 2 2 4" xfId="12248" xr:uid="{A1AFB0F5-0961-4DED-B0D6-4C80E7DC84A1}"/>
    <cellStyle name="40% - Accent4 2 3 2 3" xfId="4994" xr:uid="{00000000-0005-0000-0000-0000CF050000}"/>
    <cellStyle name="40% - Accent4 2 3 2 3 2" xfId="23619" xr:uid="{7941065A-7983-472B-BD9B-A23CFC081EDF}"/>
    <cellStyle name="40% - Accent4 2 3 2 3 3" xfId="14320" xr:uid="{F61A3D74-56FE-495B-B70A-33059041C931}"/>
    <cellStyle name="40% - Accent4 2 3 2 4" xfId="9433" xr:uid="{058786D1-7E7D-40D9-9218-B4C7219F4E53}"/>
    <cellStyle name="40% - Accent4 2 3 2 4 2" xfId="28047" xr:uid="{4F136128-B45B-48C8-AB32-F0E526103777}"/>
    <cellStyle name="40% - Accent4 2 3 2 4 3" xfId="18748" xr:uid="{DC30A585-261B-4242-AA88-75D93FE51553}"/>
    <cellStyle name="40% - Accent4 2 3 2 5" xfId="19402" xr:uid="{8EFAC29F-2238-43DC-9728-44DD5CACD616}"/>
    <cellStyle name="40% - Accent4 2 3 2 6" xfId="10103" xr:uid="{62272FD1-CFB6-477D-B45C-7F202318C58F}"/>
    <cellStyle name="40% - Accent4 2 3 3" xfId="1099" xr:uid="{00000000-0005-0000-0000-0000D0050000}"/>
    <cellStyle name="40% - Accent4 2 3 3 2" xfId="3330" xr:uid="{00000000-0005-0000-0000-0000D1050000}"/>
    <cellStyle name="40% - Accent4 2 3 3 2 2" xfId="7552" xr:uid="{00000000-0005-0000-0000-0000D2050000}"/>
    <cellStyle name="40% - Accent4 2 3 3 2 2 2" xfId="26177" xr:uid="{C0376E26-091D-4BC0-A340-8E5806230AF8}"/>
    <cellStyle name="40% - Accent4 2 3 3 2 2 3" xfId="16878" xr:uid="{35C5A84A-D73A-4700-9FD5-8587B8531502}"/>
    <cellStyle name="40% - Accent4 2 3 3 2 3" xfId="21960" xr:uid="{BC54184C-29FA-418F-9954-ADEFFEFD8C8A}"/>
    <cellStyle name="40% - Accent4 2 3 3 2 4" xfId="12661" xr:uid="{2041B24A-9925-45A7-9CA3-8AA9C0468699}"/>
    <cellStyle name="40% - Accent4 2 3 3 3" xfId="5407" xr:uid="{00000000-0005-0000-0000-0000D3050000}"/>
    <cellStyle name="40% - Accent4 2 3 3 3 2" xfId="24032" xr:uid="{C0D842C5-583B-4D63-ADE6-10D3A254AB12}"/>
    <cellStyle name="40% - Accent4 2 3 3 3 3" xfId="14733" xr:uid="{017FC023-145C-42D8-A8BB-B0B9D73236EE}"/>
    <cellStyle name="40% - Accent4 2 3 3 4" xfId="19815" xr:uid="{C0A85F91-894A-43B5-B40F-D016F0402770}"/>
    <cellStyle name="40% - Accent4 2 3 3 5" xfId="10516" xr:uid="{47352CBC-90C8-40C4-AB5B-72E5B07AB25E}"/>
    <cellStyle name="40% - Accent4 2 3 4" xfId="1513" xr:uid="{00000000-0005-0000-0000-0000D4050000}"/>
    <cellStyle name="40% - Accent4 2 3 4 2" xfId="3743" xr:uid="{00000000-0005-0000-0000-0000D5050000}"/>
    <cellStyle name="40% - Accent4 2 3 4 2 2" xfId="7965" xr:uid="{00000000-0005-0000-0000-0000D6050000}"/>
    <cellStyle name="40% - Accent4 2 3 4 2 2 2" xfId="26590" xr:uid="{EA6DBCBA-3956-4BA9-827B-8E48A7318061}"/>
    <cellStyle name="40% - Accent4 2 3 4 2 2 3" xfId="17291" xr:uid="{F2A224FB-3620-4FBD-B507-C5C3AD72F1F9}"/>
    <cellStyle name="40% - Accent4 2 3 4 2 3" xfId="22373" xr:uid="{22C519EF-9EBB-4BE0-8D70-B0D399D2BE1D}"/>
    <cellStyle name="40% - Accent4 2 3 4 2 4" xfId="13074" xr:uid="{F52A51A8-EA4F-4249-B86A-95D958D28D13}"/>
    <cellStyle name="40% - Accent4 2 3 4 3" xfId="5820" xr:uid="{00000000-0005-0000-0000-0000D7050000}"/>
    <cellStyle name="40% - Accent4 2 3 4 3 2" xfId="24445" xr:uid="{6E95087A-D114-4B66-A807-D19BBEC90F0D}"/>
    <cellStyle name="40% - Accent4 2 3 4 3 3" xfId="15146" xr:uid="{1F9EDDDD-2E37-4A91-A3C2-790FA78432B1}"/>
    <cellStyle name="40% - Accent4 2 3 4 4" xfId="20228" xr:uid="{D3468818-72E3-40BC-ABF4-62A464FE4119}"/>
    <cellStyle name="40% - Accent4 2 3 4 5" xfId="10929" xr:uid="{126173B5-67A0-4CFD-88CF-3C0267E3DEE3}"/>
    <cellStyle name="40% - Accent4 2 3 5" xfId="1927" xr:uid="{00000000-0005-0000-0000-0000D8050000}"/>
    <cellStyle name="40% - Accent4 2 3 5 2" xfId="4156" xr:uid="{00000000-0005-0000-0000-0000D9050000}"/>
    <cellStyle name="40% - Accent4 2 3 5 2 2" xfId="8378" xr:uid="{00000000-0005-0000-0000-0000DA050000}"/>
    <cellStyle name="40% - Accent4 2 3 5 2 2 2" xfId="27003" xr:uid="{3FBF84E3-B27E-4143-B84D-B51011A1A127}"/>
    <cellStyle name="40% - Accent4 2 3 5 2 2 3" xfId="17704" xr:uid="{86EB7202-C57B-49A0-A547-D17D392C711C}"/>
    <cellStyle name="40% - Accent4 2 3 5 2 3" xfId="22786" xr:uid="{C42681D0-B68A-4F38-9CF6-E9DC19A97F0E}"/>
    <cellStyle name="40% - Accent4 2 3 5 2 4" xfId="13487" xr:uid="{53C75FB5-771E-45B6-A1A3-E9078966AF4A}"/>
    <cellStyle name="40% - Accent4 2 3 5 3" xfId="6233" xr:uid="{00000000-0005-0000-0000-0000DB050000}"/>
    <cellStyle name="40% - Accent4 2 3 5 3 2" xfId="24858" xr:uid="{E3808172-6C93-4D4B-94DF-7E276FEE7769}"/>
    <cellStyle name="40% - Accent4 2 3 5 3 3" xfId="15559" xr:uid="{73B517DF-10C2-493E-9354-FE77736D5C98}"/>
    <cellStyle name="40% - Accent4 2 3 5 4" xfId="20641" xr:uid="{15A5C25A-1ECC-42DB-B684-95463F3E0DD2}"/>
    <cellStyle name="40% - Accent4 2 3 5 5" xfId="11342" xr:uid="{2084DCE8-21DE-4350-9932-F6341E89D374}"/>
    <cellStyle name="40% - Accent4 2 3 6" xfId="2340" xr:uid="{00000000-0005-0000-0000-0000DC050000}"/>
    <cellStyle name="40% - Accent4 2 3 6 2" xfId="6646" xr:uid="{00000000-0005-0000-0000-0000DD050000}"/>
    <cellStyle name="40% - Accent4 2 3 6 2 2" xfId="25271" xr:uid="{39F17C28-C581-4E66-9F72-EEC50D7E3AE5}"/>
    <cellStyle name="40% - Accent4 2 3 6 2 3" xfId="15972" xr:uid="{5E002D57-500D-48A0-B994-D759E36EFF03}"/>
    <cellStyle name="40% - Accent4 2 3 6 3" xfId="21054" xr:uid="{E29FA0DA-82B1-49E0-899C-F7085E3439E2}"/>
    <cellStyle name="40% - Accent4 2 3 6 4" xfId="11755" xr:uid="{FC41A943-0A1B-4E3B-8257-AE2AF2155A6F}"/>
    <cellStyle name="40% - Accent4 2 3 7" xfId="4580" xr:uid="{00000000-0005-0000-0000-0000DE050000}"/>
    <cellStyle name="40% - Accent4 2 3 7 2" xfId="23205" xr:uid="{B39F6997-826D-40A3-BB04-F03C5EC72BA4}"/>
    <cellStyle name="40% - Accent4 2 3 7 3" xfId="13906" xr:uid="{BAF8D754-EC1F-4162-AED8-ED88E595B802}"/>
    <cellStyle name="40% - Accent4 2 3 8" xfId="9008" xr:uid="{270F4CAB-C86F-4D9D-804F-69497913908B}"/>
    <cellStyle name="40% - Accent4 2 3 8 2" xfId="27631" xr:uid="{4A08B84D-8640-47BA-BDD2-0613DE998137}"/>
    <cellStyle name="40% - Accent4 2 3 8 3" xfId="18332" xr:uid="{F6E2D947-8BA3-4F47-9C4A-C0D9109DF35D}"/>
    <cellStyle name="40% - Accent4 2 3 9" xfId="18988" xr:uid="{D7F7E577-E1A2-4AC5-BEAE-2C18D4E19989}"/>
    <cellStyle name="40% - Accent4 2 4" xfId="643" xr:uid="{00000000-0005-0000-0000-0000DF050000}"/>
    <cellStyle name="40% - Accent4 2 4 2" xfId="2914" xr:uid="{00000000-0005-0000-0000-0000E0050000}"/>
    <cellStyle name="40% - Accent4 2 4 2 2" xfId="7136" xr:uid="{00000000-0005-0000-0000-0000E1050000}"/>
    <cellStyle name="40% - Accent4 2 4 2 2 2" xfId="25761" xr:uid="{7197D0F7-8CA4-4153-81CF-6752958FCC8D}"/>
    <cellStyle name="40% - Accent4 2 4 2 2 3" xfId="16462" xr:uid="{34309A27-1BFA-4081-8A09-F3AEC2AA85D0}"/>
    <cellStyle name="40% - Accent4 2 4 2 3" xfId="21544" xr:uid="{2492FB6D-CF31-4374-BFE9-0CD317A92D92}"/>
    <cellStyle name="40% - Accent4 2 4 2 4" xfId="12245" xr:uid="{BA721CAD-1018-4EC7-8FA9-7A6054BF4373}"/>
    <cellStyle name="40% - Accent4 2 4 3" xfId="4991" xr:uid="{00000000-0005-0000-0000-0000E2050000}"/>
    <cellStyle name="40% - Accent4 2 4 3 2" xfId="23616" xr:uid="{20E256BE-7A6A-4556-A786-5D4EF3A1501B}"/>
    <cellStyle name="40% - Accent4 2 4 3 3" xfId="14317" xr:uid="{324ADCC0-75D0-4F8C-B32A-1C94C65BE349}"/>
    <cellStyle name="40% - Accent4 2 4 4" xfId="9225" xr:uid="{40EEB981-54C4-40E4-A2F9-BCD479248D23}"/>
    <cellStyle name="40% - Accent4 2 4 4 2" xfId="27840" xr:uid="{021D6AAD-1C20-41D9-A0E5-29DE2423BA80}"/>
    <cellStyle name="40% - Accent4 2 4 4 3" xfId="18541" xr:uid="{45A1562E-5C03-4F15-B47D-46A68C33ECF7}"/>
    <cellStyle name="40% - Accent4 2 4 5" xfId="19399" xr:uid="{FDDB0B11-D760-4940-AB1F-74963116B71C}"/>
    <cellStyle name="40% - Accent4 2 4 6" xfId="10100" xr:uid="{45DEFFCF-F200-4476-B319-0F7FFC340290}"/>
    <cellStyle name="40% - Accent4 2 5" xfId="1096" xr:uid="{00000000-0005-0000-0000-0000E3050000}"/>
    <cellStyle name="40% - Accent4 2 5 2" xfId="3327" xr:uid="{00000000-0005-0000-0000-0000E4050000}"/>
    <cellStyle name="40% - Accent4 2 5 2 2" xfId="7549" xr:uid="{00000000-0005-0000-0000-0000E5050000}"/>
    <cellStyle name="40% - Accent4 2 5 2 2 2" xfId="26174" xr:uid="{89B6139D-B161-4DA8-A842-019087D6F20F}"/>
    <cellStyle name="40% - Accent4 2 5 2 2 3" xfId="16875" xr:uid="{7323A58C-AC8D-4C9A-B900-48C3A59A5589}"/>
    <cellStyle name="40% - Accent4 2 5 2 3" xfId="21957" xr:uid="{D08ADF59-90D4-4310-98EF-11D5A19655F6}"/>
    <cellStyle name="40% - Accent4 2 5 2 4" xfId="12658" xr:uid="{A85874D7-0DF9-4BE1-BE02-C4ED4882EF3D}"/>
    <cellStyle name="40% - Accent4 2 5 3" xfId="5404" xr:uid="{00000000-0005-0000-0000-0000E6050000}"/>
    <cellStyle name="40% - Accent4 2 5 3 2" xfId="24029" xr:uid="{FF3CEA91-9CFB-42F4-BBE5-979F02F5ED26}"/>
    <cellStyle name="40% - Accent4 2 5 3 3" xfId="14730" xr:uid="{2113B356-0CF1-4680-AA70-A66074F3750E}"/>
    <cellStyle name="40% - Accent4 2 5 4" xfId="19812" xr:uid="{8A6B0DDB-E761-42EF-9227-63956E10DBFC}"/>
    <cellStyle name="40% - Accent4 2 5 5" xfId="10513" xr:uid="{370E2617-86DF-4D8D-886B-789C17594D77}"/>
    <cellStyle name="40% - Accent4 2 6" xfId="1510" xr:uid="{00000000-0005-0000-0000-0000E7050000}"/>
    <cellStyle name="40% - Accent4 2 6 2" xfId="3740" xr:uid="{00000000-0005-0000-0000-0000E8050000}"/>
    <cellStyle name="40% - Accent4 2 6 2 2" xfId="7962" xr:uid="{00000000-0005-0000-0000-0000E9050000}"/>
    <cellStyle name="40% - Accent4 2 6 2 2 2" xfId="26587" xr:uid="{58FC4BE7-3985-41F7-BE33-AEF137C9C11F}"/>
    <cellStyle name="40% - Accent4 2 6 2 2 3" xfId="17288" xr:uid="{47546FF4-5E19-4847-8DF7-B299C419E1E3}"/>
    <cellStyle name="40% - Accent4 2 6 2 3" xfId="22370" xr:uid="{37DCD980-B728-45D0-B6A1-E502E6789DF1}"/>
    <cellStyle name="40% - Accent4 2 6 2 4" xfId="13071" xr:uid="{850BD16F-44D7-4710-B330-589196991302}"/>
    <cellStyle name="40% - Accent4 2 6 3" xfId="5817" xr:uid="{00000000-0005-0000-0000-0000EA050000}"/>
    <cellStyle name="40% - Accent4 2 6 3 2" xfId="24442" xr:uid="{D5F16123-9D1E-4638-8466-C94D25C42AA4}"/>
    <cellStyle name="40% - Accent4 2 6 3 3" xfId="15143" xr:uid="{0B3978E3-5B72-4855-AC87-20EDA3AC3576}"/>
    <cellStyle name="40% - Accent4 2 6 4" xfId="20225" xr:uid="{780225FF-86C9-4DDB-B02D-B964F70ABC31}"/>
    <cellStyle name="40% - Accent4 2 6 5" xfId="10926" xr:uid="{5F9F5E5F-850C-4F2E-9E14-E0A88C96279E}"/>
    <cellStyle name="40% - Accent4 2 7" xfId="1924" xr:uid="{00000000-0005-0000-0000-0000EB050000}"/>
    <cellStyle name="40% - Accent4 2 7 2" xfId="4153" xr:uid="{00000000-0005-0000-0000-0000EC050000}"/>
    <cellStyle name="40% - Accent4 2 7 2 2" xfId="8375" xr:uid="{00000000-0005-0000-0000-0000ED050000}"/>
    <cellStyle name="40% - Accent4 2 7 2 2 2" xfId="27000" xr:uid="{806AA83B-F2E0-4061-93D6-6A749C8CF31A}"/>
    <cellStyle name="40% - Accent4 2 7 2 2 3" xfId="17701" xr:uid="{B2DAA3ED-2D31-42EB-A954-F5E7BBB82D9B}"/>
    <cellStyle name="40% - Accent4 2 7 2 3" xfId="22783" xr:uid="{331FDB39-C1D9-4F35-B2A7-B676F4FEF717}"/>
    <cellStyle name="40% - Accent4 2 7 2 4" xfId="13484" xr:uid="{9A98EF4F-45B9-4309-A87D-181EEEE37710}"/>
    <cellStyle name="40% - Accent4 2 7 3" xfId="6230" xr:uid="{00000000-0005-0000-0000-0000EE050000}"/>
    <cellStyle name="40% - Accent4 2 7 3 2" xfId="24855" xr:uid="{8F31837C-11AE-4F33-BD64-E24B14B7D8A3}"/>
    <cellStyle name="40% - Accent4 2 7 3 3" xfId="15556" xr:uid="{5E9D3D1F-297E-4227-8100-28EC11A9DCB8}"/>
    <cellStyle name="40% - Accent4 2 7 4" xfId="20638" xr:uid="{021632BD-A1E0-4EA9-8563-5393ABEFAA16}"/>
    <cellStyle name="40% - Accent4 2 7 5" xfId="11339" xr:uid="{9A39A0AE-3A39-4C72-B7CD-BE8CB9BF0EFF}"/>
    <cellStyle name="40% - Accent4 2 8" xfId="2337" xr:uid="{00000000-0005-0000-0000-0000EF050000}"/>
    <cellStyle name="40% - Accent4 2 8 2" xfId="6643" xr:uid="{00000000-0005-0000-0000-0000F0050000}"/>
    <cellStyle name="40% - Accent4 2 8 2 2" xfId="25268" xr:uid="{B20F113A-B7B6-4677-96A0-D8F4B21710FC}"/>
    <cellStyle name="40% - Accent4 2 8 2 3" xfId="15969" xr:uid="{6A961DDC-5F78-4660-B974-57833850CFF0}"/>
    <cellStyle name="40% - Accent4 2 8 3" xfId="21051" xr:uid="{0B3E1B13-2A0E-4853-8916-E0B8C9586D0D}"/>
    <cellStyle name="40% - Accent4 2 8 4" xfId="11752" xr:uid="{8E0CB68D-5032-45F0-B48B-307ABAC06989}"/>
    <cellStyle name="40% - Accent4 2 9" xfId="4577" xr:uid="{00000000-0005-0000-0000-0000F1050000}"/>
    <cellStyle name="40% - Accent4 2 9 2" xfId="23202" xr:uid="{49CB8099-B4F8-44CD-A87B-8FA44C1A2A26}"/>
    <cellStyle name="40% - Accent4 2 9 3" xfId="13903" xr:uid="{0E20A37A-2E8A-4740-8A08-6038E3D34429}"/>
    <cellStyle name="40% - Accent4 3" xfId="78" xr:uid="{00000000-0005-0000-0000-0000F2050000}"/>
    <cellStyle name="40% - Accent4 3 10" xfId="18989" xr:uid="{94D9A95B-1EBD-4B03-99C0-4890EA710426}"/>
    <cellStyle name="40% - Accent4 3 11" xfId="9690" xr:uid="{0A8056DE-E908-4E48-9E24-76BDBA3F36A1}"/>
    <cellStyle name="40% - Accent4 3 2" xfId="79" xr:uid="{00000000-0005-0000-0000-0000F3050000}"/>
    <cellStyle name="40% - Accent4 3 2 10" xfId="9691" xr:uid="{D793B439-21E9-4910-9BEB-1AF75E478EB1}"/>
    <cellStyle name="40% - Accent4 3 2 2" xfId="648" xr:uid="{00000000-0005-0000-0000-0000F4050000}"/>
    <cellStyle name="40% - Accent4 3 2 2 2" xfId="2919" xr:uid="{00000000-0005-0000-0000-0000F5050000}"/>
    <cellStyle name="40% - Accent4 3 2 2 2 2" xfId="7141" xr:uid="{00000000-0005-0000-0000-0000F6050000}"/>
    <cellStyle name="40% - Accent4 3 2 2 2 2 2" xfId="25766" xr:uid="{DA91A53E-A586-4438-9B3A-B8718A3A69FE}"/>
    <cellStyle name="40% - Accent4 3 2 2 2 2 3" xfId="16467" xr:uid="{466B273D-CF6A-41EF-BAC6-CD3808B9A7E6}"/>
    <cellStyle name="40% - Accent4 3 2 2 2 3" xfId="21549" xr:uid="{595A190F-6BF5-4D88-8C79-53B67C639129}"/>
    <cellStyle name="40% - Accent4 3 2 2 2 4" xfId="12250" xr:uid="{7669A117-EF75-4338-A7B6-704015792A4D}"/>
    <cellStyle name="40% - Accent4 3 2 2 3" xfId="4996" xr:uid="{00000000-0005-0000-0000-0000F7050000}"/>
    <cellStyle name="40% - Accent4 3 2 2 3 2" xfId="23621" xr:uid="{0AB6B174-D65A-48DF-B76F-8A226E4C4792}"/>
    <cellStyle name="40% - Accent4 3 2 2 3 3" xfId="14322" xr:uid="{BCBA0D0B-1569-4F5C-B4D9-9E25A16CBFEC}"/>
    <cellStyle name="40% - Accent4 3 2 2 4" xfId="9500" xr:uid="{EAAAC99F-A3A1-40FB-B78D-6862EF121B7A}"/>
    <cellStyle name="40% - Accent4 3 2 2 4 2" xfId="28114" xr:uid="{84628A27-C508-46D1-97C7-488CA71A6FF6}"/>
    <cellStyle name="40% - Accent4 3 2 2 4 3" xfId="18815" xr:uid="{3D2827E1-026A-442F-8937-50F363E6A950}"/>
    <cellStyle name="40% - Accent4 3 2 2 5" xfId="19404" xr:uid="{4ED1D4F6-FB22-475B-9518-4602E6CAF2F5}"/>
    <cellStyle name="40% - Accent4 3 2 2 6" xfId="10105" xr:uid="{1B58193E-ED2B-470A-A8F7-59288AB22721}"/>
    <cellStyle name="40% - Accent4 3 2 3" xfId="1101" xr:uid="{00000000-0005-0000-0000-0000F8050000}"/>
    <cellStyle name="40% - Accent4 3 2 3 2" xfId="3332" xr:uid="{00000000-0005-0000-0000-0000F9050000}"/>
    <cellStyle name="40% - Accent4 3 2 3 2 2" xfId="7554" xr:uid="{00000000-0005-0000-0000-0000FA050000}"/>
    <cellStyle name="40% - Accent4 3 2 3 2 2 2" xfId="26179" xr:uid="{14757017-5CAB-4E5C-9154-EBB919A8400E}"/>
    <cellStyle name="40% - Accent4 3 2 3 2 2 3" xfId="16880" xr:uid="{1BB92C86-9213-4F42-B0BF-FC1D5F605690}"/>
    <cellStyle name="40% - Accent4 3 2 3 2 3" xfId="21962" xr:uid="{985B3981-5862-4ADC-ACB8-7C1C7AD0EC71}"/>
    <cellStyle name="40% - Accent4 3 2 3 2 4" xfId="12663" xr:uid="{A7B02C22-64A0-4BE8-B897-2B3E488B5D3F}"/>
    <cellStyle name="40% - Accent4 3 2 3 3" xfId="5409" xr:uid="{00000000-0005-0000-0000-0000FB050000}"/>
    <cellStyle name="40% - Accent4 3 2 3 3 2" xfId="24034" xr:uid="{E1BD3BCC-0662-45F5-AA95-BBD30AA57295}"/>
    <cellStyle name="40% - Accent4 3 2 3 3 3" xfId="14735" xr:uid="{AA7C5F38-69DA-4713-A2B6-89063CFE5140}"/>
    <cellStyle name="40% - Accent4 3 2 3 4" xfId="19817" xr:uid="{59843BA5-A03B-4E51-BD73-B8FCD384EAE6}"/>
    <cellStyle name="40% - Accent4 3 2 3 5" xfId="10518" xr:uid="{F73F4A71-14F7-422E-9C11-7DC5AAC5EC8C}"/>
    <cellStyle name="40% - Accent4 3 2 4" xfId="1515" xr:uid="{00000000-0005-0000-0000-0000FC050000}"/>
    <cellStyle name="40% - Accent4 3 2 4 2" xfId="3745" xr:uid="{00000000-0005-0000-0000-0000FD050000}"/>
    <cellStyle name="40% - Accent4 3 2 4 2 2" xfId="7967" xr:uid="{00000000-0005-0000-0000-0000FE050000}"/>
    <cellStyle name="40% - Accent4 3 2 4 2 2 2" xfId="26592" xr:uid="{A22CF898-8169-4241-BDF9-1B5F5B44FCB5}"/>
    <cellStyle name="40% - Accent4 3 2 4 2 2 3" xfId="17293" xr:uid="{B05DE3BA-A6E1-491D-A45C-788948A93FD4}"/>
    <cellStyle name="40% - Accent4 3 2 4 2 3" xfId="22375" xr:uid="{596E88DF-34D0-40AA-9CBE-8CB5EAAA5632}"/>
    <cellStyle name="40% - Accent4 3 2 4 2 4" xfId="13076" xr:uid="{EB849218-1B9B-4F61-A472-78DD97D89D71}"/>
    <cellStyle name="40% - Accent4 3 2 4 3" xfId="5822" xr:uid="{00000000-0005-0000-0000-0000FF050000}"/>
    <cellStyle name="40% - Accent4 3 2 4 3 2" xfId="24447" xr:uid="{354D5FA8-FE32-4C5E-9C6E-C82974BD5E67}"/>
    <cellStyle name="40% - Accent4 3 2 4 3 3" xfId="15148" xr:uid="{6CC22D25-7532-46E2-A71D-C65FC4899EAC}"/>
    <cellStyle name="40% - Accent4 3 2 4 4" xfId="20230" xr:uid="{D9FB1BAB-9380-4C8C-926F-D1A34DFA5532}"/>
    <cellStyle name="40% - Accent4 3 2 4 5" xfId="10931" xr:uid="{5FADA6DF-0DA1-443C-AAFB-2360401D1F09}"/>
    <cellStyle name="40% - Accent4 3 2 5" xfId="1929" xr:uid="{00000000-0005-0000-0000-000000060000}"/>
    <cellStyle name="40% - Accent4 3 2 5 2" xfId="4158" xr:uid="{00000000-0005-0000-0000-000001060000}"/>
    <cellStyle name="40% - Accent4 3 2 5 2 2" xfId="8380" xr:uid="{00000000-0005-0000-0000-000002060000}"/>
    <cellStyle name="40% - Accent4 3 2 5 2 2 2" xfId="27005" xr:uid="{B3F38AAB-E6FD-474C-9EC5-9647D0EE3558}"/>
    <cellStyle name="40% - Accent4 3 2 5 2 2 3" xfId="17706" xr:uid="{8672404B-3568-4B70-9DE0-60748F17CC3C}"/>
    <cellStyle name="40% - Accent4 3 2 5 2 3" xfId="22788" xr:uid="{AA13774E-F42B-440D-B6F6-6A28947E1BF9}"/>
    <cellStyle name="40% - Accent4 3 2 5 2 4" xfId="13489" xr:uid="{205D9E82-37BC-428A-9C71-E593EDB8BF89}"/>
    <cellStyle name="40% - Accent4 3 2 5 3" xfId="6235" xr:uid="{00000000-0005-0000-0000-000003060000}"/>
    <cellStyle name="40% - Accent4 3 2 5 3 2" xfId="24860" xr:uid="{2E296B33-CE01-4CA1-9B8C-1CDA31A8C0F8}"/>
    <cellStyle name="40% - Accent4 3 2 5 3 3" xfId="15561" xr:uid="{FB66BDB6-0A6A-4856-A6AD-D68E2551F7CD}"/>
    <cellStyle name="40% - Accent4 3 2 5 4" xfId="20643" xr:uid="{F0E14167-73FE-4A06-9031-3045D6373611}"/>
    <cellStyle name="40% - Accent4 3 2 5 5" xfId="11344" xr:uid="{BC202F0E-8663-4885-815F-FE817DF17FB8}"/>
    <cellStyle name="40% - Accent4 3 2 6" xfId="2342" xr:uid="{00000000-0005-0000-0000-000004060000}"/>
    <cellStyle name="40% - Accent4 3 2 6 2" xfId="6648" xr:uid="{00000000-0005-0000-0000-000005060000}"/>
    <cellStyle name="40% - Accent4 3 2 6 2 2" xfId="25273" xr:uid="{02569D0B-F438-4A49-AEFF-59B08E748E43}"/>
    <cellStyle name="40% - Accent4 3 2 6 2 3" xfId="15974" xr:uid="{27A55FC5-024C-4C45-B092-6DC86A98577C}"/>
    <cellStyle name="40% - Accent4 3 2 6 3" xfId="21056" xr:uid="{6147689C-F52C-4D15-AE51-D0423A69663B}"/>
    <cellStyle name="40% - Accent4 3 2 6 4" xfId="11757" xr:uid="{9B1BFFEC-C021-42FB-B30B-7EAB71D14A76}"/>
    <cellStyle name="40% - Accent4 3 2 7" xfId="4582" xr:uid="{00000000-0005-0000-0000-000006060000}"/>
    <cellStyle name="40% - Accent4 3 2 7 2" xfId="23207" xr:uid="{020B0EEA-7CE5-4339-9EE2-84C578087F62}"/>
    <cellStyle name="40% - Accent4 3 2 7 3" xfId="13908" xr:uid="{6F8D69EA-E810-4FC6-AEA8-759F0C069E39}"/>
    <cellStyle name="40% - Accent4 3 2 8" xfId="9075" xr:uid="{6C51FF47-5618-4E1E-BC97-01FFF287A6C3}"/>
    <cellStyle name="40% - Accent4 3 2 8 2" xfId="27698" xr:uid="{9A3A97CF-7777-4258-AF92-43033811AB03}"/>
    <cellStyle name="40% - Accent4 3 2 8 3" xfId="18399" xr:uid="{A05D946F-14F9-45C0-AEC8-21D0D66E9592}"/>
    <cellStyle name="40% - Accent4 3 2 9" xfId="18990" xr:uid="{2B674341-853E-4B61-A9DC-9795DFC984A4}"/>
    <cellStyle name="40% - Accent4 3 3" xfId="647" xr:uid="{00000000-0005-0000-0000-000007060000}"/>
    <cellStyle name="40% - Accent4 3 3 2" xfId="2918" xr:uid="{00000000-0005-0000-0000-000008060000}"/>
    <cellStyle name="40% - Accent4 3 3 2 2" xfId="7140" xr:uid="{00000000-0005-0000-0000-000009060000}"/>
    <cellStyle name="40% - Accent4 3 3 2 2 2" xfId="25765" xr:uid="{784B0C91-06EA-415C-B3E7-B574634F2210}"/>
    <cellStyle name="40% - Accent4 3 3 2 2 3" xfId="16466" xr:uid="{0B6494F8-F938-4EE4-AD3F-72E028EA4415}"/>
    <cellStyle name="40% - Accent4 3 3 2 3" xfId="21548" xr:uid="{EDD904C5-3BBE-4D94-9EA5-9775BCA983D7}"/>
    <cellStyle name="40% - Accent4 3 3 2 4" xfId="12249" xr:uid="{B0E8BC8D-CD56-4772-A52E-49D316CACC3A}"/>
    <cellStyle name="40% - Accent4 3 3 3" xfId="4995" xr:uid="{00000000-0005-0000-0000-00000A060000}"/>
    <cellStyle name="40% - Accent4 3 3 3 2" xfId="23620" xr:uid="{9F6D57E5-FBC1-4FFE-B90D-05259A77CA46}"/>
    <cellStyle name="40% - Accent4 3 3 3 3" xfId="14321" xr:uid="{A2BD6FA6-86BB-466A-B78A-A49164F471C8}"/>
    <cellStyle name="40% - Accent4 3 3 4" xfId="9293" xr:uid="{4A28D7F5-3617-45DC-A350-6C6596CDA765}"/>
    <cellStyle name="40% - Accent4 3 3 4 2" xfId="27907" xr:uid="{83258CEB-F465-47BC-8D2C-0B11D92E3F00}"/>
    <cellStyle name="40% - Accent4 3 3 4 3" xfId="18608" xr:uid="{EF16BE2D-B898-4677-A3C5-52532656AEEA}"/>
    <cellStyle name="40% - Accent4 3 3 5" xfId="19403" xr:uid="{92A52335-A50A-45B9-9482-00409A99F2BF}"/>
    <cellStyle name="40% - Accent4 3 3 6" xfId="10104" xr:uid="{478903F7-18F6-425F-917C-6F27E9587A1F}"/>
    <cellStyle name="40% - Accent4 3 4" xfId="1100" xr:uid="{00000000-0005-0000-0000-00000B060000}"/>
    <cellStyle name="40% - Accent4 3 4 2" xfId="3331" xr:uid="{00000000-0005-0000-0000-00000C060000}"/>
    <cellStyle name="40% - Accent4 3 4 2 2" xfId="7553" xr:uid="{00000000-0005-0000-0000-00000D060000}"/>
    <cellStyle name="40% - Accent4 3 4 2 2 2" xfId="26178" xr:uid="{0106E448-4DEB-48CD-BC8E-F4D55BECF955}"/>
    <cellStyle name="40% - Accent4 3 4 2 2 3" xfId="16879" xr:uid="{008E5F4E-0DD3-4640-81DB-919653CEAE5C}"/>
    <cellStyle name="40% - Accent4 3 4 2 3" xfId="21961" xr:uid="{89D1FC3D-6A38-49ED-862E-26276001DB88}"/>
    <cellStyle name="40% - Accent4 3 4 2 4" xfId="12662" xr:uid="{C6C33E8C-4A1A-45A6-B8C4-F5211ECC63EC}"/>
    <cellStyle name="40% - Accent4 3 4 3" xfId="5408" xr:uid="{00000000-0005-0000-0000-00000E060000}"/>
    <cellStyle name="40% - Accent4 3 4 3 2" xfId="24033" xr:uid="{E29001C4-035F-4BAA-93A8-627825D12A7C}"/>
    <cellStyle name="40% - Accent4 3 4 3 3" xfId="14734" xr:uid="{D2F9073F-0F31-47CD-B2A7-57F362FD4CA3}"/>
    <cellStyle name="40% - Accent4 3 4 4" xfId="19816" xr:uid="{966B8FBD-F80F-40A0-98E2-3E424266B0C7}"/>
    <cellStyle name="40% - Accent4 3 4 5" xfId="10517" xr:uid="{ACB3DE0D-B3AA-4FE3-866E-3A8C94154836}"/>
    <cellStyle name="40% - Accent4 3 5" xfId="1514" xr:uid="{00000000-0005-0000-0000-00000F060000}"/>
    <cellStyle name="40% - Accent4 3 5 2" xfId="3744" xr:uid="{00000000-0005-0000-0000-000010060000}"/>
    <cellStyle name="40% - Accent4 3 5 2 2" xfId="7966" xr:uid="{00000000-0005-0000-0000-000011060000}"/>
    <cellStyle name="40% - Accent4 3 5 2 2 2" xfId="26591" xr:uid="{42E15CE8-B02C-4877-8B8F-83F98BA5B2CB}"/>
    <cellStyle name="40% - Accent4 3 5 2 2 3" xfId="17292" xr:uid="{C570B076-7AC7-4FF0-B3D7-1020CFF45CBE}"/>
    <cellStyle name="40% - Accent4 3 5 2 3" xfId="22374" xr:uid="{06007511-896B-432C-98C5-C7775A8BB01B}"/>
    <cellStyle name="40% - Accent4 3 5 2 4" xfId="13075" xr:uid="{FFA6436D-1D0B-420B-8262-EBE3848744B3}"/>
    <cellStyle name="40% - Accent4 3 5 3" xfId="5821" xr:uid="{00000000-0005-0000-0000-000012060000}"/>
    <cellStyle name="40% - Accent4 3 5 3 2" xfId="24446" xr:uid="{C46F800A-A4BF-4CC9-AB03-5101EB073613}"/>
    <cellStyle name="40% - Accent4 3 5 3 3" xfId="15147" xr:uid="{2D05D6B4-8B5F-4298-BE41-09D9839A27AE}"/>
    <cellStyle name="40% - Accent4 3 5 4" xfId="20229" xr:uid="{65C01659-7323-496D-AA83-731F4FAEB4EB}"/>
    <cellStyle name="40% - Accent4 3 5 5" xfId="10930" xr:uid="{704FDC55-9BD2-4205-B9BA-8BEF16CEE82E}"/>
    <cellStyle name="40% - Accent4 3 6" xfId="1928" xr:uid="{00000000-0005-0000-0000-000013060000}"/>
    <cellStyle name="40% - Accent4 3 6 2" xfId="4157" xr:uid="{00000000-0005-0000-0000-000014060000}"/>
    <cellStyle name="40% - Accent4 3 6 2 2" xfId="8379" xr:uid="{00000000-0005-0000-0000-000015060000}"/>
    <cellStyle name="40% - Accent4 3 6 2 2 2" xfId="27004" xr:uid="{61E2386C-0B6D-43E0-81BB-EE296744F241}"/>
    <cellStyle name="40% - Accent4 3 6 2 2 3" xfId="17705" xr:uid="{0CAECFF4-8CC8-4310-810D-D41C543DF531}"/>
    <cellStyle name="40% - Accent4 3 6 2 3" xfId="22787" xr:uid="{09B487A7-95D4-4710-9CEA-C423DDED513C}"/>
    <cellStyle name="40% - Accent4 3 6 2 4" xfId="13488" xr:uid="{9AFE71EE-FF94-4767-A70E-FC6E63FD09FC}"/>
    <cellStyle name="40% - Accent4 3 6 3" xfId="6234" xr:uid="{00000000-0005-0000-0000-000016060000}"/>
    <cellStyle name="40% - Accent4 3 6 3 2" xfId="24859" xr:uid="{A933C2AB-3173-4463-8329-F2F6D7201A17}"/>
    <cellStyle name="40% - Accent4 3 6 3 3" xfId="15560" xr:uid="{FBC63081-EE6C-40EA-8DEE-86A28D476CF3}"/>
    <cellStyle name="40% - Accent4 3 6 4" xfId="20642" xr:uid="{199CDB6C-9D14-444D-893F-5C75CCC9F93E}"/>
    <cellStyle name="40% - Accent4 3 6 5" xfId="11343" xr:uid="{39DCFEBC-19AD-432F-8E18-BA183F08D240}"/>
    <cellStyle name="40% - Accent4 3 7" xfId="2341" xr:uid="{00000000-0005-0000-0000-000017060000}"/>
    <cellStyle name="40% - Accent4 3 7 2" xfId="6647" xr:uid="{00000000-0005-0000-0000-000018060000}"/>
    <cellStyle name="40% - Accent4 3 7 2 2" xfId="25272" xr:uid="{63D5FAC1-3668-4B96-8FA0-5692BCCD0E4E}"/>
    <cellStyle name="40% - Accent4 3 7 2 3" xfId="15973" xr:uid="{A29ACFD1-4F5B-45A2-BB9E-15A28D4338D4}"/>
    <cellStyle name="40% - Accent4 3 7 3" xfId="21055" xr:uid="{E91FB922-5ADB-444A-BCA3-45AC01FDD9A7}"/>
    <cellStyle name="40% - Accent4 3 7 4" xfId="11756" xr:uid="{5CB9067F-3FB5-4304-800E-6357E63D2A6F}"/>
    <cellStyle name="40% - Accent4 3 8" xfId="4581" xr:uid="{00000000-0005-0000-0000-000019060000}"/>
    <cellStyle name="40% - Accent4 3 8 2" xfId="23206" xr:uid="{7957AF3B-3AEA-4D15-9EA4-6781141C740C}"/>
    <cellStyle name="40% - Accent4 3 8 3" xfId="13907" xr:uid="{7EC92C4F-18EB-4826-BA87-70DF18590BDB}"/>
    <cellStyle name="40% - Accent4 3 9" xfId="8868" xr:uid="{538D9F50-ACCA-4DB0-A3F1-A129ACFFA0BF}"/>
    <cellStyle name="40% - Accent4 3 9 2" xfId="27491" xr:uid="{2A28ED78-2D5D-4BB4-9A36-356EFFF98A3E}"/>
    <cellStyle name="40% - Accent4 3 9 3" xfId="18192" xr:uid="{6459C5E4-2850-4D60-8E4E-1CDEC9EC0B94}"/>
    <cellStyle name="40% - Accent4 4" xfId="80" xr:uid="{00000000-0005-0000-0000-00001A060000}"/>
    <cellStyle name="40% - Accent4 4 10" xfId="9692" xr:uid="{580220D6-FE4D-4D51-A712-E7CF4FCA8AE3}"/>
    <cellStyle name="40% - Accent4 4 2" xfId="649" xr:uid="{00000000-0005-0000-0000-00001B060000}"/>
    <cellStyle name="40% - Accent4 4 2 2" xfId="2920" xr:uid="{00000000-0005-0000-0000-00001C060000}"/>
    <cellStyle name="40% - Accent4 4 2 2 2" xfId="7142" xr:uid="{00000000-0005-0000-0000-00001D060000}"/>
    <cellStyle name="40% - Accent4 4 2 2 2 2" xfId="25767" xr:uid="{396A1E5C-82AF-4953-BFC3-ADDBB0E04312}"/>
    <cellStyle name="40% - Accent4 4 2 2 2 3" xfId="16468" xr:uid="{5118AB91-556D-42AF-BC46-A5D2101B638F}"/>
    <cellStyle name="40% - Accent4 4 2 2 3" xfId="21550" xr:uid="{57F7225B-B5CA-4C00-8AFD-E3D90137BD49}"/>
    <cellStyle name="40% - Accent4 4 2 2 4" xfId="12251" xr:uid="{7CD57B97-67D1-4C7B-A293-6764A8EBF41D}"/>
    <cellStyle name="40% - Accent4 4 2 3" xfId="4997" xr:uid="{00000000-0005-0000-0000-00001E060000}"/>
    <cellStyle name="40% - Accent4 4 2 3 2" xfId="23622" xr:uid="{3D9486C9-1572-491C-897A-08D182064D26}"/>
    <cellStyle name="40% - Accent4 4 2 3 3" xfId="14323" xr:uid="{256A47C4-24C8-476D-A4A6-9A98723F4621}"/>
    <cellStyle name="40% - Accent4 4 2 4" xfId="9379" xr:uid="{EE31EAE0-1741-4D6E-B7B4-C5DB59044F55}"/>
    <cellStyle name="40% - Accent4 4 2 4 2" xfId="27993" xr:uid="{FCC02EEE-6E22-40EC-AFC8-F50FD02528F7}"/>
    <cellStyle name="40% - Accent4 4 2 4 3" xfId="18694" xr:uid="{3533DE3B-1854-4092-BB77-A04AA073C95D}"/>
    <cellStyle name="40% - Accent4 4 2 5" xfId="19405" xr:uid="{2913363D-D69D-493C-882C-E07761421B1C}"/>
    <cellStyle name="40% - Accent4 4 2 6" xfId="10106" xr:uid="{623DA522-E52C-4E3D-9479-956AE31E498D}"/>
    <cellStyle name="40% - Accent4 4 3" xfId="1102" xr:uid="{00000000-0005-0000-0000-00001F060000}"/>
    <cellStyle name="40% - Accent4 4 3 2" xfId="3333" xr:uid="{00000000-0005-0000-0000-000020060000}"/>
    <cellStyle name="40% - Accent4 4 3 2 2" xfId="7555" xr:uid="{00000000-0005-0000-0000-000021060000}"/>
    <cellStyle name="40% - Accent4 4 3 2 2 2" xfId="26180" xr:uid="{67A046E9-EF86-4DA5-9786-E86A0767ACDA}"/>
    <cellStyle name="40% - Accent4 4 3 2 2 3" xfId="16881" xr:uid="{F61C2779-1469-44DA-872E-E27D1CF3B705}"/>
    <cellStyle name="40% - Accent4 4 3 2 3" xfId="21963" xr:uid="{3F4C68BC-0797-4E67-9EA5-629635A5775F}"/>
    <cellStyle name="40% - Accent4 4 3 2 4" xfId="12664" xr:uid="{A1F94013-E824-46C8-A131-550813387AD2}"/>
    <cellStyle name="40% - Accent4 4 3 3" xfId="5410" xr:uid="{00000000-0005-0000-0000-000022060000}"/>
    <cellStyle name="40% - Accent4 4 3 3 2" xfId="24035" xr:uid="{2F60B1FD-6E03-4CFB-B0CA-D92CDA7841D9}"/>
    <cellStyle name="40% - Accent4 4 3 3 3" xfId="14736" xr:uid="{B90BFEE2-8378-4D33-81C7-806B13A12D17}"/>
    <cellStyle name="40% - Accent4 4 3 4" xfId="19818" xr:uid="{16749ADD-85EE-494C-92A9-E20A13D9179A}"/>
    <cellStyle name="40% - Accent4 4 3 5" xfId="10519" xr:uid="{B216992C-8005-4986-A91C-1B013F0D8A70}"/>
    <cellStyle name="40% - Accent4 4 4" xfId="1516" xr:uid="{00000000-0005-0000-0000-000023060000}"/>
    <cellStyle name="40% - Accent4 4 4 2" xfId="3746" xr:uid="{00000000-0005-0000-0000-000024060000}"/>
    <cellStyle name="40% - Accent4 4 4 2 2" xfId="7968" xr:uid="{00000000-0005-0000-0000-000025060000}"/>
    <cellStyle name="40% - Accent4 4 4 2 2 2" xfId="26593" xr:uid="{90D42323-2FD0-4C97-94A5-0FED0050FB73}"/>
    <cellStyle name="40% - Accent4 4 4 2 2 3" xfId="17294" xr:uid="{66429CED-B3B2-489C-94CA-9E3457FF472B}"/>
    <cellStyle name="40% - Accent4 4 4 2 3" xfId="22376" xr:uid="{657CB738-49C8-4010-B203-1CDB5C761B92}"/>
    <cellStyle name="40% - Accent4 4 4 2 4" xfId="13077" xr:uid="{D01D6F94-A345-4A1A-BA93-D575BBAC0A5B}"/>
    <cellStyle name="40% - Accent4 4 4 3" xfId="5823" xr:uid="{00000000-0005-0000-0000-000026060000}"/>
    <cellStyle name="40% - Accent4 4 4 3 2" xfId="24448" xr:uid="{BF654173-CAC7-4812-8E17-A2B74740F55C}"/>
    <cellStyle name="40% - Accent4 4 4 3 3" xfId="15149" xr:uid="{292441CA-4759-4CA9-A150-FC121A94798B}"/>
    <cellStyle name="40% - Accent4 4 4 4" xfId="20231" xr:uid="{D3530699-167B-44C5-9BC6-C430C6C30333}"/>
    <cellStyle name="40% - Accent4 4 4 5" xfId="10932" xr:uid="{9B09C9CD-D27A-4865-BD38-BCDE6B1462B3}"/>
    <cellStyle name="40% - Accent4 4 5" xfId="1930" xr:uid="{00000000-0005-0000-0000-000027060000}"/>
    <cellStyle name="40% - Accent4 4 5 2" xfId="4159" xr:uid="{00000000-0005-0000-0000-000028060000}"/>
    <cellStyle name="40% - Accent4 4 5 2 2" xfId="8381" xr:uid="{00000000-0005-0000-0000-000029060000}"/>
    <cellStyle name="40% - Accent4 4 5 2 2 2" xfId="27006" xr:uid="{7FB52C84-CEB8-4831-A2DA-9C75441A6C00}"/>
    <cellStyle name="40% - Accent4 4 5 2 2 3" xfId="17707" xr:uid="{49811FA5-8240-4568-AE1C-50A72EB0D321}"/>
    <cellStyle name="40% - Accent4 4 5 2 3" xfId="22789" xr:uid="{BD5DD29C-3C6A-4638-BD49-77F2C315D142}"/>
    <cellStyle name="40% - Accent4 4 5 2 4" xfId="13490" xr:uid="{B5726B2A-2F05-4B0E-A6F9-1CAAB5B4498E}"/>
    <cellStyle name="40% - Accent4 4 5 3" xfId="6236" xr:uid="{00000000-0005-0000-0000-00002A060000}"/>
    <cellStyle name="40% - Accent4 4 5 3 2" xfId="24861" xr:uid="{5EF17BC8-1752-49EA-97BA-1095510AA6A5}"/>
    <cellStyle name="40% - Accent4 4 5 3 3" xfId="15562" xr:uid="{59793C4A-BC31-4BBE-8ECC-9CBCB407FAE0}"/>
    <cellStyle name="40% - Accent4 4 5 4" xfId="20644" xr:uid="{219B1881-E282-4EA4-A36D-3F9B46D2A857}"/>
    <cellStyle name="40% - Accent4 4 5 5" xfId="11345" xr:uid="{558883AE-08CC-43AE-86CF-01B7797FD098}"/>
    <cellStyle name="40% - Accent4 4 6" xfId="2343" xr:uid="{00000000-0005-0000-0000-00002B060000}"/>
    <cellStyle name="40% - Accent4 4 6 2" xfId="6649" xr:uid="{00000000-0005-0000-0000-00002C060000}"/>
    <cellStyle name="40% - Accent4 4 6 2 2" xfId="25274" xr:uid="{15275C90-CE9F-49C0-874F-6591DAC8D019}"/>
    <cellStyle name="40% - Accent4 4 6 2 3" xfId="15975" xr:uid="{6819DBF9-68C2-47DA-A0DC-B478335B8BCD}"/>
    <cellStyle name="40% - Accent4 4 6 3" xfId="21057" xr:uid="{024A000F-AE9E-4662-AAEC-5E512E6CA9D0}"/>
    <cellStyle name="40% - Accent4 4 6 4" xfId="11758" xr:uid="{C88639AC-D7DD-4B60-B0D2-E164049D0747}"/>
    <cellStyle name="40% - Accent4 4 7" xfId="4583" xr:uid="{00000000-0005-0000-0000-00002D060000}"/>
    <cellStyle name="40% - Accent4 4 7 2" xfId="23208" xr:uid="{4283A7B1-B742-4322-9DD8-BFE7FA843241}"/>
    <cellStyle name="40% - Accent4 4 7 3" xfId="13909" xr:uid="{C970B578-D62C-4CA7-A84A-2BE1398EF06A}"/>
    <cellStyle name="40% - Accent4 4 8" xfId="8954" xr:uid="{2C178683-58B3-4513-85E7-15FAC3AC035D}"/>
    <cellStyle name="40% - Accent4 4 8 2" xfId="27577" xr:uid="{0CBC50DA-A705-4295-80AD-D0C77C8F943B}"/>
    <cellStyle name="40% - Accent4 4 8 3" xfId="18278" xr:uid="{24DE2B45-5DC9-4DDE-B51E-90C46DD48C90}"/>
    <cellStyle name="40% - Accent4 4 9" xfId="18991" xr:uid="{6FEECB19-9F7A-43D7-A899-63A1C632CD86}"/>
    <cellStyle name="40% - Accent4 5" xfId="642" xr:uid="{00000000-0005-0000-0000-00002E060000}"/>
    <cellStyle name="40% - Accent4 5 2" xfId="2913" xr:uid="{00000000-0005-0000-0000-00002F060000}"/>
    <cellStyle name="40% - Accent4 5 2 2" xfId="7135" xr:uid="{00000000-0005-0000-0000-000030060000}"/>
    <cellStyle name="40% - Accent4 5 2 2 2" xfId="25760" xr:uid="{1DA6903E-05D7-4AE8-B929-030E699AE5AD}"/>
    <cellStyle name="40% - Accent4 5 2 2 3" xfId="16461" xr:uid="{CF512FDB-7DB0-4619-A2A7-BF8D107275E9}"/>
    <cellStyle name="40% - Accent4 5 2 3" xfId="21543" xr:uid="{C9379A87-B00B-4270-ADF7-70D5FCCFD269}"/>
    <cellStyle name="40% - Accent4 5 2 4" xfId="12244" xr:uid="{137B76EF-A908-467A-AE43-9F7FC23199E6}"/>
    <cellStyle name="40% - Accent4 5 3" xfId="4990" xr:uid="{00000000-0005-0000-0000-000031060000}"/>
    <cellStyle name="40% - Accent4 5 3 2" xfId="23615" xr:uid="{A0572403-61B0-4511-BE57-76F08ACAD129}"/>
    <cellStyle name="40% - Accent4 5 3 3" xfId="14316" xr:uid="{90FA455C-F9FE-46EE-AC7E-37B236FEBC9F}"/>
    <cellStyle name="40% - Accent4 5 4" xfId="9187" xr:uid="{33022C89-0CDD-4091-8005-358F63FF8F46}"/>
    <cellStyle name="40% - Accent4 5 4 2" xfId="27804" xr:uid="{B749E155-F056-4C27-8D56-088F1E9A2A1B}"/>
    <cellStyle name="40% - Accent4 5 4 3" xfId="18505" xr:uid="{64E22E5A-70CB-43BB-AB0F-59922A81AC81}"/>
    <cellStyle name="40% - Accent4 5 5" xfId="19398" xr:uid="{845A4939-AF52-4E00-9A50-20EBA4AA3499}"/>
    <cellStyle name="40% - Accent4 5 6" xfId="10099" xr:uid="{3DE72B17-510A-437E-9254-68F80B97A1A6}"/>
    <cellStyle name="40% - Accent4 6" xfId="1095" xr:uid="{00000000-0005-0000-0000-000032060000}"/>
    <cellStyle name="40% - Accent4 6 2" xfId="3326" xr:uid="{00000000-0005-0000-0000-000033060000}"/>
    <cellStyle name="40% - Accent4 6 2 2" xfId="7548" xr:uid="{00000000-0005-0000-0000-000034060000}"/>
    <cellStyle name="40% - Accent4 6 2 2 2" xfId="26173" xr:uid="{97336946-7668-49FC-BCE3-D0FC33D87574}"/>
    <cellStyle name="40% - Accent4 6 2 2 3" xfId="16874" xr:uid="{43C408EB-704E-458A-B3CE-0E539AA6E168}"/>
    <cellStyle name="40% - Accent4 6 2 3" xfId="21956" xr:uid="{AF32D8C9-106E-4B7B-BFFF-45E5738125F8}"/>
    <cellStyle name="40% - Accent4 6 2 4" xfId="12657" xr:uid="{E2CA70B2-A8EA-489C-9F2B-0FC4C02B79A1}"/>
    <cellStyle name="40% - Accent4 6 3" xfId="5403" xr:uid="{00000000-0005-0000-0000-000035060000}"/>
    <cellStyle name="40% - Accent4 6 3 2" xfId="24028" xr:uid="{1FB1D8AF-6B80-48BA-8153-60CD4B015D2B}"/>
    <cellStyle name="40% - Accent4 6 3 3" xfId="14729" xr:uid="{0412399E-D147-430D-BA25-876F86F7F1B7}"/>
    <cellStyle name="40% - Accent4 6 4" xfId="19811" xr:uid="{30E3252C-F276-4890-A962-1D331F2DC8B4}"/>
    <cellStyle name="40% - Accent4 6 5" xfId="10512" xr:uid="{59EE3446-D62B-41F6-B438-38615C0C6507}"/>
    <cellStyle name="40% - Accent4 7" xfId="1509" xr:uid="{00000000-0005-0000-0000-000036060000}"/>
    <cellStyle name="40% - Accent4 7 2" xfId="3739" xr:uid="{00000000-0005-0000-0000-000037060000}"/>
    <cellStyle name="40% - Accent4 7 2 2" xfId="7961" xr:uid="{00000000-0005-0000-0000-000038060000}"/>
    <cellStyle name="40% - Accent4 7 2 2 2" xfId="26586" xr:uid="{7A52363D-0F72-437B-867C-3DDD1448C68D}"/>
    <cellStyle name="40% - Accent4 7 2 2 3" xfId="17287" xr:uid="{7F8D1C6C-A0A1-4A51-BC08-E5963FFF7CC6}"/>
    <cellStyle name="40% - Accent4 7 2 3" xfId="22369" xr:uid="{876C3074-7C6F-41AF-9BE1-ABDE8DDBDB94}"/>
    <cellStyle name="40% - Accent4 7 2 4" xfId="13070" xr:uid="{355BF414-AD60-4DEE-8F5D-643F780C33AB}"/>
    <cellStyle name="40% - Accent4 7 3" xfId="5816" xr:uid="{00000000-0005-0000-0000-000039060000}"/>
    <cellStyle name="40% - Accent4 7 3 2" xfId="24441" xr:uid="{7AD7E5D8-61FC-480B-AD85-5C03B7A0A259}"/>
    <cellStyle name="40% - Accent4 7 3 3" xfId="15142" xr:uid="{3CC3FF29-972D-4975-A753-730EC54830B7}"/>
    <cellStyle name="40% - Accent4 7 4" xfId="20224" xr:uid="{0EEF98D3-D08F-40A9-B94F-488B90DD57AA}"/>
    <cellStyle name="40% - Accent4 7 5" xfId="10925" xr:uid="{06C9B029-02FE-489C-BE56-31CDA734EE54}"/>
    <cellStyle name="40% - Accent4 8" xfId="1923" xr:uid="{00000000-0005-0000-0000-00003A060000}"/>
    <cellStyle name="40% - Accent4 8 2" xfId="4152" xr:uid="{00000000-0005-0000-0000-00003B060000}"/>
    <cellStyle name="40% - Accent4 8 2 2" xfId="8374" xr:uid="{00000000-0005-0000-0000-00003C060000}"/>
    <cellStyle name="40% - Accent4 8 2 2 2" xfId="26999" xr:uid="{9C6BB0AB-3F4C-4A04-95AA-BD58DFA4AD59}"/>
    <cellStyle name="40% - Accent4 8 2 2 3" xfId="17700" xr:uid="{D2E2AA7E-8027-4BC4-BA85-A4AF87335AA0}"/>
    <cellStyle name="40% - Accent4 8 2 3" xfId="22782" xr:uid="{FA20B262-C8C9-4FB5-AFE0-60AC0A1AE1C7}"/>
    <cellStyle name="40% - Accent4 8 2 4" xfId="13483" xr:uid="{38C9050B-7CDC-4865-83AB-B4990FDB8D8A}"/>
    <cellStyle name="40% - Accent4 8 3" xfId="6229" xr:uid="{00000000-0005-0000-0000-00003D060000}"/>
    <cellStyle name="40% - Accent4 8 3 2" xfId="24854" xr:uid="{D29D50A1-1F62-481E-91A1-9F3884B8026A}"/>
    <cellStyle name="40% - Accent4 8 3 3" xfId="15555" xr:uid="{5BB78404-3AEF-424A-B8F7-772F62CEE27C}"/>
    <cellStyle name="40% - Accent4 8 4" xfId="20637" xr:uid="{D0054064-286C-4AB9-A985-5C1BFA30BA36}"/>
    <cellStyle name="40% - Accent4 8 5" xfId="11338" xr:uid="{9C930B18-8176-45E6-8129-5542B7EC0F57}"/>
    <cellStyle name="40% - Accent4 9" xfId="2336" xr:uid="{00000000-0005-0000-0000-00003E060000}"/>
    <cellStyle name="40% - Accent4 9 2" xfId="6642" xr:uid="{00000000-0005-0000-0000-00003F060000}"/>
    <cellStyle name="40% - Accent4 9 2 2" xfId="25267" xr:uid="{5EAA69DB-8F4E-4CCB-AED4-80D2C40896BB}"/>
    <cellStyle name="40% - Accent4 9 2 3" xfId="15968" xr:uid="{B4FF36A7-12F4-4770-BB1F-789C2F8B6988}"/>
    <cellStyle name="40% - Accent4 9 3" xfId="21050" xr:uid="{651C99B8-2D9A-4F46-BD05-D9F994AB5B6D}"/>
    <cellStyle name="40% - Accent4 9 4" xfId="11751" xr:uid="{1CCC66B7-971E-4A72-964B-8F9ACD3D4F9A}"/>
    <cellStyle name="40% - Accent5" xfId="81" builtinId="47" customBuiltin="1"/>
    <cellStyle name="40% - Accent5 10" xfId="4584" xr:uid="{00000000-0005-0000-0000-000041060000}"/>
    <cellStyle name="40% - Accent5 10 2" xfId="23209" xr:uid="{7335DCA0-0424-4B81-8275-C62180F832F2}"/>
    <cellStyle name="40% - Accent5 10 3" xfId="13910" xr:uid="{6234A336-027A-4F7E-884C-51F16D486CDA}"/>
    <cellStyle name="40% - Accent5 11" xfId="8767" xr:uid="{7A46ADF8-3420-4D4A-A3FE-8E96F0FA38E7}"/>
    <cellStyle name="40% - Accent5 11 2" xfId="27390" xr:uid="{8E21D974-FC35-47B2-996D-6B53C8CA56BF}"/>
    <cellStyle name="40% - Accent5 11 3" xfId="18091" xr:uid="{9AF5E13A-3560-4610-BF6C-9A41E6EC7D96}"/>
    <cellStyle name="40% - Accent5 12" xfId="18992" xr:uid="{F8FF58AA-7D41-42C2-9E47-E9C9CB3F57A4}"/>
    <cellStyle name="40% - Accent5 13" xfId="9693" xr:uid="{C994E961-7C87-45C8-BE64-593FB80FD044}"/>
    <cellStyle name="40% - Accent5 2" xfId="82" xr:uid="{00000000-0005-0000-0000-000042060000}"/>
    <cellStyle name="40% - Accent5 2 10" xfId="8802" xr:uid="{CF9BFF45-99AC-47A3-8B01-051C55FBB24D}"/>
    <cellStyle name="40% - Accent5 2 10 2" xfId="27425" xr:uid="{0432313B-5817-4A89-A452-01CBE2312769}"/>
    <cellStyle name="40% - Accent5 2 10 3" xfId="18126" xr:uid="{CFFE4C1C-8BB8-4C46-8FD4-EA05D2CF73A6}"/>
    <cellStyle name="40% - Accent5 2 11" xfId="18993" xr:uid="{13596B86-1AB4-4FD0-AF83-2DBF3438EEBE}"/>
    <cellStyle name="40% - Accent5 2 12" xfId="9694" xr:uid="{618419A0-E9DF-47EB-B4EF-0B2461112A1B}"/>
    <cellStyle name="40% - Accent5 2 2" xfId="83" xr:uid="{00000000-0005-0000-0000-000043060000}"/>
    <cellStyle name="40% - Accent5 2 2 10" xfId="18994" xr:uid="{9F004D35-CFFF-48D0-A7AE-1B4FF545834E}"/>
    <cellStyle name="40% - Accent5 2 2 11" xfId="9695" xr:uid="{65B18B4B-848B-4629-BEEF-14D38C4EA46D}"/>
    <cellStyle name="40% - Accent5 2 2 2" xfId="84" xr:uid="{00000000-0005-0000-0000-000044060000}"/>
    <cellStyle name="40% - Accent5 2 2 2 10" xfId="9696" xr:uid="{0F252C8C-B1F6-4B42-BB83-A49B41AAA4D2}"/>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2 2 2" xfId="25771" xr:uid="{FE70E947-207D-45AE-9880-2557F0FEB4D2}"/>
    <cellStyle name="40% - Accent5 2 2 2 2 2 2 3" xfId="16472" xr:uid="{53D78A3E-0EEB-4946-89C1-FF4CF4FC917D}"/>
    <cellStyle name="40% - Accent5 2 2 2 2 2 3" xfId="21554" xr:uid="{77FE6D11-2B6C-49C2-AAD2-DFC83A7D284B}"/>
    <cellStyle name="40% - Accent5 2 2 2 2 2 4" xfId="12255" xr:uid="{A60B2AC9-9C41-48E2-9E4C-DF2EC06FAE9F}"/>
    <cellStyle name="40% - Accent5 2 2 2 2 3" xfId="5001" xr:uid="{00000000-0005-0000-0000-000048060000}"/>
    <cellStyle name="40% - Accent5 2 2 2 2 3 2" xfId="23626" xr:uid="{E806CC2E-D586-4454-837B-A3F3A5123087}"/>
    <cellStyle name="40% - Accent5 2 2 2 2 3 3" xfId="14327" xr:uid="{479C4D2F-3151-4863-9FB0-8519CA6DF416}"/>
    <cellStyle name="40% - Accent5 2 2 2 2 4" xfId="9537" xr:uid="{83834145-5D3F-4083-A609-6DB90651C4CE}"/>
    <cellStyle name="40% - Accent5 2 2 2 2 4 2" xfId="28151" xr:uid="{2EAAE0CE-BBB0-4013-87F8-A5FB6C12AF2D}"/>
    <cellStyle name="40% - Accent5 2 2 2 2 4 3" xfId="18852" xr:uid="{39AFAB4F-F215-464C-BE7B-CA5DB05A4875}"/>
    <cellStyle name="40% - Accent5 2 2 2 2 5" xfId="19409" xr:uid="{C2D34C76-10BE-4A4D-A245-3EDEF5A59C9A}"/>
    <cellStyle name="40% - Accent5 2 2 2 2 6" xfId="10110" xr:uid="{04CA751D-4219-4988-B4DA-F21659BA0406}"/>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2 2 2" xfId="26184" xr:uid="{20D95D3B-9735-4EB1-B82F-EDB742826EBD}"/>
    <cellStyle name="40% - Accent5 2 2 2 3 2 2 3" xfId="16885" xr:uid="{017019CB-C12B-44A1-970B-0977B5769EE9}"/>
    <cellStyle name="40% - Accent5 2 2 2 3 2 3" xfId="21967" xr:uid="{DDA7528F-2987-4EBD-94E1-73B2B6A142F5}"/>
    <cellStyle name="40% - Accent5 2 2 2 3 2 4" xfId="12668" xr:uid="{AF26F7FB-CF46-429E-8BA1-A4A8E6B28F97}"/>
    <cellStyle name="40% - Accent5 2 2 2 3 3" xfId="5414" xr:uid="{00000000-0005-0000-0000-00004C060000}"/>
    <cellStyle name="40% - Accent5 2 2 2 3 3 2" xfId="24039" xr:uid="{BB540847-DF72-4B48-BE13-5F01ABB35FCB}"/>
    <cellStyle name="40% - Accent5 2 2 2 3 3 3" xfId="14740" xr:uid="{BE7F713B-1067-4C73-ABFE-FF6C62EA0354}"/>
    <cellStyle name="40% - Accent5 2 2 2 3 4" xfId="19822" xr:uid="{2269E605-12A8-4033-8691-86BEC9C01499}"/>
    <cellStyle name="40% - Accent5 2 2 2 3 5" xfId="10523" xr:uid="{FF5AA5B5-FFBC-4B52-91B5-30E6626D7604}"/>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2 2 2" xfId="26597" xr:uid="{058531A3-0696-4596-ADCA-929000183E48}"/>
    <cellStyle name="40% - Accent5 2 2 2 4 2 2 3" xfId="17298" xr:uid="{99E21DAB-B5E8-4E9A-AA46-391B32855487}"/>
    <cellStyle name="40% - Accent5 2 2 2 4 2 3" xfId="22380" xr:uid="{94BFD136-36E1-4B57-B288-373AF1AE6224}"/>
    <cellStyle name="40% - Accent5 2 2 2 4 2 4" xfId="13081" xr:uid="{7DBCA6E1-EE57-4286-B46F-7EBF0D043EAB}"/>
    <cellStyle name="40% - Accent5 2 2 2 4 3" xfId="5827" xr:uid="{00000000-0005-0000-0000-000050060000}"/>
    <cellStyle name="40% - Accent5 2 2 2 4 3 2" xfId="24452" xr:uid="{3AB50F72-DF85-45DE-B258-4804E99F935D}"/>
    <cellStyle name="40% - Accent5 2 2 2 4 3 3" xfId="15153" xr:uid="{C2235580-8FA9-4059-A569-3AD17C419DB6}"/>
    <cellStyle name="40% - Accent5 2 2 2 4 4" xfId="20235" xr:uid="{CDCA1D20-FD21-432D-875A-D3E3C49C0E5C}"/>
    <cellStyle name="40% - Accent5 2 2 2 4 5" xfId="10936" xr:uid="{281AB82D-832A-4B64-8C76-256BBEDC3C66}"/>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2 2 2" xfId="27010" xr:uid="{13F3DCF0-2950-45CE-8592-4269FA117018}"/>
    <cellStyle name="40% - Accent5 2 2 2 5 2 2 3" xfId="17711" xr:uid="{D6F7AAB5-A323-460C-BAAE-F9429F470D4D}"/>
    <cellStyle name="40% - Accent5 2 2 2 5 2 3" xfId="22793" xr:uid="{AA3B334A-0C15-4B56-8D79-BFEFECC5906D}"/>
    <cellStyle name="40% - Accent5 2 2 2 5 2 4" xfId="13494" xr:uid="{C38F8784-5E8D-4E00-9855-F471CD963274}"/>
    <cellStyle name="40% - Accent5 2 2 2 5 3" xfId="6240" xr:uid="{00000000-0005-0000-0000-000054060000}"/>
    <cellStyle name="40% - Accent5 2 2 2 5 3 2" xfId="24865" xr:uid="{B6F0912B-42D2-42C8-962B-C009B92D5AA1}"/>
    <cellStyle name="40% - Accent5 2 2 2 5 3 3" xfId="15566" xr:uid="{57223FF3-89CF-43E7-98EE-A2801686925D}"/>
    <cellStyle name="40% - Accent5 2 2 2 5 4" xfId="20648" xr:uid="{3961FBA7-8452-49E5-8967-D8C8C0C6AD87}"/>
    <cellStyle name="40% - Accent5 2 2 2 5 5" xfId="11349" xr:uid="{3172F691-604F-4620-813C-57179BE81BEA}"/>
    <cellStyle name="40% - Accent5 2 2 2 6" xfId="2347" xr:uid="{00000000-0005-0000-0000-000055060000}"/>
    <cellStyle name="40% - Accent5 2 2 2 6 2" xfId="6653" xr:uid="{00000000-0005-0000-0000-000056060000}"/>
    <cellStyle name="40% - Accent5 2 2 2 6 2 2" xfId="25278" xr:uid="{819FA4EB-322F-42C0-B008-B84808CC538D}"/>
    <cellStyle name="40% - Accent5 2 2 2 6 2 3" xfId="15979" xr:uid="{4C27EEF8-6DEE-4F80-81DC-525628D7C99D}"/>
    <cellStyle name="40% - Accent5 2 2 2 6 3" xfId="21061" xr:uid="{998805E4-BFA7-43DF-A990-D13A658BF39B}"/>
    <cellStyle name="40% - Accent5 2 2 2 6 4" xfId="11762" xr:uid="{A28F0D43-CE54-4D8F-91AA-831BB752A045}"/>
    <cellStyle name="40% - Accent5 2 2 2 7" xfId="4587" xr:uid="{00000000-0005-0000-0000-000057060000}"/>
    <cellStyle name="40% - Accent5 2 2 2 7 2" xfId="23212" xr:uid="{F225C698-1A42-4E16-9461-B0F13C090C6E}"/>
    <cellStyle name="40% - Accent5 2 2 2 7 3" xfId="13913" xr:uid="{31515643-5949-4861-B584-07E78C859777}"/>
    <cellStyle name="40% - Accent5 2 2 2 8" xfId="9112" xr:uid="{65D0CC40-E9D0-4CE3-B684-8DE4A2C7BCD7}"/>
    <cellStyle name="40% - Accent5 2 2 2 8 2" xfId="27735" xr:uid="{38D5C613-5A7E-4731-BB8A-CF68CE203224}"/>
    <cellStyle name="40% - Accent5 2 2 2 8 3" xfId="18436" xr:uid="{BBD41541-3CC0-4B8A-97BD-05A3068AC586}"/>
    <cellStyle name="40% - Accent5 2 2 2 9" xfId="18995" xr:uid="{BC4E2AE1-BB0F-44C1-9244-B27E9336F827}"/>
    <cellStyle name="40% - Accent5 2 2 3" xfId="652" xr:uid="{00000000-0005-0000-0000-000058060000}"/>
    <cellStyle name="40% - Accent5 2 2 3 2" xfId="2923" xr:uid="{00000000-0005-0000-0000-000059060000}"/>
    <cellStyle name="40% - Accent5 2 2 3 2 2" xfId="7145" xr:uid="{00000000-0005-0000-0000-00005A060000}"/>
    <cellStyle name="40% - Accent5 2 2 3 2 2 2" xfId="25770" xr:uid="{84552848-D2B3-4D45-9187-1EC12AB125FB}"/>
    <cellStyle name="40% - Accent5 2 2 3 2 2 3" xfId="16471" xr:uid="{C085E7AD-534B-4E49-A885-4B813E0A53A9}"/>
    <cellStyle name="40% - Accent5 2 2 3 2 3" xfId="21553" xr:uid="{29597E58-0E3E-4E79-B5A6-D6BE345DCE2C}"/>
    <cellStyle name="40% - Accent5 2 2 3 2 4" xfId="12254" xr:uid="{593B0E91-EAD6-4DB0-81BB-DA6BF217373E}"/>
    <cellStyle name="40% - Accent5 2 2 3 3" xfId="5000" xr:uid="{00000000-0005-0000-0000-00005B060000}"/>
    <cellStyle name="40% - Accent5 2 2 3 3 2" xfId="23625" xr:uid="{663409E6-852A-4B9D-A10D-1D9E4CFFA8F2}"/>
    <cellStyle name="40% - Accent5 2 2 3 3 3" xfId="14326" xr:uid="{F57FDDF1-E848-48B7-BD4D-3EE81C2BF51A}"/>
    <cellStyle name="40% - Accent5 2 2 3 4" xfId="9330" xr:uid="{75959B30-FD84-42A5-95AE-69048CCC8361}"/>
    <cellStyle name="40% - Accent5 2 2 3 4 2" xfId="27944" xr:uid="{D2F843C7-83EC-41CF-951F-F11A5AF84D2A}"/>
    <cellStyle name="40% - Accent5 2 2 3 4 3" xfId="18645" xr:uid="{3D81B174-C3A0-441C-B789-013A30D7ECB8}"/>
    <cellStyle name="40% - Accent5 2 2 3 5" xfId="19408" xr:uid="{FC1DB3A6-8E75-47F7-9371-E32DB6403ADB}"/>
    <cellStyle name="40% - Accent5 2 2 3 6" xfId="10109" xr:uid="{430C3585-2BE9-4BE6-BB11-69779E0A5563}"/>
    <cellStyle name="40% - Accent5 2 2 4" xfId="1105" xr:uid="{00000000-0005-0000-0000-00005C060000}"/>
    <cellStyle name="40% - Accent5 2 2 4 2" xfId="3336" xr:uid="{00000000-0005-0000-0000-00005D060000}"/>
    <cellStyle name="40% - Accent5 2 2 4 2 2" xfId="7558" xr:uid="{00000000-0005-0000-0000-00005E060000}"/>
    <cellStyle name="40% - Accent5 2 2 4 2 2 2" xfId="26183" xr:uid="{3CF7ECC7-6ED0-441A-A103-B1F47E86F017}"/>
    <cellStyle name="40% - Accent5 2 2 4 2 2 3" xfId="16884" xr:uid="{17819A72-DF18-454E-8C85-30FA2AB90636}"/>
    <cellStyle name="40% - Accent5 2 2 4 2 3" xfId="21966" xr:uid="{80F50063-46E1-46B0-9412-E305CCDBAA10}"/>
    <cellStyle name="40% - Accent5 2 2 4 2 4" xfId="12667" xr:uid="{F6D47AEA-5D64-45AB-87B5-7D9054E30264}"/>
    <cellStyle name="40% - Accent5 2 2 4 3" xfId="5413" xr:uid="{00000000-0005-0000-0000-00005F060000}"/>
    <cellStyle name="40% - Accent5 2 2 4 3 2" xfId="24038" xr:uid="{7FBA4801-AA4B-4D87-BC6C-6B8980BAF583}"/>
    <cellStyle name="40% - Accent5 2 2 4 3 3" xfId="14739" xr:uid="{D19D80CE-A5A4-46F4-BDD5-E8B062D290F4}"/>
    <cellStyle name="40% - Accent5 2 2 4 4" xfId="19821" xr:uid="{AC936E7F-631A-4F77-A01B-7406AC774EAD}"/>
    <cellStyle name="40% - Accent5 2 2 4 5" xfId="10522" xr:uid="{B41B9DB2-DB90-40D3-9494-25BDE0BF35EC}"/>
    <cellStyle name="40% - Accent5 2 2 5" xfId="1519" xr:uid="{00000000-0005-0000-0000-000060060000}"/>
    <cellStyle name="40% - Accent5 2 2 5 2" xfId="3749" xr:uid="{00000000-0005-0000-0000-000061060000}"/>
    <cellStyle name="40% - Accent5 2 2 5 2 2" xfId="7971" xr:uid="{00000000-0005-0000-0000-000062060000}"/>
    <cellStyle name="40% - Accent5 2 2 5 2 2 2" xfId="26596" xr:uid="{767F25FB-81C5-4DE1-877E-FAB34C565EE9}"/>
    <cellStyle name="40% - Accent5 2 2 5 2 2 3" xfId="17297" xr:uid="{C9615BC6-D0E5-4F80-B5CC-3D36FCFE6F77}"/>
    <cellStyle name="40% - Accent5 2 2 5 2 3" xfId="22379" xr:uid="{E89E675D-626E-49EB-9AB9-400BCE9932B5}"/>
    <cellStyle name="40% - Accent5 2 2 5 2 4" xfId="13080" xr:uid="{4EF7EE7C-3F2E-4F69-9AF5-1ECBA235175D}"/>
    <cellStyle name="40% - Accent5 2 2 5 3" xfId="5826" xr:uid="{00000000-0005-0000-0000-000063060000}"/>
    <cellStyle name="40% - Accent5 2 2 5 3 2" xfId="24451" xr:uid="{B10374F0-CA29-4DC6-95CA-167DDF010027}"/>
    <cellStyle name="40% - Accent5 2 2 5 3 3" xfId="15152" xr:uid="{61DEBB26-B504-4B33-88FE-3FC1E8F60BDC}"/>
    <cellStyle name="40% - Accent5 2 2 5 4" xfId="20234" xr:uid="{894AE5A8-E098-4F9F-9BF6-524CDE59699E}"/>
    <cellStyle name="40% - Accent5 2 2 5 5" xfId="10935" xr:uid="{1F10D448-3BAB-4A15-B2FC-6E290A5A8D7E}"/>
    <cellStyle name="40% - Accent5 2 2 6" xfId="1933" xr:uid="{00000000-0005-0000-0000-000064060000}"/>
    <cellStyle name="40% - Accent5 2 2 6 2" xfId="4162" xr:uid="{00000000-0005-0000-0000-000065060000}"/>
    <cellStyle name="40% - Accent5 2 2 6 2 2" xfId="8384" xr:uid="{00000000-0005-0000-0000-000066060000}"/>
    <cellStyle name="40% - Accent5 2 2 6 2 2 2" xfId="27009" xr:uid="{E5BC7B83-9553-407A-A332-B2070B75DAB2}"/>
    <cellStyle name="40% - Accent5 2 2 6 2 2 3" xfId="17710" xr:uid="{A2420AB0-1145-4419-B3A6-BD141447990B}"/>
    <cellStyle name="40% - Accent5 2 2 6 2 3" xfId="22792" xr:uid="{20015AC9-23E9-4287-9882-C6355394302F}"/>
    <cellStyle name="40% - Accent5 2 2 6 2 4" xfId="13493" xr:uid="{B4AB3881-E039-4176-A50E-1C6C92ADCD64}"/>
    <cellStyle name="40% - Accent5 2 2 6 3" xfId="6239" xr:uid="{00000000-0005-0000-0000-000067060000}"/>
    <cellStyle name="40% - Accent5 2 2 6 3 2" xfId="24864" xr:uid="{6F58DA72-3630-4C2F-BF55-17905B5539BF}"/>
    <cellStyle name="40% - Accent5 2 2 6 3 3" xfId="15565" xr:uid="{AD36A954-E1C7-4549-8052-D6C071DF2C36}"/>
    <cellStyle name="40% - Accent5 2 2 6 4" xfId="20647" xr:uid="{89082CFD-DC0A-463D-B406-B1BACE0A7D9E}"/>
    <cellStyle name="40% - Accent5 2 2 6 5" xfId="11348" xr:uid="{17869979-0100-422B-908E-95A3B2A29207}"/>
    <cellStyle name="40% - Accent5 2 2 7" xfId="2346" xr:uid="{00000000-0005-0000-0000-000068060000}"/>
    <cellStyle name="40% - Accent5 2 2 7 2" xfId="6652" xr:uid="{00000000-0005-0000-0000-000069060000}"/>
    <cellStyle name="40% - Accent5 2 2 7 2 2" xfId="25277" xr:uid="{3CD4E0F8-B651-4657-9FED-5D12BB41072C}"/>
    <cellStyle name="40% - Accent5 2 2 7 2 3" xfId="15978" xr:uid="{BC9B14C3-6442-4944-A3A2-B7248405E636}"/>
    <cellStyle name="40% - Accent5 2 2 7 3" xfId="21060" xr:uid="{C0B199C7-92DC-4F72-B767-BEF5435D43C9}"/>
    <cellStyle name="40% - Accent5 2 2 7 4" xfId="11761" xr:uid="{E533B2BF-DFD9-43F0-9365-675B39897703}"/>
    <cellStyle name="40% - Accent5 2 2 8" xfId="4586" xr:uid="{00000000-0005-0000-0000-00006A060000}"/>
    <cellStyle name="40% - Accent5 2 2 8 2" xfId="23211" xr:uid="{58C71B7F-C9B3-4161-8708-1A93F952AA22}"/>
    <cellStyle name="40% - Accent5 2 2 8 3" xfId="13912" xr:uid="{AFB54872-8924-4DC9-B31E-F851FCAD0D63}"/>
    <cellStyle name="40% - Accent5 2 2 9" xfId="8905" xr:uid="{3B48B2AE-2C2B-47FB-A8F4-43FECCDBCFEF}"/>
    <cellStyle name="40% - Accent5 2 2 9 2" xfId="27528" xr:uid="{34DD73B3-3762-4051-B0D8-91AD2E454DF7}"/>
    <cellStyle name="40% - Accent5 2 2 9 3" xfId="18229" xr:uid="{A8DD58D0-5BC3-4520-9467-DDE450A7F33B}"/>
    <cellStyle name="40% - Accent5 2 3" xfId="85" xr:uid="{00000000-0005-0000-0000-00006B060000}"/>
    <cellStyle name="40% - Accent5 2 3 10" xfId="9697" xr:uid="{B454846C-1930-48BB-892D-580DFA35A7CE}"/>
    <cellStyle name="40% - Accent5 2 3 2" xfId="654" xr:uid="{00000000-0005-0000-0000-00006C060000}"/>
    <cellStyle name="40% - Accent5 2 3 2 2" xfId="2925" xr:uid="{00000000-0005-0000-0000-00006D060000}"/>
    <cellStyle name="40% - Accent5 2 3 2 2 2" xfId="7147" xr:uid="{00000000-0005-0000-0000-00006E060000}"/>
    <cellStyle name="40% - Accent5 2 3 2 2 2 2" xfId="25772" xr:uid="{7ADFDA37-AA22-4975-84ED-1014C1AC3761}"/>
    <cellStyle name="40% - Accent5 2 3 2 2 2 3" xfId="16473" xr:uid="{13671EDF-227E-40B9-B6A8-88C83717C6AE}"/>
    <cellStyle name="40% - Accent5 2 3 2 2 3" xfId="21555" xr:uid="{1C13BCBC-67E0-423B-8896-E90BB52EDFEA}"/>
    <cellStyle name="40% - Accent5 2 3 2 2 4" xfId="12256" xr:uid="{B06C3B53-33D5-413F-ABE8-62A137E1C8B1}"/>
    <cellStyle name="40% - Accent5 2 3 2 3" xfId="5002" xr:uid="{00000000-0005-0000-0000-00006F060000}"/>
    <cellStyle name="40% - Accent5 2 3 2 3 2" xfId="23627" xr:uid="{DE4890F1-B58C-4523-8774-1701D431FDBC}"/>
    <cellStyle name="40% - Accent5 2 3 2 3 3" xfId="14328" xr:uid="{F15062B2-D11B-4199-9583-6A52B2CD2504}"/>
    <cellStyle name="40% - Accent5 2 3 2 4" xfId="9434" xr:uid="{512EAA64-F150-4B15-8534-EB34D6D41408}"/>
    <cellStyle name="40% - Accent5 2 3 2 4 2" xfId="28048" xr:uid="{A2D38D47-D7C9-440D-A30B-CD883D342D14}"/>
    <cellStyle name="40% - Accent5 2 3 2 4 3" xfId="18749" xr:uid="{EC203752-F0B0-444B-AB42-8AA87B028004}"/>
    <cellStyle name="40% - Accent5 2 3 2 5" xfId="19410" xr:uid="{2DC0C7EC-A46D-409E-A979-5E85C47E72AF}"/>
    <cellStyle name="40% - Accent5 2 3 2 6" xfId="10111" xr:uid="{77472698-6186-4397-B68A-B41404A1A5C4}"/>
    <cellStyle name="40% - Accent5 2 3 3" xfId="1107" xr:uid="{00000000-0005-0000-0000-000070060000}"/>
    <cellStyle name="40% - Accent5 2 3 3 2" xfId="3338" xr:uid="{00000000-0005-0000-0000-000071060000}"/>
    <cellStyle name="40% - Accent5 2 3 3 2 2" xfId="7560" xr:uid="{00000000-0005-0000-0000-000072060000}"/>
    <cellStyle name="40% - Accent5 2 3 3 2 2 2" xfId="26185" xr:uid="{140D9BFA-BD2C-45C5-9D94-1FFFF196CE24}"/>
    <cellStyle name="40% - Accent5 2 3 3 2 2 3" xfId="16886" xr:uid="{304176CE-A72C-47CE-BB86-ECBB6E86D2C0}"/>
    <cellStyle name="40% - Accent5 2 3 3 2 3" xfId="21968" xr:uid="{D9D2EE18-6D7C-4974-9CBF-2F7D4B51F97D}"/>
    <cellStyle name="40% - Accent5 2 3 3 2 4" xfId="12669" xr:uid="{54219612-A57D-4BCF-A931-2A5D6D5F42E4}"/>
    <cellStyle name="40% - Accent5 2 3 3 3" xfId="5415" xr:uid="{00000000-0005-0000-0000-000073060000}"/>
    <cellStyle name="40% - Accent5 2 3 3 3 2" xfId="24040" xr:uid="{14D14755-31FD-4E0F-AFAF-54E665928F06}"/>
    <cellStyle name="40% - Accent5 2 3 3 3 3" xfId="14741" xr:uid="{502328F4-2472-4EBD-89FA-C3E43319BB67}"/>
    <cellStyle name="40% - Accent5 2 3 3 4" xfId="19823" xr:uid="{336E6394-1B5F-4993-9FC3-1587297B1700}"/>
    <cellStyle name="40% - Accent5 2 3 3 5" xfId="10524" xr:uid="{BA52E336-AB5C-4715-B0EB-67512A5AEF2A}"/>
    <cellStyle name="40% - Accent5 2 3 4" xfId="1521" xr:uid="{00000000-0005-0000-0000-000074060000}"/>
    <cellStyle name="40% - Accent5 2 3 4 2" xfId="3751" xr:uid="{00000000-0005-0000-0000-000075060000}"/>
    <cellStyle name="40% - Accent5 2 3 4 2 2" xfId="7973" xr:uid="{00000000-0005-0000-0000-000076060000}"/>
    <cellStyle name="40% - Accent5 2 3 4 2 2 2" xfId="26598" xr:uid="{F53B9ED0-E5E7-41C3-A293-2ED4EFA5513A}"/>
    <cellStyle name="40% - Accent5 2 3 4 2 2 3" xfId="17299" xr:uid="{C1586D16-0E7E-4906-BB54-3BDF4F3B37EE}"/>
    <cellStyle name="40% - Accent5 2 3 4 2 3" xfId="22381" xr:uid="{AA9FD8F5-2CC7-4C6B-A495-72E5D4CD2B62}"/>
    <cellStyle name="40% - Accent5 2 3 4 2 4" xfId="13082" xr:uid="{46317C19-FD56-4C5A-8DED-306131335C10}"/>
    <cellStyle name="40% - Accent5 2 3 4 3" xfId="5828" xr:uid="{00000000-0005-0000-0000-000077060000}"/>
    <cellStyle name="40% - Accent5 2 3 4 3 2" xfId="24453" xr:uid="{B282CC13-2C28-4191-B6D0-766FBB51F6EC}"/>
    <cellStyle name="40% - Accent5 2 3 4 3 3" xfId="15154" xr:uid="{D4AF0B80-8E63-4C31-8BCD-1AB6FEFCEDCA}"/>
    <cellStyle name="40% - Accent5 2 3 4 4" xfId="20236" xr:uid="{87AB6650-D35C-4580-9BDC-B9E95CFF950B}"/>
    <cellStyle name="40% - Accent5 2 3 4 5" xfId="10937" xr:uid="{F075ABBD-A042-45BD-BA09-229CE0573E3F}"/>
    <cellStyle name="40% - Accent5 2 3 5" xfId="1935" xr:uid="{00000000-0005-0000-0000-000078060000}"/>
    <cellStyle name="40% - Accent5 2 3 5 2" xfId="4164" xr:uid="{00000000-0005-0000-0000-000079060000}"/>
    <cellStyle name="40% - Accent5 2 3 5 2 2" xfId="8386" xr:uid="{00000000-0005-0000-0000-00007A060000}"/>
    <cellStyle name="40% - Accent5 2 3 5 2 2 2" xfId="27011" xr:uid="{C2667BFA-C12B-4074-AA0A-0CCD7D658923}"/>
    <cellStyle name="40% - Accent5 2 3 5 2 2 3" xfId="17712" xr:uid="{ABA9EE30-F15B-4FFC-972B-5B75F1052635}"/>
    <cellStyle name="40% - Accent5 2 3 5 2 3" xfId="22794" xr:uid="{CD36851A-54EA-44F5-9BEA-2DB2204980C0}"/>
    <cellStyle name="40% - Accent5 2 3 5 2 4" xfId="13495" xr:uid="{251F431D-ECC3-4366-8340-4B134FD0FE6B}"/>
    <cellStyle name="40% - Accent5 2 3 5 3" xfId="6241" xr:uid="{00000000-0005-0000-0000-00007B060000}"/>
    <cellStyle name="40% - Accent5 2 3 5 3 2" xfId="24866" xr:uid="{473A74AE-59F8-426B-AD23-A825C43D5F65}"/>
    <cellStyle name="40% - Accent5 2 3 5 3 3" xfId="15567" xr:uid="{82AA8774-0C2B-4B81-B544-C8AFEA7909B2}"/>
    <cellStyle name="40% - Accent5 2 3 5 4" xfId="20649" xr:uid="{D53CF00B-E974-4983-BC97-4EAC1DC56B64}"/>
    <cellStyle name="40% - Accent5 2 3 5 5" xfId="11350" xr:uid="{F6AC4939-4A69-4EB3-837D-39C23D089BF2}"/>
    <cellStyle name="40% - Accent5 2 3 6" xfId="2348" xr:uid="{00000000-0005-0000-0000-00007C060000}"/>
    <cellStyle name="40% - Accent5 2 3 6 2" xfId="6654" xr:uid="{00000000-0005-0000-0000-00007D060000}"/>
    <cellStyle name="40% - Accent5 2 3 6 2 2" xfId="25279" xr:uid="{0D7710CF-0051-46D7-A911-44663CAC6497}"/>
    <cellStyle name="40% - Accent5 2 3 6 2 3" xfId="15980" xr:uid="{CFB4394F-3B2D-43B3-9C66-3A5EAF8A58A9}"/>
    <cellStyle name="40% - Accent5 2 3 6 3" xfId="21062" xr:uid="{56BA5AFF-EA80-45B5-A1DB-5BEA545A4F20}"/>
    <cellStyle name="40% - Accent5 2 3 6 4" xfId="11763" xr:uid="{6A943629-0E6E-474A-8F3F-775130A66FA5}"/>
    <cellStyle name="40% - Accent5 2 3 7" xfId="4588" xr:uid="{00000000-0005-0000-0000-00007E060000}"/>
    <cellStyle name="40% - Accent5 2 3 7 2" xfId="23213" xr:uid="{2E5BF3C3-0426-46B1-92CB-3CD180890412}"/>
    <cellStyle name="40% - Accent5 2 3 7 3" xfId="13914" xr:uid="{7EC3CCD4-A6C0-4AA1-9E07-488C0CEC0283}"/>
    <cellStyle name="40% - Accent5 2 3 8" xfId="9009" xr:uid="{DE8B6E41-761F-4ED0-BA8A-00A6A898A2FC}"/>
    <cellStyle name="40% - Accent5 2 3 8 2" xfId="27632" xr:uid="{0A89BB9A-AF98-479F-B00B-40493FE2539C}"/>
    <cellStyle name="40% - Accent5 2 3 8 3" xfId="18333" xr:uid="{89BA070B-900A-406D-935D-56F4E4949930}"/>
    <cellStyle name="40% - Accent5 2 3 9" xfId="18996" xr:uid="{37E3D489-218A-4374-BE09-224056F6A994}"/>
    <cellStyle name="40% - Accent5 2 4" xfId="651" xr:uid="{00000000-0005-0000-0000-00007F060000}"/>
    <cellStyle name="40% - Accent5 2 4 2" xfId="2922" xr:uid="{00000000-0005-0000-0000-000080060000}"/>
    <cellStyle name="40% - Accent5 2 4 2 2" xfId="7144" xr:uid="{00000000-0005-0000-0000-000081060000}"/>
    <cellStyle name="40% - Accent5 2 4 2 2 2" xfId="25769" xr:uid="{BD7E6F55-CDAF-4BF7-90CD-5DD0DEEF4425}"/>
    <cellStyle name="40% - Accent5 2 4 2 2 3" xfId="16470" xr:uid="{3E1E257C-1843-4C01-B611-862777980C1F}"/>
    <cellStyle name="40% - Accent5 2 4 2 3" xfId="21552" xr:uid="{902B6821-8978-40B3-B4FB-B8F995284024}"/>
    <cellStyle name="40% - Accent5 2 4 2 4" xfId="12253" xr:uid="{14A1925B-AD8E-4905-85B8-3927A7521409}"/>
    <cellStyle name="40% - Accent5 2 4 3" xfId="4999" xr:uid="{00000000-0005-0000-0000-000082060000}"/>
    <cellStyle name="40% - Accent5 2 4 3 2" xfId="23624" xr:uid="{A6E49CE3-528E-43DB-A805-DF10D60E3AEF}"/>
    <cellStyle name="40% - Accent5 2 4 3 3" xfId="14325" xr:uid="{90DCCA6B-43C6-4B11-AFEB-F863C62B4318}"/>
    <cellStyle name="40% - Accent5 2 4 4" xfId="9226" xr:uid="{6A688709-D29B-458C-973B-231279FAFEF5}"/>
    <cellStyle name="40% - Accent5 2 4 4 2" xfId="27841" xr:uid="{50FC613E-4AF3-4F19-8437-82808B428D00}"/>
    <cellStyle name="40% - Accent5 2 4 4 3" xfId="18542" xr:uid="{915DC756-4BD4-4886-84D4-A5451E09F72E}"/>
    <cellStyle name="40% - Accent5 2 4 5" xfId="19407" xr:uid="{603DAAFF-7313-4CC4-9489-8C7FEED5B9FE}"/>
    <cellStyle name="40% - Accent5 2 4 6" xfId="10108" xr:uid="{0E73EB3A-9C31-4189-BEB6-8074A56C37D0}"/>
    <cellStyle name="40% - Accent5 2 5" xfId="1104" xr:uid="{00000000-0005-0000-0000-000083060000}"/>
    <cellStyle name="40% - Accent5 2 5 2" xfId="3335" xr:uid="{00000000-0005-0000-0000-000084060000}"/>
    <cellStyle name="40% - Accent5 2 5 2 2" xfId="7557" xr:uid="{00000000-0005-0000-0000-000085060000}"/>
    <cellStyle name="40% - Accent5 2 5 2 2 2" xfId="26182" xr:uid="{E6FF8AB5-383D-4F40-87AF-75DF35775D00}"/>
    <cellStyle name="40% - Accent5 2 5 2 2 3" xfId="16883" xr:uid="{486646FE-408C-4D6D-9F12-6DAABA5CD6E8}"/>
    <cellStyle name="40% - Accent5 2 5 2 3" xfId="21965" xr:uid="{54328B0C-2D72-4E24-88AD-788ED892C521}"/>
    <cellStyle name="40% - Accent5 2 5 2 4" xfId="12666" xr:uid="{3FB0D052-7860-4626-8485-4DAD4C544798}"/>
    <cellStyle name="40% - Accent5 2 5 3" xfId="5412" xr:uid="{00000000-0005-0000-0000-000086060000}"/>
    <cellStyle name="40% - Accent5 2 5 3 2" xfId="24037" xr:uid="{16BD2168-BC8C-465D-8463-87ADBC0C33DE}"/>
    <cellStyle name="40% - Accent5 2 5 3 3" xfId="14738" xr:uid="{C797422E-5390-4163-AA4C-00F842123C3E}"/>
    <cellStyle name="40% - Accent5 2 5 4" xfId="19820" xr:uid="{4D412223-77F7-4CB6-B3BC-BBB15903C512}"/>
    <cellStyle name="40% - Accent5 2 5 5" xfId="10521" xr:uid="{C856FA3B-39BE-4388-8625-17617A61B91B}"/>
    <cellStyle name="40% - Accent5 2 6" xfId="1518" xr:uid="{00000000-0005-0000-0000-000087060000}"/>
    <cellStyle name="40% - Accent5 2 6 2" xfId="3748" xr:uid="{00000000-0005-0000-0000-000088060000}"/>
    <cellStyle name="40% - Accent5 2 6 2 2" xfId="7970" xr:uid="{00000000-0005-0000-0000-000089060000}"/>
    <cellStyle name="40% - Accent5 2 6 2 2 2" xfId="26595" xr:uid="{3E027BB4-060A-4EF1-A870-2526B8C4D560}"/>
    <cellStyle name="40% - Accent5 2 6 2 2 3" xfId="17296" xr:uid="{6DC9EEEB-25B6-4261-B58F-F3CE94FFB4F7}"/>
    <cellStyle name="40% - Accent5 2 6 2 3" xfId="22378" xr:uid="{B9A00934-3A32-42AA-B7AC-284C86510F67}"/>
    <cellStyle name="40% - Accent5 2 6 2 4" xfId="13079" xr:uid="{C006A1B5-B85D-4EFC-A977-FBCCDF56FCF7}"/>
    <cellStyle name="40% - Accent5 2 6 3" xfId="5825" xr:uid="{00000000-0005-0000-0000-00008A060000}"/>
    <cellStyle name="40% - Accent5 2 6 3 2" xfId="24450" xr:uid="{F1B265AD-6DE2-4EBA-8BBA-AD3D6D83DC84}"/>
    <cellStyle name="40% - Accent5 2 6 3 3" xfId="15151" xr:uid="{1E64A1E3-9BFB-48F7-897B-EDCFE271422C}"/>
    <cellStyle name="40% - Accent5 2 6 4" xfId="20233" xr:uid="{B5368723-AB89-4C20-97D8-3B029BF379CE}"/>
    <cellStyle name="40% - Accent5 2 6 5" xfId="10934" xr:uid="{E9446480-E22F-4201-B391-ABB42C3740C9}"/>
    <cellStyle name="40% - Accent5 2 7" xfId="1932" xr:uid="{00000000-0005-0000-0000-00008B060000}"/>
    <cellStyle name="40% - Accent5 2 7 2" xfId="4161" xr:uid="{00000000-0005-0000-0000-00008C060000}"/>
    <cellStyle name="40% - Accent5 2 7 2 2" xfId="8383" xr:uid="{00000000-0005-0000-0000-00008D060000}"/>
    <cellStyle name="40% - Accent5 2 7 2 2 2" xfId="27008" xr:uid="{F13C0557-743A-4B29-8365-FE89F89B9469}"/>
    <cellStyle name="40% - Accent5 2 7 2 2 3" xfId="17709" xr:uid="{61956D7A-C145-4FE8-8AE9-211BF4543D29}"/>
    <cellStyle name="40% - Accent5 2 7 2 3" xfId="22791" xr:uid="{B52C550C-1923-4058-833D-5607C94DACF9}"/>
    <cellStyle name="40% - Accent5 2 7 2 4" xfId="13492" xr:uid="{878F497E-799D-4517-B468-7661CC7CE9E8}"/>
    <cellStyle name="40% - Accent5 2 7 3" xfId="6238" xr:uid="{00000000-0005-0000-0000-00008E060000}"/>
    <cellStyle name="40% - Accent5 2 7 3 2" xfId="24863" xr:uid="{0837C06A-5A14-41D7-B765-51AE296B0C6A}"/>
    <cellStyle name="40% - Accent5 2 7 3 3" xfId="15564" xr:uid="{9F7D5A75-E0A1-4E08-8033-3C1847545540}"/>
    <cellStyle name="40% - Accent5 2 7 4" xfId="20646" xr:uid="{15A73B0F-5E40-4E1B-B74C-ADB080367933}"/>
    <cellStyle name="40% - Accent5 2 7 5" xfId="11347" xr:uid="{1157EBE7-A11B-47BB-8E13-05C43A0B6719}"/>
    <cellStyle name="40% - Accent5 2 8" xfId="2345" xr:uid="{00000000-0005-0000-0000-00008F060000}"/>
    <cellStyle name="40% - Accent5 2 8 2" xfId="6651" xr:uid="{00000000-0005-0000-0000-000090060000}"/>
    <cellStyle name="40% - Accent5 2 8 2 2" xfId="25276" xr:uid="{C75EE7C0-7158-495C-BD09-FABE596666A1}"/>
    <cellStyle name="40% - Accent5 2 8 2 3" xfId="15977" xr:uid="{17D57B94-D863-4E3C-AFBD-FD41615C4419}"/>
    <cellStyle name="40% - Accent5 2 8 3" xfId="21059" xr:uid="{32F5D771-1F9B-4B4F-8B9E-27C4FE3AB300}"/>
    <cellStyle name="40% - Accent5 2 8 4" xfId="11760" xr:uid="{F00A3657-CBA5-40C7-9340-56F276F93D66}"/>
    <cellStyle name="40% - Accent5 2 9" xfId="4585" xr:uid="{00000000-0005-0000-0000-000091060000}"/>
    <cellStyle name="40% - Accent5 2 9 2" xfId="23210" xr:uid="{63C995E0-0A2F-490C-A4F4-12F5E01C728B}"/>
    <cellStyle name="40% - Accent5 2 9 3" xfId="13911" xr:uid="{B6EF79B9-A65C-43BC-B263-4063954C2387}"/>
    <cellStyle name="40% - Accent5 3" xfId="86" xr:uid="{00000000-0005-0000-0000-000092060000}"/>
    <cellStyle name="40% - Accent5 3 10" xfId="18997" xr:uid="{49202727-E14C-4137-A785-26C7DEB26527}"/>
    <cellStyle name="40% - Accent5 3 11" xfId="9698" xr:uid="{18533387-9A20-4E9D-B67B-22872D033FD4}"/>
    <cellStyle name="40% - Accent5 3 2" xfId="87" xr:uid="{00000000-0005-0000-0000-000093060000}"/>
    <cellStyle name="40% - Accent5 3 2 10" xfId="9699" xr:uid="{2ED2FB2E-29E2-4524-99B2-28D4AEFE81F6}"/>
    <cellStyle name="40% - Accent5 3 2 2" xfId="656" xr:uid="{00000000-0005-0000-0000-000094060000}"/>
    <cellStyle name="40% - Accent5 3 2 2 2" xfId="2927" xr:uid="{00000000-0005-0000-0000-000095060000}"/>
    <cellStyle name="40% - Accent5 3 2 2 2 2" xfId="7149" xr:uid="{00000000-0005-0000-0000-000096060000}"/>
    <cellStyle name="40% - Accent5 3 2 2 2 2 2" xfId="25774" xr:uid="{7C1DE0C4-E41D-4004-9A9B-7B969F87C84C}"/>
    <cellStyle name="40% - Accent5 3 2 2 2 2 3" xfId="16475" xr:uid="{2819253E-3898-4807-BCC8-2F6423E1DAA4}"/>
    <cellStyle name="40% - Accent5 3 2 2 2 3" xfId="21557" xr:uid="{A60B1653-6AB7-4F86-9608-E61D5C115BED}"/>
    <cellStyle name="40% - Accent5 3 2 2 2 4" xfId="12258" xr:uid="{0D26863C-3397-45D2-8520-93A7B478B9EE}"/>
    <cellStyle name="40% - Accent5 3 2 2 3" xfId="5004" xr:uid="{00000000-0005-0000-0000-000097060000}"/>
    <cellStyle name="40% - Accent5 3 2 2 3 2" xfId="23629" xr:uid="{51E1A560-2546-4A4E-A275-D1A8ECEE4E00}"/>
    <cellStyle name="40% - Accent5 3 2 2 3 3" xfId="14330" xr:uid="{66FE2886-1EFE-4628-B0D9-360008FE4DED}"/>
    <cellStyle name="40% - Accent5 3 2 2 4" xfId="9502" xr:uid="{96903B0D-DCFE-4149-8088-461BCB03A73B}"/>
    <cellStyle name="40% - Accent5 3 2 2 4 2" xfId="28116" xr:uid="{B4B79D74-78DA-41ED-A3E8-A594A071B69D}"/>
    <cellStyle name="40% - Accent5 3 2 2 4 3" xfId="18817" xr:uid="{24D92F62-7CF9-431C-8888-675E728856AA}"/>
    <cellStyle name="40% - Accent5 3 2 2 5" xfId="19412" xr:uid="{EECC58B3-EFB8-4FD7-92C7-D4C46BD8EC4A}"/>
    <cellStyle name="40% - Accent5 3 2 2 6" xfId="10113" xr:uid="{EC83094D-B949-46D8-9E96-4295129A70B9}"/>
    <cellStyle name="40% - Accent5 3 2 3" xfId="1109" xr:uid="{00000000-0005-0000-0000-000098060000}"/>
    <cellStyle name="40% - Accent5 3 2 3 2" xfId="3340" xr:uid="{00000000-0005-0000-0000-000099060000}"/>
    <cellStyle name="40% - Accent5 3 2 3 2 2" xfId="7562" xr:uid="{00000000-0005-0000-0000-00009A060000}"/>
    <cellStyle name="40% - Accent5 3 2 3 2 2 2" xfId="26187" xr:uid="{A8D89704-BF40-411A-9E07-BFF155594148}"/>
    <cellStyle name="40% - Accent5 3 2 3 2 2 3" xfId="16888" xr:uid="{A1FFB6B8-8CA3-4C66-85DD-0D7C392473E0}"/>
    <cellStyle name="40% - Accent5 3 2 3 2 3" xfId="21970" xr:uid="{D29A38FD-F4F4-41B6-B929-243D440E72FB}"/>
    <cellStyle name="40% - Accent5 3 2 3 2 4" xfId="12671" xr:uid="{391B1236-6C6E-4A1F-A4EE-52C479B6D8E1}"/>
    <cellStyle name="40% - Accent5 3 2 3 3" xfId="5417" xr:uid="{00000000-0005-0000-0000-00009B060000}"/>
    <cellStyle name="40% - Accent5 3 2 3 3 2" xfId="24042" xr:uid="{454E6065-2BD7-4B3C-AC25-E00E50108E52}"/>
    <cellStyle name="40% - Accent5 3 2 3 3 3" xfId="14743" xr:uid="{785EAAE8-79C0-430B-807B-37DBA734D142}"/>
    <cellStyle name="40% - Accent5 3 2 3 4" xfId="19825" xr:uid="{BC937CCB-F604-4E1A-8CF3-203EB9072A79}"/>
    <cellStyle name="40% - Accent5 3 2 3 5" xfId="10526" xr:uid="{5017CC4F-BC18-4409-AC67-5B5EB175A273}"/>
    <cellStyle name="40% - Accent5 3 2 4" xfId="1523" xr:uid="{00000000-0005-0000-0000-00009C060000}"/>
    <cellStyle name="40% - Accent5 3 2 4 2" xfId="3753" xr:uid="{00000000-0005-0000-0000-00009D060000}"/>
    <cellStyle name="40% - Accent5 3 2 4 2 2" xfId="7975" xr:uid="{00000000-0005-0000-0000-00009E060000}"/>
    <cellStyle name="40% - Accent5 3 2 4 2 2 2" xfId="26600" xr:uid="{55F0948C-D78B-457A-A726-FA6CA96D58EC}"/>
    <cellStyle name="40% - Accent5 3 2 4 2 2 3" xfId="17301" xr:uid="{1F9A50CA-5FEF-49F7-84C7-83D4413F7CBF}"/>
    <cellStyle name="40% - Accent5 3 2 4 2 3" xfId="22383" xr:uid="{7BD01AC6-B2E1-4D48-A654-99683521DAD8}"/>
    <cellStyle name="40% - Accent5 3 2 4 2 4" xfId="13084" xr:uid="{1AD308E0-360B-405E-9BB5-43A896C321BA}"/>
    <cellStyle name="40% - Accent5 3 2 4 3" xfId="5830" xr:uid="{00000000-0005-0000-0000-00009F060000}"/>
    <cellStyle name="40% - Accent5 3 2 4 3 2" xfId="24455" xr:uid="{7B078C97-A4CB-4705-B286-858B264A5097}"/>
    <cellStyle name="40% - Accent5 3 2 4 3 3" xfId="15156" xr:uid="{711363EA-D19B-414B-8E44-42D6CA4E7216}"/>
    <cellStyle name="40% - Accent5 3 2 4 4" xfId="20238" xr:uid="{C5198505-9BC1-40D7-B47B-67F544F36A81}"/>
    <cellStyle name="40% - Accent5 3 2 4 5" xfId="10939" xr:uid="{77B45658-5821-423E-8D4F-17AE184B7807}"/>
    <cellStyle name="40% - Accent5 3 2 5" xfId="1937" xr:uid="{00000000-0005-0000-0000-0000A0060000}"/>
    <cellStyle name="40% - Accent5 3 2 5 2" xfId="4166" xr:uid="{00000000-0005-0000-0000-0000A1060000}"/>
    <cellStyle name="40% - Accent5 3 2 5 2 2" xfId="8388" xr:uid="{00000000-0005-0000-0000-0000A2060000}"/>
    <cellStyle name="40% - Accent5 3 2 5 2 2 2" xfId="27013" xr:uid="{604F4200-C5EE-4F54-93C9-08F6347C0593}"/>
    <cellStyle name="40% - Accent5 3 2 5 2 2 3" xfId="17714" xr:uid="{E392914E-1007-42D8-A599-8201F9B1EEF9}"/>
    <cellStyle name="40% - Accent5 3 2 5 2 3" xfId="22796" xr:uid="{E880E1A7-3652-45B2-A877-AFDE5BE97F30}"/>
    <cellStyle name="40% - Accent5 3 2 5 2 4" xfId="13497" xr:uid="{A700440B-89C8-422C-AF9E-2D99C170691A}"/>
    <cellStyle name="40% - Accent5 3 2 5 3" xfId="6243" xr:uid="{00000000-0005-0000-0000-0000A3060000}"/>
    <cellStyle name="40% - Accent5 3 2 5 3 2" xfId="24868" xr:uid="{974C1A5A-B2DE-4DBB-B6DD-A699DCC05072}"/>
    <cellStyle name="40% - Accent5 3 2 5 3 3" xfId="15569" xr:uid="{1F93FD14-5938-44D5-B22B-6FA9889A18BB}"/>
    <cellStyle name="40% - Accent5 3 2 5 4" xfId="20651" xr:uid="{D0DEE16B-5202-4D0E-AA7D-2F3BAEF83535}"/>
    <cellStyle name="40% - Accent5 3 2 5 5" xfId="11352" xr:uid="{AB126404-2BBC-4E05-927E-4392E628394D}"/>
    <cellStyle name="40% - Accent5 3 2 6" xfId="2350" xr:uid="{00000000-0005-0000-0000-0000A4060000}"/>
    <cellStyle name="40% - Accent5 3 2 6 2" xfId="6656" xr:uid="{00000000-0005-0000-0000-0000A5060000}"/>
    <cellStyle name="40% - Accent5 3 2 6 2 2" xfId="25281" xr:uid="{43ACCB86-BB5D-43A0-AEE3-75277EC9A1F1}"/>
    <cellStyle name="40% - Accent5 3 2 6 2 3" xfId="15982" xr:uid="{89EB7B11-891F-46E1-AF4D-E224DBE47C10}"/>
    <cellStyle name="40% - Accent5 3 2 6 3" xfId="21064" xr:uid="{90B1F8D4-F607-4C8D-B06B-393A57467BEE}"/>
    <cellStyle name="40% - Accent5 3 2 6 4" xfId="11765" xr:uid="{22CA8313-EBA7-4C1F-BC22-361730177CA1}"/>
    <cellStyle name="40% - Accent5 3 2 7" xfId="4590" xr:uid="{00000000-0005-0000-0000-0000A6060000}"/>
    <cellStyle name="40% - Accent5 3 2 7 2" xfId="23215" xr:uid="{C13C85F1-B5E1-4D6C-AE06-79BD02BC2A9F}"/>
    <cellStyle name="40% - Accent5 3 2 7 3" xfId="13916" xr:uid="{CEECE80D-73BE-4BAD-B23A-FCF5B9852DCD}"/>
    <cellStyle name="40% - Accent5 3 2 8" xfId="9077" xr:uid="{8842DD15-54E4-487D-B492-3A505722387C}"/>
    <cellStyle name="40% - Accent5 3 2 8 2" xfId="27700" xr:uid="{A9BC9E5D-C82A-47A5-9693-B3F038D43D60}"/>
    <cellStyle name="40% - Accent5 3 2 8 3" xfId="18401" xr:uid="{60F56DE4-B550-46EA-8641-96722A1C8E7D}"/>
    <cellStyle name="40% - Accent5 3 2 9" xfId="18998" xr:uid="{08E4658D-8737-456E-B055-9E2646F71A0A}"/>
    <cellStyle name="40% - Accent5 3 3" xfId="655" xr:uid="{00000000-0005-0000-0000-0000A7060000}"/>
    <cellStyle name="40% - Accent5 3 3 2" xfId="2926" xr:uid="{00000000-0005-0000-0000-0000A8060000}"/>
    <cellStyle name="40% - Accent5 3 3 2 2" xfId="7148" xr:uid="{00000000-0005-0000-0000-0000A9060000}"/>
    <cellStyle name="40% - Accent5 3 3 2 2 2" xfId="25773" xr:uid="{6B7D0EBF-F2D1-4B8C-88B0-085F433647E0}"/>
    <cellStyle name="40% - Accent5 3 3 2 2 3" xfId="16474" xr:uid="{2FE19BE0-DB1E-49FE-B615-6D71F7513854}"/>
    <cellStyle name="40% - Accent5 3 3 2 3" xfId="21556" xr:uid="{976C6910-15C6-4D36-9453-04DBD0D0B520}"/>
    <cellStyle name="40% - Accent5 3 3 2 4" xfId="12257" xr:uid="{88AD00A7-61E8-43AC-B269-714F54029D42}"/>
    <cellStyle name="40% - Accent5 3 3 3" xfId="5003" xr:uid="{00000000-0005-0000-0000-0000AA060000}"/>
    <cellStyle name="40% - Accent5 3 3 3 2" xfId="23628" xr:uid="{515B9F5E-BCEE-4ADF-B2AF-D2FF4429ED99}"/>
    <cellStyle name="40% - Accent5 3 3 3 3" xfId="14329" xr:uid="{BBD69467-B0A1-42D1-883E-E8D5B64D617C}"/>
    <cellStyle name="40% - Accent5 3 3 4" xfId="9295" xr:uid="{0D42C89E-252E-426A-8E1F-7D3AD6B9FE55}"/>
    <cellStyle name="40% - Accent5 3 3 4 2" xfId="27909" xr:uid="{8B9C288C-C076-42E4-9DC5-1B725848D79D}"/>
    <cellStyle name="40% - Accent5 3 3 4 3" xfId="18610" xr:uid="{B9E6D0D5-45FE-4BB7-A97E-773EC95B2400}"/>
    <cellStyle name="40% - Accent5 3 3 5" xfId="19411" xr:uid="{967B0FFB-05A5-4940-ADD1-FA10F98627FF}"/>
    <cellStyle name="40% - Accent5 3 3 6" xfId="10112" xr:uid="{FF8F377C-DBC2-48BF-ACC2-E9EC5287B361}"/>
    <cellStyle name="40% - Accent5 3 4" xfId="1108" xr:uid="{00000000-0005-0000-0000-0000AB060000}"/>
    <cellStyle name="40% - Accent5 3 4 2" xfId="3339" xr:uid="{00000000-0005-0000-0000-0000AC060000}"/>
    <cellStyle name="40% - Accent5 3 4 2 2" xfId="7561" xr:uid="{00000000-0005-0000-0000-0000AD060000}"/>
    <cellStyle name="40% - Accent5 3 4 2 2 2" xfId="26186" xr:uid="{617CB286-CE3A-406C-80E5-9CC260D2C2CA}"/>
    <cellStyle name="40% - Accent5 3 4 2 2 3" xfId="16887" xr:uid="{3ABF8895-D472-4045-8D08-8ED256513BB6}"/>
    <cellStyle name="40% - Accent5 3 4 2 3" xfId="21969" xr:uid="{44B88D82-CFD4-433E-B1FA-4E094542A1E7}"/>
    <cellStyle name="40% - Accent5 3 4 2 4" xfId="12670" xr:uid="{6A73DFF6-2D25-40D5-A08B-D1DD06A1B0DF}"/>
    <cellStyle name="40% - Accent5 3 4 3" xfId="5416" xr:uid="{00000000-0005-0000-0000-0000AE060000}"/>
    <cellStyle name="40% - Accent5 3 4 3 2" xfId="24041" xr:uid="{6D37B559-B22C-41C5-9A5D-874A1434F6B7}"/>
    <cellStyle name="40% - Accent5 3 4 3 3" xfId="14742" xr:uid="{F293F993-09D3-4576-A2A7-AEC1851A6550}"/>
    <cellStyle name="40% - Accent5 3 4 4" xfId="19824" xr:uid="{306666FD-DB2F-493C-B3BD-008F4E54CCC3}"/>
    <cellStyle name="40% - Accent5 3 4 5" xfId="10525" xr:uid="{8F9CB191-2507-4A13-9121-D4EED36D6E83}"/>
    <cellStyle name="40% - Accent5 3 5" xfId="1522" xr:uid="{00000000-0005-0000-0000-0000AF060000}"/>
    <cellStyle name="40% - Accent5 3 5 2" xfId="3752" xr:uid="{00000000-0005-0000-0000-0000B0060000}"/>
    <cellStyle name="40% - Accent5 3 5 2 2" xfId="7974" xr:uid="{00000000-0005-0000-0000-0000B1060000}"/>
    <cellStyle name="40% - Accent5 3 5 2 2 2" xfId="26599" xr:uid="{C1ACCB38-73FE-41D3-BACA-408AE2BF43AC}"/>
    <cellStyle name="40% - Accent5 3 5 2 2 3" xfId="17300" xr:uid="{A39E73FE-84D8-44F4-8A64-1E4FE9923B19}"/>
    <cellStyle name="40% - Accent5 3 5 2 3" xfId="22382" xr:uid="{736F2895-FC55-4303-99E4-B1A41872CB77}"/>
    <cellStyle name="40% - Accent5 3 5 2 4" xfId="13083" xr:uid="{8AD04CC1-6DB1-469F-87EB-3A1199C994CD}"/>
    <cellStyle name="40% - Accent5 3 5 3" xfId="5829" xr:uid="{00000000-0005-0000-0000-0000B2060000}"/>
    <cellStyle name="40% - Accent5 3 5 3 2" xfId="24454" xr:uid="{BF844646-8893-4E57-AC3D-E1E0A7DC2161}"/>
    <cellStyle name="40% - Accent5 3 5 3 3" xfId="15155" xr:uid="{CA23AFBC-0AE3-4FD7-839A-95B36095F749}"/>
    <cellStyle name="40% - Accent5 3 5 4" xfId="20237" xr:uid="{43FF35E9-B794-45F3-A83B-191DC1C6BC02}"/>
    <cellStyle name="40% - Accent5 3 5 5" xfId="10938" xr:uid="{346854C9-6C49-47BB-98DA-AEF49BAD3785}"/>
    <cellStyle name="40% - Accent5 3 6" xfId="1936" xr:uid="{00000000-0005-0000-0000-0000B3060000}"/>
    <cellStyle name="40% - Accent5 3 6 2" xfId="4165" xr:uid="{00000000-0005-0000-0000-0000B4060000}"/>
    <cellStyle name="40% - Accent5 3 6 2 2" xfId="8387" xr:uid="{00000000-0005-0000-0000-0000B5060000}"/>
    <cellStyle name="40% - Accent5 3 6 2 2 2" xfId="27012" xr:uid="{15F20294-0417-4F03-9E99-50285C2A8FD9}"/>
    <cellStyle name="40% - Accent5 3 6 2 2 3" xfId="17713" xr:uid="{0F202117-D52A-4A00-86CC-AECCB064484B}"/>
    <cellStyle name="40% - Accent5 3 6 2 3" xfId="22795" xr:uid="{91968CCF-8E99-4732-ABBC-EAEAE0858C81}"/>
    <cellStyle name="40% - Accent5 3 6 2 4" xfId="13496" xr:uid="{ACDCDFB2-FAF3-4354-8846-C0470072D7BF}"/>
    <cellStyle name="40% - Accent5 3 6 3" xfId="6242" xr:uid="{00000000-0005-0000-0000-0000B6060000}"/>
    <cellStyle name="40% - Accent5 3 6 3 2" xfId="24867" xr:uid="{D5F49FEF-14A7-4A92-9A91-CF6671848A68}"/>
    <cellStyle name="40% - Accent5 3 6 3 3" xfId="15568" xr:uid="{8BE4A108-569D-44FD-8DA1-B0AB7B953266}"/>
    <cellStyle name="40% - Accent5 3 6 4" xfId="20650" xr:uid="{9F574A64-E746-4D86-BD8F-D7416CEC6D1B}"/>
    <cellStyle name="40% - Accent5 3 6 5" xfId="11351" xr:uid="{7173525C-2AAC-47F4-990F-5482F5829A02}"/>
    <cellStyle name="40% - Accent5 3 7" xfId="2349" xr:uid="{00000000-0005-0000-0000-0000B7060000}"/>
    <cellStyle name="40% - Accent5 3 7 2" xfId="6655" xr:uid="{00000000-0005-0000-0000-0000B8060000}"/>
    <cellStyle name="40% - Accent5 3 7 2 2" xfId="25280" xr:uid="{CE2C2A7A-828A-4EAB-BBF8-2B99CDB426C6}"/>
    <cellStyle name="40% - Accent5 3 7 2 3" xfId="15981" xr:uid="{3FE962AC-C068-4C95-8C95-04D019A9CFCC}"/>
    <cellStyle name="40% - Accent5 3 7 3" xfId="21063" xr:uid="{74EAC3CB-2362-4684-8B93-7FB9FFF785D9}"/>
    <cellStyle name="40% - Accent5 3 7 4" xfId="11764" xr:uid="{1456B94D-5E27-47AE-B1E8-6304A7BEB097}"/>
    <cellStyle name="40% - Accent5 3 8" xfId="4589" xr:uid="{00000000-0005-0000-0000-0000B9060000}"/>
    <cellStyle name="40% - Accent5 3 8 2" xfId="23214" xr:uid="{14CCE3D0-84C4-454C-BEAB-F4E5F407EAF2}"/>
    <cellStyle name="40% - Accent5 3 8 3" xfId="13915" xr:uid="{5FDE23C4-2208-402E-9DA9-B9ADC4097463}"/>
    <cellStyle name="40% - Accent5 3 9" xfId="8870" xr:uid="{F7DB5D96-1272-4D48-B3B6-48053CFCBA44}"/>
    <cellStyle name="40% - Accent5 3 9 2" xfId="27493" xr:uid="{C1BE0C71-27D6-43D1-9929-9A1B2EF0F694}"/>
    <cellStyle name="40% - Accent5 3 9 3" xfId="18194" xr:uid="{93B8B2E4-8C4B-4B4A-8636-53C138E37F2C}"/>
    <cellStyle name="40% - Accent5 4" xfId="88" xr:uid="{00000000-0005-0000-0000-0000BA060000}"/>
    <cellStyle name="40% - Accent5 4 10" xfId="9700" xr:uid="{E013A160-FCA9-4049-9669-DF62C1B5ECCD}"/>
    <cellStyle name="40% - Accent5 4 2" xfId="657" xr:uid="{00000000-0005-0000-0000-0000BB060000}"/>
    <cellStyle name="40% - Accent5 4 2 2" xfId="2928" xr:uid="{00000000-0005-0000-0000-0000BC060000}"/>
    <cellStyle name="40% - Accent5 4 2 2 2" xfId="7150" xr:uid="{00000000-0005-0000-0000-0000BD060000}"/>
    <cellStyle name="40% - Accent5 4 2 2 2 2" xfId="25775" xr:uid="{1E558830-F94D-4629-8462-73775B6C9430}"/>
    <cellStyle name="40% - Accent5 4 2 2 2 3" xfId="16476" xr:uid="{525C644D-70FD-4187-9449-E38992514F6B}"/>
    <cellStyle name="40% - Accent5 4 2 2 3" xfId="21558" xr:uid="{86A02BD0-E17B-43C6-A178-70F9AC677837}"/>
    <cellStyle name="40% - Accent5 4 2 2 4" xfId="12259" xr:uid="{7E675E76-2E54-4751-92D2-74E6318B37D7}"/>
    <cellStyle name="40% - Accent5 4 2 3" xfId="5005" xr:uid="{00000000-0005-0000-0000-0000BE060000}"/>
    <cellStyle name="40% - Accent5 4 2 3 2" xfId="23630" xr:uid="{D0E5892B-EC36-4F7F-A03C-6BABE41ADE06}"/>
    <cellStyle name="40% - Accent5 4 2 3 3" xfId="14331" xr:uid="{958BD1E3-5FD0-4B2B-BFCD-68CE4E63DF7C}"/>
    <cellStyle name="40% - Accent5 4 2 4" xfId="9381" xr:uid="{6D86932C-AFC4-4FF0-967D-0F56E90E02E1}"/>
    <cellStyle name="40% - Accent5 4 2 4 2" xfId="27995" xr:uid="{1AABF679-D534-494A-8996-B2EE508F09A5}"/>
    <cellStyle name="40% - Accent5 4 2 4 3" xfId="18696" xr:uid="{20214A1C-CAF2-425D-AF1B-D29D50643639}"/>
    <cellStyle name="40% - Accent5 4 2 5" xfId="19413" xr:uid="{5C23FF56-F58E-4037-B527-2B536D7431D2}"/>
    <cellStyle name="40% - Accent5 4 2 6" xfId="10114" xr:uid="{9A92ECEA-5857-4881-A33F-A8A3245921AF}"/>
    <cellStyle name="40% - Accent5 4 3" xfId="1110" xr:uid="{00000000-0005-0000-0000-0000BF060000}"/>
    <cellStyle name="40% - Accent5 4 3 2" xfId="3341" xr:uid="{00000000-0005-0000-0000-0000C0060000}"/>
    <cellStyle name="40% - Accent5 4 3 2 2" xfId="7563" xr:uid="{00000000-0005-0000-0000-0000C1060000}"/>
    <cellStyle name="40% - Accent5 4 3 2 2 2" xfId="26188" xr:uid="{C477B9DC-68FA-4C96-9A95-E56614210A9A}"/>
    <cellStyle name="40% - Accent5 4 3 2 2 3" xfId="16889" xr:uid="{09192F30-F473-4593-AE8F-641F2F342739}"/>
    <cellStyle name="40% - Accent5 4 3 2 3" xfId="21971" xr:uid="{E5B4C33C-2CBE-4B1C-972D-00D2E9B97FF0}"/>
    <cellStyle name="40% - Accent5 4 3 2 4" xfId="12672" xr:uid="{ED033D76-CD29-452B-90DA-F9A5DE93B956}"/>
    <cellStyle name="40% - Accent5 4 3 3" xfId="5418" xr:uid="{00000000-0005-0000-0000-0000C2060000}"/>
    <cellStyle name="40% - Accent5 4 3 3 2" xfId="24043" xr:uid="{AEAAE4E7-ED5E-404C-B31D-BEC2746B9CF2}"/>
    <cellStyle name="40% - Accent5 4 3 3 3" xfId="14744" xr:uid="{AFAB7104-B98E-41A7-9E4D-6B03249C66CE}"/>
    <cellStyle name="40% - Accent5 4 3 4" xfId="19826" xr:uid="{CB1EDBD4-122B-486D-8432-2D02B6DDEA1C}"/>
    <cellStyle name="40% - Accent5 4 3 5" xfId="10527" xr:uid="{2F2CA0BF-986C-4844-89D0-C5983795BE16}"/>
    <cellStyle name="40% - Accent5 4 4" xfId="1524" xr:uid="{00000000-0005-0000-0000-0000C3060000}"/>
    <cellStyle name="40% - Accent5 4 4 2" xfId="3754" xr:uid="{00000000-0005-0000-0000-0000C4060000}"/>
    <cellStyle name="40% - Accent5 4 4 2 2" xfId="7976" xr:uid="{00000000-0005-0000-0000-0000C5060000}"/>
    <cellStyle name="40% - Accent5 4 4 2 2 2" xfId="26601" xr:uid="{9A8FDB61-BE70-4B91-9248-2750C0003C47}"/>
    <cellStyle name="40% - Accent5 4 4 2 2 3" xfId="17302" xr:uid="{32B6566D-CF24-484A-AB89-1C5766A4C4BA}"/>
    <cellStyle name="40% - Accent5 4 4 2 3" xfId="22384" xr:uid="{013ED565-0B21-40EE-A4D4-090E5C06AD8F}"/>
    <cellStyle name="40% - Accent5 4 4 2 4" xfId="13085" xr:uid="{C85D3DCD-2AE1-4E7E-8E3A-9AE1E26C185A}"/>
    <cellStyle name="40% - Accent5 4 4 3" xfId="5831" xr:uid="{00000000-0005-0000-0000-0000C6060000}"/>
    <cellStyle name="40% - Accent5 4 4 3 2" xfId="24456" xr:uid="{8AB039FE-94F1-4FB0-8644-658EDD2C44D4}"/>
    <cellStyle name="40% - Accent5 4 4 3 3" xfId="15157" xr:uid="{C5FF1CAA-DBBE-42A2-ACD6-F25C70212363}"/>
    <cellStyle name="40% - Accent5 4 4 4" xfId="20239" xr:uid="{C3100E04-511D-441B-BCB0-036A78158FF2}"/>
    <cellStyle name="40% - Accent5 4 4 5" xfId="10940" xr:uid="{0105D4E0-4ADA-413C-B273-B6420111DF51}"/>
    <cellStyle name="40% - Accent5 4 5" xfId="1938" xr:uid="{00000000-0005-0000-0000-0000C7060000}"/>
    <cellStyle name="40% - Accent5 4 5 2" xfId="4167" xr:uid="{00000000-0005-0000-0000-0000C8060000}"/>
    <cellStyle name="40% - Accent5 4 5 2 2" xfId="8389" xr:uid="{00000000-0005-0000-0000-0000C9060000}"/>
    <cellStyle name="40% - Accent5 4 5 2 2 2" xfId="27014" xr:uid="{3E78F60F-F607-49AA-96CD-4F367C6C7782}"/>
    <cellStyle name="40% - Accent5 4 5 2 2 3" xfId="17715" xr:uid="{4AE829BA-DF35-4339-A1FE-6D402A9B625C}"/>
    <cellStyle name="40% - Accent5 4 5 2 3" xfId="22797" xr:uid="{0C569F05-3AD6-4BF8-B162-A689D40B96B1}"/>
    <cellStyle name="40% - Accent5 4 5 2 4" xfId="13498" xr:uid="{538C1F5B-3B8D-4270-811F-10071776C221}"/>
    <cellStyle name="40% - Accent5 4 5 3" xfId="6244" xr:uid="{00000000-0005-0000-0000-0000CA060000}"/>
    <cellStyle name="40% - Accent5 4 5 3 2" xfId="24869" xr:uid="{B1A6E462-3F81-4BBC-BFE8-81BF12AC72D5}"/>
    <cellStyle name="40% - Accent5 4 5 3 3" xfId="15570" xr:uid="{15C849C5-11CF-456C-9B78-704C87DEBECC}"/>
    <cellStyle name="40% - Accent5 4 5 4" xfId="20652" xr:uid="{73DC346A-46B5-46C0-BFC1-F7C0F1E70EF3}"/>
    <cellStyle name="40% - Accent5 4 5 5" xfId="11353" xr:uid="{480ED82C-3A5F-46ED-90BC-C45F7B24A2F6}"/>
    <cellStyle name="40% - Accent5 4 6" xfId="2351" xr:uid="{00000000-0005-0000-0000-0000CB060000}"/>
    <cellStyle name="40% - Accent5 4 6 2" xfId="6657" xr:uid="{00000000-0005-0000-0000-0000CC060000}"/>
    <cellStyle name="40% - Accent5 4 6 2 2" xfId="25282" xr:uid="{F48B9B20-73B1-49D0-9F60-331321742D3F}"/>
    <cellStyle name="40% - Accent5 4 6 2 3" xfId="15983" xr:uid="{3196A47D-B386-47A5-892C-1260735AEE12}"/>
    <cellStyle name="40% - Accent5 4 6 3" xfId="21065" xr:uid="{88DE357C-D082-45B3-B2EB-823C96B2C0D8}"/>
    <cellStyle name="40% - Accent5 4 6 4" xfId="11766" xr:uid="{D433B470-A6C8-4FEB-BA27-92555931E4C7}"/>
    <cellStyle name="40% - Accent5 4 7" xfId="4591" xr:uid="{00000000-0005-0000-0000-0000CD060000}"/>
    <cellStyle name="40% - Accent5 4 7 2" xfId="23216" xr:uid="{F8CD437D-ABE2-44F5-B343-04924F300DE9}"/>
    <cellStyle name="40% - Accent5 4 7 3" xfId="13917" xr:uid="{A0283C83-731E-45B1-8B60-BB16112FDED4}"/>
    <cellStyle name="40% - Accent5 4 8" xfId="8956" xr:uid="{20EBAEFE-DF5E-4B38-878B-CDA5BD3DABC1}"/>
    <cellStyle name="40% - Accent5 4 8 2" xfId="27579" xr:uid="{6B85B3C5-0D06-4A58-82CC-3A0A9D3E1F45}"/>
    <cellStyle name="40% - Accent5 4 8 3" xfId="18280" xr:uid="{02864359-C65B-4619-AFCA-A6555FF43445}"/>
    <cellStyle name="40% - Accent5 4 9" xfId="18999" xr:uid="{82A14203-5853-4B30-9F66-A4B63E895757}"/>
    <cellStyle name="40% - Accent5 5" xfId="650" xr:uid="{00000000-0005-0000-0000-0000CE060000}"/>
    <cellStyle name="40% - Accent5 5 2" xfId="2921" xr:uid="{00000000-0005-0000-0000-0000CF060000}"/>
    <cellStyle name="40% - Accent5 5 2 2" xfId="7143" xr:uid="{00000000-0005-0000-0000-0000D0060000}"/>
    <cellStyle name="40% - Accent5 5 2 2 2" xfId="25768" xr:uid="{67DA15AF-857E-4127-AB24-CE4758862008}"/>
    <cellStyle name="40% - Accent5 5 2 2 3" xfId="16469" xr:uid="{37010476-7039-4F27-8CCA-B5152B57C66F}"/>
    <cellStyle name="40% - Accent5 5 2 3" xfId="21551" xr:uid="{0BD0791F-DEC6-409A-A6D5-C77D34B6C89E}"/>
    <cellStyle name="40% - Accent5 5 2 4" xfId="12252" xr:uid="{1D650D99-A2CE-467F-BFE2-3CBED2CB7DA7}"/>
    <cellStyle name="40% - Accent5 5 3" xfId="4998" xr:uid="{00000000-0005-0000-0000-0000D1060000}"/>
    <cellStyle name="40% - Accent5 5 3 2" xfId="23623" xr:uid="{5918F20D-7A6F-4DE2-ADFA-DF28D1A47BBE}"/>
    <cellStyle name="40% - Accent5 5 3 3" xfId="14324" xr:uid="{455901AB-AA66-4060-8F05-B14FD36AF1AA}"/>
    <cellStyle name="40% - Accent5 5 4" xfId="9189" xr:uid="{AE9A155E-B06B-4FF1-8984-8F7810581B15}"/>
    <cellStyle name="40% - Accent5 5 4 2" xfId="27806" xr:uid="{1318A358-676D-48B9-B63B-90C3D5E20F74}"/>
    <cellStyle name="40% - Accent5 5 4 3" xfId="18507" xr:uid="{EDF9805B-3FD8-4966-858C-6301ACB6363B}"/>
    <cellStyle name="40% - Accent5 5 5" xfId="19406" xr:uid="{3688FAA9-2754-4F14-B3D6-0672F8338465}"/>
    <cellStyle name="40% - Accent5 5 6" xfId="10107" xr:uid="{CAED9D60-ED07-4E08-A3BC-6A5274A41BA4}"/>
    <cellStyle name="40% - Accent5 6" xfId="1103" xr:uid="{00000000-0005-0000-0000-0000D2060000}"/>
    <cellStyle name="40% - Accent5 6 2" xfId="3334" xr:uid="{00000000-0005-0000-0000-0000D3060000}"/>
    <cellStyle name="40% - Accent5 6 2 2" xfId="7556" xr:uid="{00000000-0005-0000-0000-0000D4060000}"/>
    <cellStyle name="40% - Accent5 6 2 2 2" xfId="26181" xr:uid="{E9B9979B-B45A-41DD-8C96-C2E3E2751B48}"/>
    <cellStyle name="40% - Accent5 6 2 2 3" xfId="16882" xr:uid="{5015F6FE-FCDB-4A2B-A803-5085E4955FF2}"/>
    <cellStyle name="40% - Accent5 6 2 3" xfId="21964" xr:uid="{1DC8E44A-271D-454A-8E5A-D9343C29F832}"/>
    <cellStyle name="40% - Accent5 6 2 4" xfId="12665" xr:uid="{42110A9C-AD1E-494F-8EB7-B7D08534BCAC}"/>
    <cellStyle name="40% - Accent5 6 3" xfId="5411" xr:uid="{00000000-0005-0000-0000-0000D5060000}"/>
    <cellStyle name="40% - Accent5 6 3 2" xfId="24036" xr:uid="{6E2D7868-7F2D-4CD4-8E75-CF5066CB603D}"/>
    <cellStyle name="40% - Accent5 6 3 3" xfId="14737" xr:uid="{0959DB9A-D9CF-41FA-BDA0-65A06C512D4F}"/>
    <cellStyle name="40% - Accent5 6 4" xfId="19819" xr:uid="{C7F286B1-B06C-484B-BC01-88625AB36160}"/>
    <cellStyle name="40% - Accent5 6 5" xfId="10520" xr:uid="{06A04BF1-3392-4544-8145-C38B65178A04}"/>
    <cellStyle name="40% - Accent5 7" xfId="1517" xr:uid="{00000000-0005-0000-0000-0000D6060000}"/>
    <cellStyle name="40% - Accent5 7 2" xfId="3747" xr:uid="{00000000-0005-0000-0000-0000D7060000}"/>
    <cellStyle name="40% - Accent5 7 2 2" xfId="7969" xr:uid="{00000000-0005-0000-0000-0000D8060000}"/>
    <cellStyle name="40% - Accent5 7 2 2 2" xfId="26594" xr:uid="{9DAF1F9A-443B-4E2B-8C14-32B266F8E162}"/>
    <cellStyle name="40% - Accent5 7 2 2 3" xfId="17295" xr:uid="{9D1F94D8-7616-4EDB-B013-94F8F5DFD501}"/>
    <cellStyle name="40% - Accent5 7 2 3" xfId="22377" xr:uid="{6D96BED2-E67C-404E-9EA3-7BB9C36C0054}"/>
    <cellStyle name="40% - Accent5 7 2 4" xfId="13078" xr:uid="{71CF9A9B-364D-4E75-BD2C-87D66E1F56DF}"/>
    <cellStyle name="40% - Accent5 7 3" xfId="5824" xr:uid="{00000000-0005-0000-0000-0000D9060000}"/>
    <cellStyle name="40% - Accent5 7 3 2" xfId="24449" xr:uid="{BDE02068-2A5A-43F3-88AB-DD585FB1DD93}"/>
    <cellStyle name="40% - Accent5 7 3 3" xfId="15150" xr:uid="{B19E623E-6CAE-4B49-8BA5-E9C0F33C83AF}"/>
    <cellStyle name="40% - Accent5 7 4" xfId="20232" xr:uid="{0A977BC3-859C-4F69-B29A-540AAF865877}"/>
    <cellStyle name="40% - Accent5 7 5" xfId="10933" xr:uid="{0316D41D-264A-40BC-99B9-ED0B34BA5CB9}"/>
    <cellStyle name="40% - Accent5 8" xfId="1931" xr:uid="{00000000-0005-0000-0000-0000DA060000}"/>
    <cellStyle name="40% - Accent5 8 2" xfId="4160" xr:uid="{00000000-0005-0000-0000-0000DB060000}"/>
    <cellStyle name="40% - Accent5 8 2 2" xfId="8382" xr:uid="{00000000-0005-0000-0000-0000DC060000}"/>
    <cellStyle name="40% - Accent5 8 2 2 2" xfId="27007" xr:uid="{FAA0EAB3-5DEF-4ED0-A6D1-68B25CA27DB0}"/>
    <cellStyle name="40% - Accent5 8 2 2 3" xfId="17708" xr:uid="{26B256CE-786E-4598-B35A-0D0640CE86C8}"/>
    <cellStyle name="40% - Accent5 8 2 3" xfId="22790" xr:uid="{88557EF5-5173-429B-B8CA-3A958365044C}"/>
    <cellStyle name="40% - Accent5 8 2 4" xfId="13491" xr:uid="{05956F94-1D0F-499E-B93E-6887557ABA00}"/>
    <cellStyle name="40% - Accent5 8 3" xfId="6237" xr:uid="{00000000-0005-0000-0000-0000DD060000}"/>
    <cellStyle name="40% - Accent5 8 3 2" xfId="24862" xr:uid="{5F86A952-87A9-4E12-82E4-3E70302522FB}"/>
    <cellStyle name="40% - Accent5 8 3 3" xfId="15563" xr:uid="{3F5A9776-30D7-48CB-B35D-E9BEB97A6569}"/>
    <cellStyle name="40% - Accent5 8 4" xfId="20645" xr:uid="{837D433D-8F61-4635-A271-4980437BFA22}"/>
    <cellStyle name="40% - Accent5 8 5" xfId="11346" xr:uid="{AEBCFD1F-032A-48DD-BC23-6AA080FAEFA7}"/>
    <cellStyle name="40% - Accent5 9" xfId="2344" xr:uid="{00000000-0005-0000-0000-0000DE060000}"/>
    <cellStyle name="40% - Accent5 9 2" xfId="6650" xr:uid="{00000000-0005-0000-0000-0000DF060000}"/>
    <cellStyle name="40% - Accent5 9 2 2" xfId="25275" xr:uid="{D200ED6E-0C2A-490C-BE9F-8635669114AD}"/>
    <cellStyle name="40% - Accent5 9 2 3" xfId="15976" xr:uid="{E08B82BE-983B-461A-9D9D-063F3A7E802B}"/>
    <cellStyle name="40% - Accent5 9 3" xfId="21058" xr:uid="{87B8382F-103A-4910-A6F9-59AA22CAA118}"/>
    <cellStyle name="40% - Accent5 9 4" xfId="11759" xr:uid="{BE28A4B8-D961-4714-A35D-4D62A59CF81E}"/>
    <cellStyle name="40% - Accent6" xfId="89" builtinId="51" customBuiltin="1"/>
    <cellStyle name="40% - Accent6 10" xfId="4592" xr:uid="{00000000-0005-0000-0000-0000E1060000}"/>
    <cellStyle name="40% - Accent6 10 2" xfId="23217" xr:uid="{65F1110C-95DA-48FF-A74C-4D8DD30C27D2}"/>
    <cellStyle name="40% - Accent6 10 3" xfId="13918" xr:uid="{7E4ACDA8-849F-4802-9A83-B5370008D6AE}"/>
    <cellStyle name="40% - Accent6 11" xfId="8769" xr:uid="{8369FE49-3815-490F-BF3A-3BEB88E35DFA}"/>
    <cellStyle name="40% - Accent6 11 2" xfId="27392" xr:uid="{62A8F8B4-EA6D-49F2-8F1D-6201A62AB6DD}"/>
    <cellStyle name="40% - Accent6 11 3" xfId="18093" xr:uid="{B736241D-B17E-429B-97B2-6E4C55CD3307}"/>
    <cellStyle name="40% - Accent6 12" xfId="19000" xr:uid="{9521242F-F4A3-4E95-96C1-1700BF9375B3}"/>
    <cellStyle name="40% - Accent6 13" xfId="9701" xr:uid="{0C22E1D1-3BD1-412E-AD05-76E53EE300C8}"/>
    <cellStyle name="40% - Accent6 2" xfId="90" xr:uid="{00000000-0005-0000-0000-0000E2060000}"/>
    <cellStyle name="40% - Accent6 2 10" xfId="8803" xr:uid="{3530B69D-EB1D-41EA-A6FB-440FE4FE29AB}"/>
    <cellStyle name="40% - Accent6 2 10 2" xfId="27426" xr:uid="{1EA913FB-D651-46AC-BFF8-6F4A25D57095}"/>
    <cellStyle name="40% - Accent6 2 10 3" xfId="18127" xr:uid="{01379F91-494B-41F9-BD85-1973C61D41DC}"/>
    <cellStyle name="40% - Accent6 2 11" xfId="19001" xr:uid="{0C2148F9-9D41-4CC5-A919-7CF4FA4EB15C}"/>
    <cellStyle name="40% - Accent6 2 12" xfId="9702" xr:uid="{02123212-1923-487B-BA98-429A7AC3A49D}"/>
    <cellStyle name="40% - Accent6 2 2" xfId="91" xr:uid="{00000000-0005-0000-0000-0000E3060000}"/>
    <cellStyle name="40% - Accent6 2 2 10" xfId="19002" xr:uid="{E2A20AF1-E090-468F-8A78-34C44CD937B2}"/>
    <cellStyle name="40% - Accent6 2 2 11" xfId="9703" xr:uid="{987B2876-26A0-45A1-AF97-628DA6CDF1DD}"/>
    <cellStyle name="40% - Accent6 2 2 2" xfId="92" xr:uid="{00000000-0005-0000-0000-0000E4060000}"/>
    <cellStyle name="40% - Accent6 2 2 2 10" xfId="9704" xr:uid="{B9778731-613C-41B6-B717-56D61F69A0FA}"/>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2 2 2" xfId="25779" xr:uid="{B16FD084-177D-46D0-B6E2-3A449D9A8523}"/>
    <cellStyle name="40% - Accent6 2 2 2 2 2 2 3" xfId="16480" xr:uid="{DD6B185D-B0AC-4D65-A4EA-D0737EFA3F8F}"/>
    <cellStyle name="40% - Accent6 2 2 2 2 2 3" xfId="21562" xr:uid="{8969BE94-DADD-4DB0-882D-0C1D61629B1E}"/>
    <cellStyle name="40% - Accent6 2 2 2 2 2 4" xfId="12263" xr:uid="{91A74A08-E855-42E5-9742-04AB5C9FC426}"/>
    <cellStyle name="40% - Accent6 2 2 2 2 3" xfId="5009" xr:uid="{00000000-0005-0000-0000-0000E8060000}"/>
    <cellStyle name="40% - Accent6 2 2 2 2 3 2" xfId="23634" xr:uid="{348C3314-D252-4671-AEEA-1F908B74953F}"/>
    <cellStyle name="40% - Accent6 2 2 2 2 3 3" xfId="14335" xr:uid="{1AAB2AC2-E900-460D-9233-725F86A7EC6B}"/>
    <cellStyle name="40% - Accent6 2 2 2 2 4" xfId="9538" xr:uid="{D1801D0B-FDF1-4C59-8DE2-DEC53081BC5D}"/>
    <cellStyle name="40% - Accent6 2 2 2 2 4 2" xfId="28152" xr:uid="{B29B736C-83AC-4C20-B50B-E9F3D4729DA8}"/>
    <cellStyle name="40% - Accent6 2 2 2 2 4 3" xfId="18853" xr:uid="{20E13D6C-693A-4A2E-A756-C91B3F701B81}"/>
    <cellStyle name="40% - Accent6 2 2 2 2 5" xfId="19417" xr:uid="{0D2A846A-5687-4E97-835F-30D37A41F8AA}"/>
    <cellStyle name="40% - Accent6 2 2 2 2 6" xfId="10118" xr:uid="{6E566BEB-14ED-4FFC-8819-E62312BF3541}"/>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2 2 2" xfId="26192" xr:uid="{C3326542-A1A9-494D-93A6-9AD428FA4C31}"/>
    <cellStyle name="40% - Accent6 2 2 2 3 2 2 3" xfId="16893" xr:uid="{2FD807B6-B0D1-41C3-9352-3387925BC656}"/>
    <cellStyle name="40% - Accent6 2 2 2 3 2 3" xfId="21975" xr:uid="{60AA956D-CBA2-41DC-81E9-05F01F8E9BFA}"/>
    <cellStyle name="40% - Accent6 2 2 2 3 2 4" xfId="12676" xr:uid="{61478305-DC5A-4842-9AF0-3964992BF673}"/>
    <cellStyle name="40% - Accent6 2 2 2 3 3" xfId="5422" xr:uid="{00000000-0005-0000-0000-0000EC060000}"/>
    <cellStyle name="40% - Accent6 2 2 2 3 3 2" xfId="24047" xr:uid="{A63AD622-D02A-4742-A83A-D57CC2149077}"/>
    <cellStyle name="40% - Accent6 2 2 2 3 3 3" xfId="14748" xr:uid="{10D208C9-9CB5-4CE6-B05B-12BCC25C4465}"/>
    <cellStyle name="40% - Accent6 2 2 2 3 4" xfId="19830" xr:uid="{DF7F5D3E-69DE-4774-9E27-309F73BF605F}"/>
    <cellStyle name="40% - Accent6 2 2 2 3 5" xfId="10531" xr:uid="{218C0662-51B3-4CA5-BA0B-B4D6704CA8C5}"/>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2 2 2" xfId="26605" xr:uid="{1E3967E5-E897-4CA2-B5F1-936F1D6E9CF2}"/>
    <cellStyle name="40% - Accent6 2 2 2 4 2 2 3" xfId="17306" xr:uid="{B1684049-744A-4D0F-8E8A-EB94E345505E}"/>
    <cellStyle name="40% - Accent6 2 2 2 4 2 3" xfId="22388" xr:uid="{D91F583F-3C1E-4153-9F86-702CFE8E84E8}"/>
    <cellStyle name="40% - Accent6 2 2 2 4 2 4" xfId="13089" xr:uid="{493ECFDB-4DA6-4A26-A980-E8DC253ADC00}"/>
    <cellStyle name="40% - Accent6 2 2 2 4 3" xfId="5835" xr:uid="{00000000-0005-0000-0000-0000F0060000}"/>
    <cellStyle name="40% - Accent6 2 2 2 4 3 2" xfId="24460" xr:uid="{9753C412-CCF1-4F3C-BAA0-AE87E7DEB40D}"/>
    <cellStyle name="40% - Accent6 2 2 2 4 3 3" xfId="15161" xr:uid="{A4ACD27C-A19F-43E7-B512-083FD82E535F}"/>
    <cellStyle name="40% - Accent6 2 2 2 4 4" xfId="20243" xr:uid="{FB1695D1-52CC-41C5-BD44-46B59FA57753}"/>
    <cellStyle name="40% - Accent6 2 2 2 4 5" xfId="10944" xr:uid="{77B1DF13-7BF8-430B-A760-B9EC34393B24}"/>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2 2 2" xfId="27018" xr:uid="{A9F814AC-6CDD-47FB-A7CA-DFA444D02BC3}"/>
    <cellStyle name="40% - Accent6 2 2 2 5 2 2 3" xfId="17719" xr:uid="{044125C9-0D90-4A44-AD29-B9EDBCF4B409}"/>
    <cellStyle name="40% - Accent6 2 2 2 5 2 3" xfId="22801" xr:uid="{54F11335-AE3F-4263-BFB0-6C1443133BBA}"/>
    <cellStyle name="40% - Accent6 2 2 2 5 2 4" xfId="13502" xr:uid="{218DAACD-DDF2-4ECA-8430-4738E91F025A}"/>
    <cellStyle name="40% - Accent6 2 2 2 5 3" xfId="6248" xr:uid="{00000000-0005-0000-0000-0000F4060000}"/>
    <cellStyle name="40% - Accent6 2 2 2 5 3 2" xfId="24873" xr:uid="{CC79439F-8526-45A7-B362-71C0BDA0EF0A}"/>
    <cellStyle name="40% - Accent6 2 2 2 5 3 3" xfId="15574" xr:uid="{F7CF482A-249D-4BF9-8835-13CD3EFB2F33}"/>
    <cellStyle name="40% - Accent6 2 2 2 5 4" xfId="20656" xr:uid="{FF2FF684-1820-4CC2-BA23-EC060C9AFFB7}"/>
    <cellStyle name="40% - Accent6 2 2 2 5 5" xfId="11357" xr:uid="{F95BB331-3C46-4FC3-9076-730F5C16014E}"/>
    <cellStyle name="40% - Accent6 2 2 2 6" xfId="2355" xr:uid="{00000000-0005-0000-0000-0000F5060000}"/>
    <cellStyle name="40% - Accent6 2 2 2 6 2" xfId="6661" xr:uid="{00000000-0005-0000-0000-0000F6060000}"/>
    <cellStyle name="40% - Accent6 2 2 2 6 2 2" xfId="25286" xr:uid="{9AC3DC42-DF83-408C-AD03-EF3A4C4DA346}"/>
    <cellStyle name="40% - Accent6 2 2 2 6 2 3" xfId="15987" xr:uid="{AC4FE556-A32A-4E36-B565-CED0445061CA}"/>
    <cellStyle name="40% - Accent6 2 2 2 6 3" xfId="21069" xr:uid="{19D31005-7865-4660-9006-4DD84B0D4940}"/>
    <cellStyle name="40% - Accent6 2 2 2 6 4" xfId="11770" xr:uid="{6D1C0ACD-0E6B-473F-9F74-611666A6C436}"/>
    <cellStyle name="40% - Accent6 2 2 2 7" xfId="4595" xr:uid="{00000000-0005-0000-0000-0000F7060000}"/>
    <cellStyle name="40% - Accent6 2 2 2 7 2" xfId="23220" xr:uid="{76FFC60F-F412-41B4-8A83-F7BD98E6E795}"/>
    <cellStyle name="40% - Accent6 2 2 2 7 3" xfId="13921" xr:uid="{0195CDE8-B9D0-44DC-BC09-D762CEBE70F4}"/>
    <cellStyle name="40% - Accent6 2 2 2 8" xfId="9113" xr:uid="{D9373B4A-E1DA-437A-874A-FCE4D00708EB}"/>
    <cellStyle name="40% - Accent6 2 2 2 8 2" xfId="27736" xr:uid="{9B650666-FC62-4588-B1FD-41039D39FC14}"/>
    <cellStyle name="40% - Accent6 2 2 2 8 3" xfId="18437" xr:uid="{C6AFC16B-C979-4CCA-BD85-0EB386C6E3E6}"/>
    <cellStyle name="40% - Accent6 2 2 2 9" xfId="19003" xr:uid="{A63D87D7-6D7E-45CF-8F83-4A7382CD0D5D}"/>
    <cellStyle name="40% - Accent6 2 2 3" xfId="660" xr:uid="{00000000-0005-0000-0000-0000F8060000}"/>
    <cellStyle name="40% - Accent6 2 2 3 2" xfId="2931" xr:uid="{00000000-0005-0000-0000-0000F9060000}"/>
    <cellStyle name="40% - Accent6 2 2 3 2 2" xfId="7153" xr:uid="{00000000-0005-0000-0000-0000FA060000}"/>
    <cellStyle name="40% - Accent6 2 2 3 2 2 2" xfId="25778" xr:uid="{BBE432DC-63DA-44EB-B080-2DACB4F864B6}"/>
    <cellStyle name="40% - Accent6 2 2 3 2 2 3" xfId="16479" xr:uid="{A9F4F4A7-6FD6-4313-9325-5C7CD1963593}"/>
    <cellStyle name="40% - Accent6 2 2 3 2 3" xfId="21561" xr:uid="{B63150BE-5C0A-409E-B897-357AD4FDCCD5}"/>
    <cellStyle name="40% - Accent6 2 2 3 2 4" xfId="12262" xr:uid="{32A58C4A-991C-4866-927F-8FF1BB1EEB43}"/>
    <cellStyle name="40% - Accent6 2 2 3 3" xfId="5008" xr:uid="{00000000-0005-0000-0000-0000FB060000}"/>
    <cellStyle name="40% - Accent6 2 2 3 3 2" xfId="23633" xr:uid="{AC959076-C19C-46BF-A02E-84BDA1198CC1}"/>
    <cellStyle name="40% - Accent6 2 2 3 3 3" xfId="14334" xr:uid="{8F705857-DAD5-4AD0-AB0D-FC41C29BEDC5}"/>
    <cellStyle name="40% - Accent6 2 2 3 4" xfId="9331" xr:uid="{223B62DA-AA8A-4703-B6D5-D6AA8918B034}"/>
    <cellStyle name="40% - Accent6 2 2 3 4 2" xfId="27945" xr:uid="{33518128-2DF1-4057-BE21-D95AB31A9D08}"/>
    <cellStyle name="40% - Accent6 2 2 3 4 3" xfId="18646" xr:uid="{134674F2-002D-4E47-B77B-FF4839110F3F}"/>
    <cellStyle name="40% - Accent6 2 2 3 5" xfId="19416" xr:uid="{CFCA6FF1-57F5-413D-876C-9181ED3D9417}"/>
    <cellStyle name="40% - Accent6 2 2 3 6" xfId="10117" xr:uid="{30A49DBB-2418-4625-9076-AD1BA17D50C5}"/>
    <cellStyle name="40% - Accent6 2 2 4" xfId="1113" xr:uid="{00000000-0005-0000-0000-0000FC060000}"/>
    <cellStyle name="40% - Accent6 2 2 4 2" xfId="3344" xr:uid="{00000000-0005-0000-0000-0000FD060000}"/>
    <cellStyle name="40% - Accent6 2 2 4 2 2" xfId="7566" xr:uid="{00000000-0005-0000-0000-0000FE060000}"/>
    <cellStyle name="40% - Accent6 2 2 4 2 2 2" xfId="26191" xr:uid="{09D4BA6C-EDAC-40E6-BFBA-D01A53C7D3A3}"/>
    <cellStyle name="40% - Accent6 2 2 4 2 2 3" xfId="16892" xr:uid="{33DC50CE-61AA-43F1-A34B-10BB605340A4}"/>
    <cellStyle name="40% - Accent6 2 2 4 2 3" xfId="21974" xr:uid="{635163A2-203E-49C5-8823-42FD0A8C9AAA}"/>
    <cellStyle name="40% - Accent6 2 2 4 2 4" xfId="12675" xr:uid="{B7305019-1199-455F-96B6-547D0626BAA6}"/>
    <cellStyle name="40% - Accent6 2 2 4 3" xfId="5421" xr:uid="{00000000-0005-0000-0000-0000FF060000}"/>
    <cellStyle name="40% - Accent6 2 2 4 3 2" xfId="24046" xr:uid="{2D26C8A4-19BC-4D3B-BD76-872D0E18C1DF}"/>
    <cellStyle name="40% - Accent6 2 2 4 3 3" xfId="14747" xr:uid="{B12DF401-FD22-48BA-AE82-8D99C796814C}"/>
    <cellStyle name="40% - Accent6 2 2 4 4" xfId="19829" xr:uid="{827FBD5B-F857-4839-953B-2F09C0F7C66B}"/>
    <cellStyle name="40% - Accent6 2 2 4 5" xfId="10530" xr:uid="{72E16A14-09D6-41B8-9FA2-5C4C33A22571}"/>
    <cellStyle name="40% - Accent6 2 2 5" xfId="1527" xr:uid="{00000000-0005-0000-0000-000000070000}"/>
    <cellStyle name="40% - Accent6 2 2 5 2" xfId="3757" xr:uid="{00000000-0005-0000-0000-000001070000}"/>
    <cellStyle name="40% - Accent6 2 2 5 2 2" xfId="7979" xr:uid="{00000000-0005-0000-0000-000002070000}"/>
    <cellStyle name="40% - Accent6 2 2 5 2 2 2" xfId="26604" xr:uid="{61CC6742-57A7-45CA-A132-7EFE2A0AFE87}"/>
    <cellStyle name="40% - Accent6 2 2 5 2 2 3" xfId="17305" xr:uid="{190C97EC-E0A7-47E2-AC86-CA4FDDD55D9A}"/>
    <cellStyle name="40% - Accent6 2 2 5 2 3" xfId="22387" xr:uid="{500D1628-FD9C-41FB-8C0C-456F742E525C}"/>
    <cellStyle name="40% - Accent6 2 2 5 2 4" xfId="13088" xr:uid="{AB68A127-CC99-48C4-8A3E-53611FEA4164}"/>
    <cellStyle name="40% - Accent6 2 2 5 3" xfId="5834" xr:uid="{00000000-0005-0000-0000-000003070000}"/>
    <cellStyle name="40% - Accent6 2 2 5 3 2" xfId="24459" xr:uid="{4CFD2C78-F49A-4379-8028-587670C9CCB4}"/>
    <cellStyle name="40% - Accent6 2 2 5 3 3" xfId="15160" xr:uid="{DC11B0CE-EF20-4BD3-8081-F4CB46FBBE29}"/>
    <cellStyle name="40% - Accent6 2 2 5 4" xfId="20242" xr:uid="{C5160AE3-8F06-4805-8CDF-E7CD82115818}"/>
    <cellStyle name="40% - Accent6 2 2 5 5" xfId="10943" xr:uid="{65A12B47-DBBF-4935-A2EE-57392F340889}"/>
    <cellStyle name="40% - Accent6 2 2 6" xfId="1941" xr:uid="{00000000-0005-0000-0000-000004070000}"/>
    <cellStyle name="40% - Accent6 2 2 6 2" xfId="4170" xr:uid="{00000000-0005-0000-0000-000005070000}"/>
    <cellStyle name="40% - Accent6 2 2 6 2 2" xfId="8392" xr:uid="{00000000-0005-0000-0000-000006070000}"/>
    <cellStyle name="40% - Accent6 2 2 6 2 2 2" xfId="27017" xr:uid="{10205B74-B7F5-479E-80CC-B904CBB40C35}"/>
    <cellStyle name="40% - Accent6 2 2 6 2 2 3" xfId="17718" xr:uid="{0E8FBC40-F6F6-4A16-BC66-78E6340CDD8A}"/>
    <cellStyle name="40% - Accent6 2 2 6 2 3" xfId="22800" xr:uid="{523DDBFE-BFA2-49CE-8359-9011B5C60078}"/>
    <cellStyle name="40% - Accent6 2 2 6 2 4" xfId="13501" xr:uid="{D351E4E1-847B-4F5B-8E70-3D37D85B8D66}"/>
    <cellStyle name="40% - Accent6 2 2 6 3" xfId="6247" xr:uid="{00000000-0005-0000-0000-000007070000}"/>
    <cellStyle name="40% - Accent6 2 2 6 3 2" xfId="24872" xr:uid="{3C604A51-BDE0-475E-A107-F46D50044B03}"/>
    <cellStyle name="40% - Accent6 2 2 6 3 3" xfId="15573" xr:uid="{FF327FA8-4945-4AF2-9842-6A46BBC25E30}"/>
    <cellStyle name="40% - Accent6 2 2 6 4" xfId="20655" xr:uid="{93FF272C-A5B7-43F3-B6A7-611D377C43DE}"/>
    <cellStyle name="40% - Accent6 2 2 6 5" xfId="11356" xr:uid="{75E0B43B-726C-42AD-97A3-B60B40917A81}"/>
    <cellStyle name="40% - Accent6 2 2 7" xfId="2354" xr:uid="{00000000-0005-0000-0000-000008070000}"/>
    <cellStyle name="40% - Accent6 2 2 7 2" xfId="6660" xr:uid="{00000000-0005-0000-0000-000009070000}"/>
    <cellStyle name="40% - Accent6 2 2 7 2 2" xfId="25285" xr:uid="{D718F572-A394-44BB-8429-836295B9E143}"/>
    <cellStyle name="40% - Accent6 2 2 7 2 3" xfId="15986" xr:uid="{AC0CCF65-A708-410B-99CC-A603DFB8A25A}"/>
    <cellStyle name="40% - Accent6 2 2 7 3" xfId="21068" xr:uid="{D4422591-595A-4DC3-BCF3-9BE578A8F6CD}"/>
    <cellStyle name="40% - Accent6 2 2 7 4" xfId="11769" xr:uid="{666AD053-79F1-4F7B-93CB-BE407F1F401B}"/>
    <cellStyle name="40% - Accent6 2 2 8" xfId="4594" xr:uid="{00000000-0005-0000-0000-00000A070000}"/>
    <cellStyle name="40% - Accent6 2 2 8 2" xfId="23219" xr:uid="{3FCE1175-04E9-48CE-8021-A637A7AD4F47}"/>
    <cellStyle name="40% - Accent6 2 2 8 3" xfId="13920" xr:uid="{937B038C-B429-478A-A1EB-DE2318CEEFFE}"/>
    <cellStyle name="40% - Accent6 2 2 9" xfId="8906" xr:uid="{C30FCA09-BA1A-4F54-9397-4FC676425C46}"/>
    <cellStyle name="40% - Accent6 2 2 9 2" xfId="27529" xr:uid="{BABE377E-8D31-4170-8BFE-CBF1934EABD3}"/>
    <cellStyle name="40% - Accent6 2 2 9 3" xfId="18230" xr:uid="{D62885B0-4D5D-4740-A868-EA206E436D29}"/>
    <cellStyle name="40% - Accent6 2 3" xfId="93" xr:uid="{00000000-0005-0000-0000-00000B070000}"/>
    <cellStyle name="40% - Accent6 2 3 10" xfId="9705" xr:uid="{B965AD28-F68C-4DC1-9BD6-47B549CA8979}"/>
    <cellStyle name="40% - Accent6 2 3 2" xfId="662" xr:uid="{00000000-0005-0000-0000-00000C070000}"/>
    <cellStyle name="40% - Accent6 2 3 2 2" xfId="2933" xr:uid="{00000000-0005-0000-0000-00000D070000}"/>
    <cellStyle name="40% - Accent6 2 3 2 2 2" xfId="7155" xr:uid="{00000000-0005-0000-0000-00000E070000}"/>
    <cellStyle name="40% - Accent6 2 3 2 2 2 2" xfId="25780" xr:uid="{235C8469-D0DF-42F9-A669-93D50847C094}"/>
    <cellStyle name="40% - Accent6 2 3 2 2 2 3" xfId="16481" xr:uid="{59283E21-ABCC-4585-B2A8-23750EC02071}"/>
    <cellStyle name="40% - Accent6 2 3 2 2 3" xfId="21563" xr:uid="{31939D57-7278-44A8-8FB1-005C28281DBB}"/>
    <cellStyle name="40% - Accent6 2 3 2 2 4" xfId="12264" xr:uid="{954AFA63-C2C4-4402-8077-1C45E5A27E53}"/>
    <cellStyle name="40% - Accent6 2 3 2 3" xfId="5010" xr:uid="{00000000-0005-0000-0000-00000F070000}"/>
    <cellStyle name="40% - Accent6 2 3 2 3 2" xfId="23635" xr:uid="{B9A958D5-FCCD-4777-ABF9-599472B8DF2D}"/>
    <cellStyle name="40% - Accent6 2 3 2 3 3" xfId="14336" xr:uid="{673CB0A2-9396-44E7-AEA0-C684285B9F33}"/>
    <cellStyle name="40% - Accent6 2 3 2 4" xfId="9435" xr:uid="{36535681-1736-4584-8CB6-F8F38C9E0E5B}"/>
    <cellStyle name="40% - Accent6 2 3 2 4 2" xfId="28049" xr:uid="{BB203F4A-F5C2-4071-B300-463487D8BF23}"/>
    <cellStyle name="40% - Accent6 2 3 2 4 3" xfId="18750" xr:uid="{C86C2A8E-3241-4769-97A0-E9A796AEAB48}"/>
    <cellStyle name="40% - Accent6 2 3 2 5" xfId="19418" xr:uid="{AD87205A-C3B7-4E1D-8E3B-C624DD98A2CF}"/>
    <cellStyle name="40% - Accent6 2 3 2 6" xfId="10119" xr:uid="{7735EEF7-F3E9-4B2C-A2E2-BBC350BE641F}"/>
    <cellStyle name="40% - Accent6 2 3 3" xfId="1115" xr:uid="{00000000-0005-0000-0000-000010070000}"/>
    <cellStyle name="40% - Accent6 2 3 3 2" xfId="3346" xr:uid="{00000000-0005-0000-0000-000011070000}"/>
    <cellStyle name="40% - Accent6 2 3 3 2 2" xfId="7568" xr:uid="{00000000-0005-0000-0000-000012070000}"/>
    <cellStyle name="40% - Accent6 2 3 3 2 2 2" xfId="26193" xr:uid="{7354D20F-95EF-4E35-9D54-815587AE076D}"/>
    <cellStyle name="40% - Accent6 2 3 3 2 2 3" xfId="16894" xr:uid="{3A714967-999F-41B7-AEEC-E50F201383D1}"/>
    <cellStyle name="40% - Accent6 2 3 3 2 3" xfId="21976" xr:uid="{D929CC0F-6BAA-4452-A28B-339A670CE6F2}"/>
    <cellStyle name="40% - Accent6 2 3 3 2 4" xfId="12677" xr:uid="{DC976E73-07DE-4551-9063-23D93603EB67}"/>
    <cellStyle name="40% - Accent6 2 3 3 3" xfId="5423" xr:uid="{00000000-0005-0000-0000-000013070000}"/>
    <cellStyle name="40% - Accent6 2 3 3 3 2" xfId="24048" xr:uid="{3DC213FF-B3A2-43FD-BF39-5D937E852775}"/>
    <cellStyle name="40% - Accent6 2 3 3 3 3" xfId="14749" xr:uid="{30427B81-6DDE-4E00-BE51-B46907397EAF}"/>
    <cellStyle name="40% - Accent6 2 3 3 4" xfId="19831" xr:uid="{9CAD960E-19E6-4206-A64E-117FB3828F16}"/>
    <cellStyle name="40% - Accent6 2 3 3 5" xfId="10532" xr:uid="{37197E5D-99A9-4713-9BEF-A9BB14A1A7C2}"/>
    <cellStyle name="40% - Accent6 2 3 4" xfId="1529" xr:uid="{00000000-0005-0000-0000-000014070000}"/>
    <cellStyle name="40% - Accent6 2 3 4 2" xfId="3759" xr:uid="{00000000-0005-0000-0000-000015070000}"/>
    <cellStyle name="40% - Accent6 2 3 4 2 2" xfId="7981" xr:uid="{00000000-0005-0000-0000-000016070000}"/>
    <cellStyle name="40% - Accent6 2 3 4 2 2 2" xfId="26606" xr:uid="{FE99AABF-0E39-4394-B450-CCC41EF675C0}"/>
    <cellStyle name="40% - Accent6 2 3 4 2 2 3" xfId="17307" xr:uid="{CA6944C0-6446-4E8F-BB71-A4464FC10F05}"/>
    <cellStyle name="40% - Accent6 2 3 4 2 3" xfId="22389" xr:uid="{E19BF68E-B1D9-4539-B426-BE3FCDA75A8E}"/>
    <cellStyle name="40% - Accent6 2 3 4 2 4" xfId="13090" xr:uid="{7538FC81-C98B-4AAA-99D9-91363E0BEB1E}"/>
    <cellStyle name="40% - Accent6 2 3 4 3" xfId="5836" xr:uid="{00000000-0005-0000-0000-000017070000}"/>
    <cellStyle name="40% - Accent6 2 3 4 3 2" xfId="24461" xr:uid="{CB6EB772-00F7-44FF-BC7C-75E8464DA513}"/>
    <cellStyle name="40% - Accent6 2 3 4 3 3" xfId="15162" xr:uid="{8ED3B2AD-7067-4E10-985A-77A877134B94}"/>
    <cellStyle name="40% - Accent6 2 3 4 4" xfId="20244" xr:uid="{108E08FE-5201-4E7C-93EB-A0F6CEE07598}"/>
    <cellStyle name="40% - Accent6 2 3 4 5" xfId="10945" xr:uid="{925AB996-214F-4D57-ACE1-57B851CB1415}"/>
    <cellStyle name="40% - Accent6 2 3 5" xfId="1943" xr:uid="{00000000-0005-0000-0000-000018070000}"/>
    <cellStyle name="40% - Accent6 2 3 5 2" xfId="4172" xr:uid="{00000000-0005-0000-0000-000019070000}"/>
    <cellStyle name="40% - Accent6 2 3 5 2 2" xfId="8394" xr:uid="{00000000-0005-0000-0000-00001A070000}"/>
    <cellStyle name="40% - Accent6 2 3 5 2 2 2" xfId="27019" xr:uid="{29BD78DA-7F5A-410A-AA7E-44C37D2133EF}"/>
    <cellStyle name="40% - Accent6 2 3 5 2 2 3" xfId="17720" xr:uid="{5A02881D-247B-4319-880E-FFEBEE65AC67}"/>
    <cellStyle name="40% - Accent6 2 3 5 2 3" xfId="22802" xr:uid="{CFCC68B4-76CF-4F38-BED6-0ECF6DC9F88F}"/>
    <cellStyle name="40% - Accent6 2 3 5 2 4" xfId="13503" xr:uid="{D889B69B-B0E4-4B04-AD68-101B1988E8DD}"/>
    <cellStyle name="40% - Accent6 2 3 5 3" xfId="6249" xr:uid="{00000000-0005-0000-0000-00001B070000}"/>
    <cellStyle name="40% - Accent6 2 3 5 3 2" xfId="24874" xr:uid="{012016DC-412E-4377-ACDE-9B32E206F210}"/>
    <cellStyle name="40% - Accent6 2 3 5 3 3" xfId="15575" xr:uid="{B51A5476-EAED-454D-BFDC-CF303A9A7780}"/>
    <cellStyle name="40% - Accent6 2 3 5 4" xfId="20657" xr:uid="{86091CAF-81E4-4F27-88D9-40E97CF8E427}"/>
    <cellStyle name="40% - Accent6 2 3 5 5" xfId="11358" xr:uid="{A76FF152-5ADC-455B-9A95-3D32A9C72CC6}"/>
    <cellStyle name="40% - Accent6 2 3 6" xfId="2356" xr:uid="{00000000-0005-0000-0000-00001C070000}"/>
    <cellStyle name="40% - Accent6 2 3 6 2" xfId="6662" xr:uid="{00000000-0005-0000-0000-00001D070000}"/>
    <cellStyle name="40% - Accent6 2 3 6 2 2" xfId="25287" xr:uid="{9E8F0C72-ECEA-4657-ACF1-E4E89ADCE4B8}"/>
    <cellStyle name="40% - Accent6 2 3 6 2 3" xfId="15988" xr:uid="{4F784DD7-8DF5-408B-85BC-16546FBECD92}"/>
    <cellStyle name="40% - Accent6 2 3 6 3" xfId="21070" xr:uid="{2ED7DC25-A728-4A52-813A-031CDE62EEB4}"/>
    <cellStyle name="40% - Accent6 2 3 6 4" xfId="11771" xr:uid="{BDA74AB0-3448-42C5-9D34-0BCAF2D699D0}"/>
    <cellStyle name="40% - Accent6 2 3 7" xfId="4596" xr:uid="{00000000-0005-0000-0000-00001E070000}"/>
    <cellStyle name="40% - Accent6 2 3 7 2" xfId="23221" xr:uid="{500AA615-B472-4142-9A4B-8D5EA250E688}"/>
    <cellStyle name="40% - Accent6 2 3 7 3" xfId="13922" xr:uid="{0A8D0917-2280-4672-B8B0-04C033545783}"/>
    <cellStyle name="40% - Accent6 2 3 8" xfId="9010" xr:uid="{63E1B5F8-FE5F-441F-B768-94B1D98CB2B1}"/>
    <cellStyle name="40% - Accent6 2 3 8 2" xfId="27633" xr:uid="{2785D4B7-CAC5-46C7-9A89-A7337AF79153}"/>
    <cellStyle name="40% - Accent6 2 3 8 3" xfId="18334" xr:uid="{5B89C80A-C307-486C-AB67-B136D3DA491D}"/>
    <cellStyle name="40% - Accent6 2 3 9" xfId="19004" xr:uid="{52400E11-B20D-4D3A-B6DD-A75889E5AE38}"/>
    <cellStyle name="40% - Accent6 2 4" xfId="659" xr:uid="{00000000-0005-0000-0000-00001F070000}"/>
    <cellStyle name="40% - Accent6 2 4 2" xfId="2930" xr:uid="{00000000-0005-0000-0000-000020070000}"/>
    <cellStyle name="40% - Accent6 2 4 2 2" xfId="7152" xr:uid="{00000000-0005-0000-0000-000021070000}"/>
    <cellStyle name="40% - Accent6 2 4 2 2 2" xfId="25777" xr:uid="{341424AA-6BBA-4449-9AF8-F0A493E4E614}"/>
    <cellStyle name="40% - Accent6 2 4 2 2 3" xfId="16478" xr:uid="{32C5C8FE-4427-4C03-BC8F-8E4B70A0C8CC}"/>
    <cellStyle name="40% - Accent6 2 4 2 3" xfId="21560" xr:uid="{B69F1991-BA94-45ED-8A25-98ED19DDA750}"/>
    <cellStyle name="40% - Accent6 2 4 2 4" xfId="12261" xr:uid="{0208DE39-EFFB-41A9-8611-1081020FCB6C}"/>
    <cellStyle name="40% - Accent6 2 4 3" xfId="5007" xr:uid="{00000000-0005-0000-0000-000022070000}"/>
    <cellStyle name="40% - Accent6 2 4 3 2" xfId="23632" xr:uid="{FE9B1B66-6032-475A-B8B3-19CAA04FE6C3}"/>
    <cellStyle name="40% - Accent6 2 4 3 3" xfId="14333" xr:uid="{EBD63902-3A0B-485D-9A4D-57F79B9E4676}"/>
    <cellStyle name="40% - Accent6 2 4 4" xfId="9227" xr:uid="{61BC3AC1-FAE9-47DF-8143-7EECE05FF8D3}"/>
    <cellStyle name="40% - Accent6 2 4 4 2" xfId="27842" xr:uid="{4A3D78C6-6DBB-4DB1-90F8-473073FA63DA}"/>
    <cellStyle name="40% - Accent6 2 4 4 3" xfId="18543" xr:uid="{75249D48-68BB-4F8E-B1DF-3B969C86D020}"/>
    <cellStyle name="40% - Accent6 2 4 5" xfId="19415" xr:uid="{6F8BE87D-BE45-4C6A-A6F9-05BCD53099B4}"/>
    <cellStyle name="40% - Accent6 2 4 6" xfId="10116" xr:uid="{DAA4C95F-B31D-4773-9190-C7488CD12C20}"/>
    <cellStyle name="40% - Accent6 2 5" xfId="1112" xr:uid="{00000000-0005-0000-0000-000023070000}"/>
    <cellStyle name="40% - Accent6 2 5 2" xfId="3343" xr:uid="{00000000-0005-0000-0000-000024070000}"/>
    <cellStyle name="40% - Accent6 2 5 2 2" xfId="7565" xr:uid="{00000000-0005-0000-0000-000025070000}"/>
    <cellStyle name="40% - Accent6 2 5 2 2 2" xfId="26190" xr:uid="{C7992477-33A1-4704-AFBA-88926FBA83F0}"/>
    <cellStyle name="40% - Accent6 2 5 2 2 3" xfId="16891" xr:uid="{30C4C1F5-B5AE-439A-BD52-2C624988DF3B}"/>
    <cellStyle name="40% - Accent6 2 5 2 3" xfId="21973" xr:uid="{15CD8225-D8BF-440A-9BA9-BCFEABE776EA}"/>
    <cellStyle name="40% - Accent6 2 5 2 4" xfId="12674" xr:uid="{4DC06545-5146-4543-ABA6-5645B66D5AEE}"/>
    <cellStyle name="40% - Accent6 2 5 3" xfId="5420" xr:uid="{00000000-0005-0000-0000-000026070000}"/>
    <cellStyle name="40% - Accent6 2 5 3 2" xfId="24045" xr:uid="{BD0D4E50-7A23-4914-89F8-419E9F6B6B20}"/>
    <cellStyle name="40% - Accent6 2 5 3 3" xfId="14746" xr:uid="{B665F0BA-D21F-406B-A9E1-DBA201826D3B}"/>
    <cellStyle name="40% - Accent6 2 5 4" xfId="19828" xr:uid="{833AB682-1C0C-45B2-B717-1D8119C4E55A}"/>
    <cellStyle name="40% - Accent6 2 5 5" xfId="10529" xr:uid="{01BB041E-9DDE-4142-95A1-0402D7376F02}"/>
    <cellStyle name="40% - Accent6 2 6" xfId="1526" xr:uid="{00000000-0005-0000-0000-000027070000}"/>
    <cellStyle name="40% - Accent6 2 6 2" xfId="3756" xr:uid="{00000000-0005-0000-0000-000028070000}"/>
    <cellStyle name="40% - Accent6 2 6 2 2" xfId="7978" xr:uid="{00000000-0005-0000-0000-000029070000}"/>
    <cellStyle name="40% - Accent6 2 6 2 2 2" xfId="26603" xr:uid="{5E5D7887-9235-4DDB-B521-269E9FA6C871}"/>
    <cellStyle name="40% - Accent6 2 6 2 2 3" xfId="17304" xr:uid="{7C7B9D97-7382-47D8-AF2D-BE981B6198C5}"/>
    <cellStyle name="40% - Accent6 2 6 2 3" xfId="22386" xr:uid="{685E28BE-844C-4485-988D-7E747D3DA0A4}"/>
    <cellStyle name="40% - Accent6 2 6 2 4" xfId="13087" xr:uid="{7F3A2C03-D865-458C-A2FE-93296B0F0CF9}"/>
    <cellStyle name="40% - Accent6 2 6 3" xfId="5833" xr:uid="{00000000-0005-0000-0000-00002A070000}"/>
    <cellStyle name="40% - Accent6 2 6 3 2" xfId="24458" xr:uid="{F28A2208-4813-4A7B-A12C-30B5A1CBD235}"/>
    <cellStyle name="40% - Accent6 2 6 3 3" xfId="15159" xr:uid="{1009BAB1-AD2A-41E7-A532-0C2DBB920CC0}"/>
    <cellStyle name="40% - Accent6 2 6 4" xfId="20241" xr:uid="{F280E24C-8885-4842-87EE-0D3CFAE8B736}"/>
    <cellStyle name="40% - Accent6 2 6 5" xfId="10942" xr:uid="{FE8D4A73-6463-49D6-AE94-7E7B71998E52}"/>
    <cellStyle name="40% - Accent6 2 7" xfId="1940" xr:uid="{00000000-0005-0000-0000-00002B070000}"/>
    <cellStyle name="40% - Accent6 2 7 2" xfId="4169" xr:uid="{00000000-0005-0000-0000-00002C070000}"/>
    <cellStyle name="40% - Accent6 2 7 2 2" xfId="8391" xr:uid="{00000000-0005-0000-0000-00002D070000}"/>
    <cellStyle name="40% - Accent6 2 7 2 2 2" xfId="27016" xr:uid="{EEB0C00C-E47A-45DC-A062-FA08CCE695FC}"/>
    <cellStyle name="40% - Accent6 2 7 2 2 3" xfId="17717" xr:uid="{812EDAA3-C319-4697-BE88-80CA32A260BE}"/>
    <cellStyle name="40% - Accent6 2 7 2 3" xfId="22799" xr:uid="{371FF86D-4DCD-4A3B-A7C3-93BCF5F93784}"/>
    <cellStyle name="40% - Accent6 2 7 2 4" xfId="13500" xr:uid="{A6D19471-F1FD-415F-82AF-EE9E3C467563}"/>
    <cellStyle name="40% - Accent6 2 7 3" xfId="6246" xr:uid="{00000000-0005-0000-0000-00002E070000}"/>
    <cellStyle name="40% - Accent6 2 7 3 2" xfId="24871" xr:uid="{65B3ACC5-164B-4A5D-A350-927707878EAA}"/>
    <cellStyle name="40% - Accent6 2 7 3 3" xfId="15572" xr:uid="{8CEA7A56-501D-428E-8EFE-A7E13C22D39E}"/>
    <cellStyle name="40% - Accent6 2 7 4" xfId="20654" xr:uid="{6E3D29F8-1CB0-47E1-86FD-BD3F7F837635}"/>
    <cellStyle name="40% - Accent6 2 7 5" xfId="11355" xr:uid="{171398C5-0D3D-4AC6-94E4-4B066A1E4886}"/>
    <cellStyle name="40% - Accent6 2 8" xfId="2353" xr:uid="{00000000-0005-0000-0000-00002F070000}"/>
    <cellStyle name="40% - Accent6 2 8 2" xfId="6659" xr:uid="{00000000-0005-0000-0000-000030070000}"/>
    <cellStyle name="40% - Accent6 2 8 2 2" xfId="25284" xr:uid="{8300CC11-3D11-49EF-A62A-B38F58428B78}"/>
    <cellStyle name="40% - Accent6 2 8 2 3" xfId="15985" xr:uid="{01435072-73AA-4450-A30F-DF39F5AC6913}"/>
    <cellStyle name="40% - Accent6 2 8 3" xfId="21067" xr:uid="{06F7218C-6C9A-45FC-90F8-D9FB882B034E}"/>
    <cellStyle name="40% - Accent6 2 8 4" xfId="11768" xr:uid="{554DCC10-C2C1-4477-858B-7830A6F7FF1D}"/>
    <cellStyle name="40% - Accent6 2 9" xfId="4593" xr:uid="{00000000-0005-0000-0000-000031070000}"/>
    <cellStyle name="40% - Accent6 2 9 2" xfId="23218" xr:uid="{BD363213-DC00-4E0C-97A0-C5A32B22B077}"/>
    <cellStyle name="40% - Accent6 2 9 3" xfId="13919" xr:uid="{AB22351D-03D3-4D30-BBD2-5D82646BA3B1}"/>
    <cellStyle name="40% - Accent6 3" xfId="94" xr:uid="{00000000-0005-0000-0000-000032070000}"/>
    <cellStyle name="40% - Accent6 3 10" xfId="19005" xr:uid="{72627C8E-7FBC-4914-BCBD-79652B64EF70}"/>
    <cellStyle name="40% - Accent6 3 11" xfId="9706" xr:uid="{6A526EDA-DBF1-4B73-B3D6-DECE6B968D82}"/>
    <cellStyle name="40% - Accent6 3 2" xfId="95" xr:uid="{00000000-0005-0000-0000-000033070000}"/>
    <cellStyle name="40% - Accent6 3 2 10" xfId="9707" xr:uid="{6220A2A9-F161-43F6-921A-7F61830B93DE}"/>
    <cellStyle name="40% - Accent6 3 2 2" xfId="664" xr:uid="{00000000-0005-0000-0000-000034070000}"/>
    <cellStyle name="40% - Accent6 3 2 2 2" xfId="2935" xr:uid="{00000000-0005-0000-0000-000035070000}"/>
    <cellStyle name="40% - Accent6 3 2 2 2 2" xfId="7157" xr:uid="{00000000-0005-0000-0000-000036070000}"/>
    <cellStyle name="40% - Accent6 3 2 2 2 2 2" xfId="25782" xr:uid="{8E7F5D56-8FF4-40C8-A2C2-9E487DFEEA3D}"/>
    <cellStyle name="40% - Accent6 3 2 2 2 2 3" xfId="16483" xr:uid="{8DEFC3A1-8475-4667-AC55-8661167A712E}"/>
    <cellStyle name="40% - Accent6 3 2 2 2 3" xfId="21565" xr:uid="{3F58C67D-2CE1-46E1-B2C6-AA8EFDFBE886}"/>
    <cellStyle name="40% - Accent6 3 2 2 2 4" xfId="12266" xr:uid="{571F3887-A544-461E-8CC9-054716422854}"/>
    <cellStyle name="40% - Accent6 3 2 2 3" xfId="5012" xr:uid="{00000000-0005-0000-0000-000037070000}"/>
    <cellStyle name="40% - Accent6 3 2 2 3 2" xfId="23637" xr:uid="{69FD812B-275A-4774-8F6A-1DB1BAFB3A28}"/>
    <cellStyle name="40% - Accent6 3 2 2 3 3" xfId="14338" xr:uid="{68AE4E79-0DF8-4EF3-BC06-67A8A5268208}"/>
    <cellStyle name="40% - Accent6 3 2 2 4" xfId="9504" xr:uid="{23E46585-FD8F-4BA3-8B65-284D6884E4FD}"/>
    <cellStyle name="40% - Accent6 3 2 2 4 2" xfId="28118" xr:uid="{FBAED427-6F96-4174-9088-A212A805DE3C}"/>
    <cellStyle name="40% - Accent6 3 2 2 4 3" xfId="18819" xr:uid="{119DD07D-BC32-44AF-A143-A6B691179613}"/>
    <cellStyle name="40% - Accent6 3 2 2 5" xfId="19420" xr:uid="{371DBE93-32AA-4225-BACD-D9DCDF2B760E}"/>
    <cellStyle name="40% - Accent6 3 2 2 6" xfId="10121" xr:uid="{9DBB550B-F39E-408D-9D72-47C3910BB4A9}"/>
    <cellStyle name="40% - Accent6 3 2 3" xfId="1117" xr:uid="{00000000-0005-0000-0000-000038070000}"/>
    <cellStyle name="40% - Accent6 3 2 3 2" xfId="3348" xr:uid="{00000000-0005-0000-0000-000039070000}"/>
    <cellStyle name="40% - Accent6 3 2 3 2 2" xfId="7570" xr:uid="{00000000-0005-0000-0000-00003A070000}"/>
    <cellStyle name="40% - Accent6 3 2 3 2 2 2" xfId="26195" xr:uid="{909A8140-6EDB-4669-9B2B-AE95262D1F92}"/>
    <cellStyle name="40% - Accent6 3 2 3 2 2 3" xfId="16896" xr:uid="{1E35A58C-B078-4878-BD4B-BD9A8FC995CE}"/>
    <cellStyle name="40% - Accent6 3 2 3 2 3" xfId="21978" xr:uid="{F9EE61DA-893A-47F0-B473-FD3F0D5000E6}"/>
    <cellStyle name="40% - Accent6 3 2 3 2 4" xfId="12679" xr:uid="{52BAD124-F43A-4FCC-B041-39D4E2468ECB}"/>
    <cellStyle name="40% - Accent6 3 2 3 3" xfId="5425" xr:uid="{00000000-0005-0000-0000-00003B070000}"/>
    <cellStyle name="40% - Accent6 3 2 3 3 2" xfId="24050" xr:uid="{A7D68207-13D4-4B0E-B6D7-1377C78DBD49}"/>
    <cellStyle name="40% - Accent6 3 2 3 3 3" xfId="14751" xr:uid="{D413A06C-7244-4B58-A7FE-8807CA20738A}"/>
    <cellStyle name="40% - Accent6 3 2 3 4" xfId="19833" xr:uid="{84DDF89A-E788-4855-ADDC-A688922FBEF2}"/>
    <cellStyle name="40% - Accent6 3 2 3 5" xfId="10534" xr:uid="{945A1D36-4D7C-4FF7-95CD-8BBE049BA813}"/>
    <cellStyle name="40% - Accent6 3 2 4" xfId="1531" xr:uid="{00000000-0005-0000-0000-00003C070000}"/>
    <cellStyle name="40% - Accent6 3 2 4 2" xfId="3761" xr:uid="{00000000-0005-0000-0000-00003D070000}"/>
    <cellStyle name="40% - Accent6 3 2 4 2 2" xfId="7983" xr:uid="{00000000-0005-0000-0000-00003E070000}"/>
    <cellStyle name="40% - Accent6 3 2 4 2 2 2" xfId="26608" xr:uid="{621D849F-8E4A-415E-9DAA-3F96F9BB4A47}"/>
    <cellStyle name="40% - Accent6 3 2 4 2 2 3" xfId="17309" xr:uid="{F924BD14-64E5-4B53-A1F3-721F3869A379}"/>
    <cellStyle name="40% - Accent6 3 2 4 2 3" xfId="22391" xr:uid="{27831251-79A4-4076-8C0D-FFD0141DE344}"/>
    <cellStyle name="40% - Accent6 3 2 4 2 4" xfId="13092" xr:uid="{69F77B76-E966-4B69-B15A-AD6D965A23C8}"/>
    <cellStyle name="40% - Accent6 3 2 4 3" xfId="5838" xr:uid="{00000000-0005-0000-0000-00003F070000}"/>
    <cellStyle name="40% - Accent6 3 2 4 3 2" xfId="24463" xr:uid="{B72F2B0C-B500-4266-BB09-C965234FAA40}"/>
    <cellStyle name="40% - Accent6 3 2 4 3 3" xfId="15164" xr:uid="{858B67B8-62C5-4586-8F36-B9E8B0CF4D87}"/>
    <cellStyle name="40% - Accent6 3 2 4 4" xfId="20246" xr:uid="{4DBAA9E4-10AD-4B58-A217-C6FD4A2A71EB}"/>
    <cellStyle name="40% - Accent6 3 2 4 5" xfId="10947" xr:uid="{5BD39E69-6DC4-45B0-8ECF-519981A48BD0}"/>
    <cellStyle name="40% - Accent6 3 2 5" xfId="1945" xr:uid="{00000000-0005-0000-0000-000040070000}"/>
    <cellStyle name="40% - Accent6 3 2 5 2" xfId="4174" xr:uid="{00000000-0005-0000-0000-000041070000}"/>
    <cellStyle name="40% - Accent6 3 2 5 2 2" xfId="8396" xr:uid="{00000000-0005-0000-0000-000042070000}"/>
    <cellStyle name="40% - Accent6 3 2 5 2 2 2" xfId="27021" xr:uid="{AFAD67F6-0110-4FB0-B390-359B9DE5A7FB}"/>
    <cellStyle name="40% - Accent6 3 2 5 2 2 3" xfId="17722" xr:uid="{724BA85E-2877-4366-9C47-1B57DDBE00A6}"/>
    <cellStyle name="40% - Accent6 3 2 5 2 3" xfId="22804" xr:uid="{DB0E06E9-6C3D-42DE-976B-D26F0DE68DF6}"/>
    <cellStyle name="40% - Accent6 3 2 5 2 4" xfId="13505" xr:uid="{C53A91E1-13E6-4D98-B8ED-FA68C9A62217}"/>
    <cellStyle name="40% - Accent6 3 2 5 3" xfId="6251" xr:uid="{00000000-0005-0000-0000-000043070000}"/>
    <cellStyle name="40% - Accent6 3 2 5 3 2" xfId="24876" xr:uid="{FD202D80-666B-4539-9DB9-EE2BA980E232}"/>
    <cellStyle name="40% - Accent6 3 2 5 3 3" xfId="15577" xr:uid="{EDB162E0-F4A8-4AAF-A0C1-C0F27537C4C2}"/>
    <cellStyle name="40% - Accent6 3 2 5 4" xfId="20659" xr:uid="{8504B966-861B-4AB0-A56C-8A12FA6D41A8}"/>
    <cellStyle name="40% - Accent6 3 2 5 5" xfId="11360" xr:uid="{9D59FE9C-75F4-4EDF-96AA-EB0D826F03AE}"/>
    <cellStyle name="40% - Accent6 3 2 6" xfId="2358" xr:uid="{00000000-0005-0000-0000-000044070000}"/>
    <cellStyle name="40% - Accent6 3 2 6 2" xfId="6664" xr:uid="{00000000-0005-0000-0000-000045070000}"/>
    <cellStyle name="40% - Accent6 3 2 6 2 2" xfId="25289" xr:uid="{24A16D47-1E51-4679-A477-32A2E7EB62CD}"/>
    <cellStyle name="40% - Accent6 3 2 6 2 3" xfId="15990" xr:uid="{F04059BF-C7AA-422C-A027-6382E43D3F62}"/>
    <cellStyle name="40% - Accent6 3 2 6 3" xfId="21072" xr:uid="{65ED49F2-F4BF-41C9-B340-1084CAB9D42A}"/>
    <cellStyle name="40% - Accent6 3 2 6 4" xfId="11773" xr:uid="{6415144E-81DF-4C12-8B38-35743EACF4B4}"/>
    <cellStyle name="40% - Accent6 3 2 7" xfId="4598" xr:uid="{00000000-0005-0000-0000-000046070000}"/>
    <cellStyle name="40% - Accent6 3 2 7 2" xfId="23223" xr:uid="{C0088D00-13F3-437A-9150-837FA46D8D97}"/>
    <cellStyle name="40% - Accent6 3 2 7 3" xfId="13924" xr:uid="{23A77729-2D7C-4BE8-81C1-F50C13207542}"/>
    <cellStyle name="40% - Accent6 3 2 8" xfId="9079" xr:uid="{7FA93E2E-699F-4676-8533-A3CC5F80D807}"/>
    <cellStyle name="40% - Accent6 3 2 8 2" xfId="27702" xr:uid="{5DEECEDE-6390-450A-9D8E-7E462C8CF508}"/>
    <cellStyle name="40% - Accent6 3 2 8 3" xfId="18403" xr:uid="{0D8778B9-DC8C-4663-8B51-3FBC9EBADD64}"/>
    <cellStyle name="40% - Accent6 3 2 9" xfId="19006" xr:uid="{68C186F2-0133-41A8-93AD-D3D06865F3F9}"/>
    <cellStyle name="40% - Accent6 3 3" xfId="663" xr:uid="{00000000-0005-0000-0000-000047070000}"/>
    <cellStyle name="40% - Accent6 3 3 2" xfId="2934" xr:uid="{00000000-0005-0000-0000-000048070000}"/>
    <cellStyle name="40% - Accent6 3 3 2 2" xfId="7156" xr:uid="{00000000-0005-0000-0000-000049070000}"/>
    <cellStyle name="40% - Accent6 3 3 2 2 2" xfId="25781" xr:uid="{E6981376-08EE-4C78-BCAE-FC6EB4AEE005}"/>
    <cellStyle name="40% - Accent6 3 3 2 2 3" xfId="16482" xr:uid="{3312707D-2E2F-467B-9369-CF8F95332C72}"/>
    <cellStyle name="40% - Accent6 3 3 2 3" xfId="21564" xr:uid="{4BA371FD-14C5-4C9A-9ECB-FC40C2C11479}"/>
    <cellStyle name="40% - Accent6 3 3 2 4" xfId="12265" xr:uid="{0E3E5860-27AC-4607-8263-A44CD35599A7}"/>
    <cellStyle name="40% - Accent6 3 3 3" xfId="5011" xr:uid="{00000000-0005-0000-0000-00004A070000}"/>
    <cellStyle name="40% - Accent6 3 3 3 2" xfId="23636" xr:uid="{74D31F6F-C65E-41B0-B1AC-1688C2710BEA}"/>
    <cellStyle name="40% - Accent6 3 3 3 3" xfId="14337" xr:uid="{F1426E3B-55F6-427E-BAC5-FC32962D30D7}"/>
    <cellStyle name="40% - Accent6 3 3 4" xfId="9297" xr:uid="{1226E28F-09E7-4580-8D19-7F14AC1CB4B3}"/>
    <cellStyle name="40% - Accent6 3 3 4 2" xfId="27911" xr:uid="{163947CF-C14D-4C91-8FE6-9300F08F041F}"/>
    <cellStyle name="40% - Accent6 3 3 4 3" xfId="18612" xr:uid="{2A29DBC3-5A84-4607-AC28-EE89109AD4CD}"/>
    <cellStyle name="40% - Accent6 3 3 5" xfId="19419" xr:uid="{BC17E755-D29D-4991-9928-4317A08F0F68}"/>
    <cellStyle name="40% - Accent6 3 3 6" xfId="10120" xr:uid="{F058C311-0B1E-4298-B66C-6D30330917AA}"/>
    <cellStyle name="40% - Accent6 3 4" xfId="1116" xr:uid="{00000000-0005-0000-0000-00004B070000}"/>
    <cellStyle name="40% - Accent6 3 4 2" xfId="3347" xr:uid="{00000000-0005-0000-0000-00004C070000}"/>
    <cellStyle name="40% - Accent6 3 4 2 2" xfId="7569" xr:uid="{00000000-0005-0000-0000-00004D070000}"/>
    <cellStyle name="40% - Accent6 3 4 2 2 2" xfId="26194" xr:uid="{F0B234EF-6F55-4048-ADD4-B90F3AB6842E}"/>
    <cellStyle name="40% - Accent6 3 4 2 2 3" xfId="16895" xr:uid="{9C3581DB-3553-463A-B514-EE6BFDC768CC}"/>
    <cellStyle name="40% - Accent6 3 4 2 3" xfId="21977" xr:uid="{5EB81A9C-22FF-4621-9950-3029B23BD209}"/>
    <cellStyle name="40% - Accent6 3 4 2 4" xfId="12678" xr:uid="{F05BCE3C-59EE-4638-81F1-94C0922D6386}"/>
    <cellStyle name="40% - Accent6 3 4 3" xfId="5424" xr:uid="{00000000-0005-0000-0000-00004E070000}"/>
    <cellStyle name="40% - Accent6 3 4 3 2" xfId="24049" xr:uid="{D70622F2-8936-4877-A1F8-5F28A19D7A28}"/>
    <cellStyle name="40% - Accent6 3 4 3 3" xfId="14750" xr:uid="{7DD97D8C-B694-47D1-82C2-89ABB7276DA8}"/>
    <cellStyle name="40% - Accent6 3 4 4" xfId="19832" xr:uid="{FAB5A022-BF95-4E80-B90B-2AFB1079A9FD}"/>
    <cellStyle name="40% - Accent6 3 4 5" xfId="10533" xr:uid="{2919EBF6-95FB-4597-A6E1-B49DF657B0FC}"/>
    <cellStyle name="40% - Accent6 3 5" xfId="1530" xr:uid="{00000000-0005-0000-0000-00004F070000}"/>
    <cellStyle name="40% - Accent6 3 5 2" xfId="3760" xr:uid="{00000000-0005-0000-0000-000050070000}"/>
    <cellStyle name="40% - Accent6 3 5 2 2" xfId="7982" xr:uid="{00000000-0005-0000-0000-000051070000}"/>
    <cellStyle name="40% - Accent6 3 5 2 2 2" xfId="26607" xr:uid="{987B4AB8-AA49-4445-825D-B94FA9AFB729}"/>
    <cellStyle name="40% - Accent6 3 5 2 2 3" xfId="17308" xr:uid="{AF00EF77-9E1B-42CD-8028-CA0673710515}"/>
    <cellStyle name="40% - Accent6 3 5 2 3" xfId="22390" xr:uid="{FF24A50B-46F3-4C3D-B6B1-99B554B568E8}"/>
    <cellStyle name="40% - Accent6 3 5 2 4" xfId="13091" xr:uid="{7F38E744-1A33-4FE7-AD4C-2E89DF540E9C}"/>
    <cellStyle name="40% - Accent6 3 5 3" xfId="5837" xr:uid="{00000000-0005-0000-0000-000052070000}"/>
    <cellStyle name="40% - Accent6 3 5 3 2" xfId="24462" xr:uid="{68E6AB8E-23EA-4DB2-9B77-FE05E067F9FB}"/>
    <cellStyle name="40% - Accent6 3 5 3 3" xfId="15163" xr:uid="{8CF1987F-5979-4932-B8B3-4FB14D571396}"/>
    <cellStyle name="40% - Accent6 3 5 4" xfId="20245" xr:uid="{765DE550-9F9D-48B6-9F40-B4E84918A330}"/>
    <cellStyle name="40% - Accent6 3 5 5" xfId="10946" xr:uid="{5161E2FC-B6A5-4069-AF6F-92F5E53FFB50}"/>
    <cellStyle name="40% - Accent6 3 6" xfId="1944" xr:uid="{00000000-0005-0000-0000-000053070000}"/>
    <cellStyle name="40% - Accent6 3 6 2" xfId="4173" xr:uid="{00000000-0005-0000-0000-000054070000}"/>
    <cellStyle name="40% - Accent6 3 6 2 2" xfId="8395" xr:uid="{00000000-0005-0000-0000-000055070000}"/>
    <cellStyle name="40% - Accent6 3 6 2 2 2" xfId="27020" xr:uid="{E1513675-74AA-4E10-A0FD-5568A1FB3B20}"/>
    <cellStyle name="40% - Accent6 3 6 2 2 3" xfId="17721" xr:uid="{1AD93B03-7F10-44CF-B757-FA3E98D25325}"/>
    <cellStyle name="40% - Accent6 3 6 2 3" xfId="22803" xr:uid="{25DF6FB7-9D0C-423A-BADF-44B15B0FD419}"/>
    <cellStyle name="40% - Accent6 3 6 2 4" xfId="13504" xr:uid="{E2BE862A-55D5-4805-A37A-8579DA784D28}"/>
    <cellStyle name="40% - Accent6 3 6 3" xfId="6250" xr:uid="{00000000-0005-0000-0000-000056070000}"/>
    <cellStyle name="40% - Accent6 3 6 3 2" xfId="24875" xr:uid="{6CB8F665-334C-4965-BEAF-4C309685F928}"/>
    <cellStyle name="40% - Accent6 3 6 3 3" xfId="15576" xr:uid="{7BA397D8-DA91-4EA8-AF65-55504E877B0D}"/>
    <cellStyle name="40% - Accent6 3 6 4" xfId="20658" xr:uid="{6A588616-5442-42DA-8E1F-2EB8283D0654}"/>
    <cellStyle name="40% - Accent6 3 6 5" xfId="11359" xr:uid="{1E3341A3-14BB-4AFC-A860-6013D18E74EA}"/>
    <cellStyle name="40% - Accent6 3 7" xfId="2357" xr:uid="{00000000-0005-0000-0000-000057070000}"/>
    <cellStyle name="40% - Accent6 3 7 2" xfId="6663" xr:uid="{00000000-0005-0000-0000-000058070000}"/>
    <cellStyle name="40% - Accent6 3 7 2 2" xfId="25288" xr:uid="{1EA6DEBD-A340-4FC7-B5AA-BF8A4AF7B4D9}"/>
    <cellStyle name="40% - Accent6 3 7 2 3" xfId="15989" xr:uid="{0FA5479D-3C2A-4C7E-9699-D7A6BFF6B6CD}"/>
    <cellStyle name="40% - Accent6 3 7 3" xfId="21071" xr:uid="{A4C263F5-647D-4C4B-AEDC-7AC7F912337F}"/>
    <cellStyle name="40% - Accent6 3 7 4" xfId="11772" xr:uid="{47E1DFA8-CAF3-4FEA-8A5F-8D8D7F54A719}"/>
    <cellStyle name="40% - Accent6 3 8" xfId="4597" xr:uid="{00000000-0005-0000-0000-000059070000}"/>
    <cellStyle name="40% - Accent6 3 8 2" xfId="23222" xr:uid="{9484CABF-F6CB-4915-A2FA-E62A6216BE22}"/>
    <cellStyle name="40% - Accent6 3 8 3" xfId="13923" xr:uid="{AB284C42-9679-491C-87FD-242F0EBC245E}"/>
    <cellStyle name="40% - Accent6 3 9" xfId="8872" xr:uid="{E018AF0F-504E-4DED-BF70-CC97997D74E9}"/>
    <cellStyle name="40% - Accent6 3 9 2" xfId="27495" xr:uid="{23FC088C-4279-4714-AF12-31604E5F8A87}"/>
    <cellStyle name="40% - Accent6 3 9 3" xfId="18196" xr:uid="{B90B273C-106A-493B-9EF0-556F00F3296A}"/>
    <cellStyle name="40% - Accent6 4" xfId="96" xr:uid="{00000000-0005-0000-0000-00005A070000}"/>
    <cellStyle name="40% - Accent6 4 10" xfId="9708" xr:uid="{B620C418-3138-47E4-B263-1F7FAAB6261D}"/>
    <cellStyle name="40% - Accent6 4 2" xfId="665" xr:uid="{00000000-0005-0000-0000-00005B070000}"/>
    <cellStyle name="40% - Accent6 4 2 2" xfId="2936" xr:uid="{00000000-0005-0000-0000-00005C070000}"/>
    <cellStyle name="40% - Accent6 4 2 2 2" xfId="7158" xr:uid="{00000000-0005-0000-0000-00005D070000}"/>
    <cellStyle name="40% - Accent6 4 2 2 2 2" xfId="25783" xr:uid="{A3FDEB12-A424-4027-8F92-18FA807BEE9C}"/>
    <cellStyle name="40% - Accent6 4 2 2 2 3" xfId="16484" xr:uid="{F136E2BA-7C7E-46C5-9A95-213FD3DE8684}"/>
    <cellStyle name="40% - Accent6 4 2 2 3" xfId="21566" xr:uid="{F83D9D60-91F1-4A96-ADBF-268EC788ACEB}"/>
    <cellStyle name="40% - Accent6 4 2 2 4" xfId="12267" xr:uid="{EA7ADFC5-9FF7-4490-B063-8A948BAF42D1}"/>
    <cellStyle name="40% - Accent6 4 2 3" xfId="5013" xr:uid="{00000000-0005-0000-0000-00005E070000}"/>
    <cellStyle name="40% - Accent6 4 2 3 2" xfId="23638" xr:uid="{F83EDAE3-5F49-4573-8291-45AAEBAC2F51}"/>
    <cellStyle name="40% - Accent6 4 2 3 3" xfId="14339" xr:uid="{AB0E0FBE-7A51-4B05-BB2F-69B8C5E816F7}"/>
    <cellStyle name="40% - Accent6 4 2 4" xfId="9383" xr:uid="{07C7426F-B517-4815-A0BF-2BAE02B26B53}"/>
    <cellStyle name="40% - Accent6 4 2 4 2" xfId="27997" xr:uid="{F7C6D1CA-DBF7-4DB5-967B-7013B4638EF1}"/>
    <cellStyle name="40% - Accent6 4 2 4 3" xfId="18698" xr:uid="{1DEBBBE3-5D35-40ED-BAFD-53B4F0FF4549}"/>
    <cellStyle name="40% - Accent6 4 2 5" xfId="19421" xr:uid="{D8C2191E-5999-4094-A480-EC77946FA692}"/>
    <cellStyle name="40% - Accent6 4 2 6" xfId="10122" xr:uid="{EDA4E6D2-9248-4046-BF0B-DF8CC2293F4C}"/>
    <cellStyle name="40% - Accent6 4 3" xfId="1118" xr:uid="{00000000-0005-0000-0000-00005F070000}"/>
    <cellStyle name="40% - Accent6 4 3 2" xfId="3349" xr:uid="{00000000-0005-0000-0000-000060070000}"/>
    <cellStyle name="40% - Accent6 4 3 2 2" xfId="7571" xr:uid="{00000000-0005-0000-0000-000061070000}"/>
    <cellStyle name="40% - Accent6 4 3 2 2 2" xfId="26196" xr:uid="{57174180-421C-4512-9EED-2D660CB35229}"/>
    <cellStyle name="40% - Accent6 4 3 2 2 3" xfId="16897" xr:uid="{65C6005B-DFCD-49E5-9A1A-5F7B04A9CD83}"/>
    <cellStyle name="40% - Accent6 4 3 2 3" xfId="21979" xr:uid="{9CB043E0-FAB1-4A01-962B-3BEC9D8F8C3D}"/>
    <cellStyle name="40% - Accent6 4 3 2 4" xfId="12680" xr:uid="{6B4ECA5E-D153-406D-8B25-72E1F800B245}"/>
    <cellStyle name="40% - Accent6 4 3 3" xfId="5426" xr:uid="{00000000-0005-0000-0000-000062070000}"/>
    <cellStyle name="40% - Accent6 4 3 3 2" xfId="24051" xr:uid="{9AE4FB15-8439-43A1-AE1B-5D61C22223FE}"/>
    <cellStyle name="40% - Accent6 4 3 3 3" xfId="14752" xr:uid="{751B420B-5B7C-4F32-A320-D78CF504C6F7}"/>
    <cellStyle name="40% - Accent6 4 3 4" xfId="19834" xr:uid="{BB83145B-DB15-438C-B4D4-4B446F79A935}"/>
    <cellStyle name="40% - Accent6 4 3 5" xfId="10535" xr:uid="{582E7662-CD4B-4B41-BE93-FFA815118751}"/>
    <cellStyle name="40% - Accent6 4 4" xfId="1532" xr:uid="{00000000-0005-0000-0000-000063070000}"/>
    <cellStyle name="40% - Accent6 4 4 2" xfId="3762" xr:uid="{00000000-0005-0000-0000-000064070000}"/>
    <cellStyle name="40% - Accent6 4 4 2 2" xfId="7984" xr:uid="{00000000-0005-0000-0000-000065070000}"/>
    <cellStyle name="40% - Accent6 4 4 2 2 2" xfId="26609" xr:uid="{876275C9-534A-4D61-A131-60333B68FB12}"/>
    <cellStyle name="40% - Accent6 4 4 2 2 3" xfId="17310" xr:uid="{E9AFAFAF-D6EB-4804-8ADE-47D81384EDA1}"/>
    <cellStyle name="40% - Accent6 4 4 2 3" xfId="22392" xr:uid="{08D8CF68-0B51-47C0-89AB-03372A3CE8E8}"/>
    <cellStyle name="40% - Accent6 4 4 2 4" xfId="13093" xr:uid="{0BF55DE0-D818-4A8C-A000-A3FDE9A5EF79}"/>
    <cellStyle name="40% - Accent6 4 4 3" xfId="5839" xr:uid="{00000000-0005-0000-0000-000066070000}"/>
    <cellStyle name="40% - Accent6 4 4 3 2" xfId="24464" xr:uid="{B5F99183-F670-4EA9-837B-5703E994C02F}"/>
    <cellStyle name="40% - Accent6 4 4 3 3" xfId="15165" xr:uid="{61106D44-C0AA-47FE-9261-22405CAF3711}"/>
    <cellStyle name="40% - Accent6 4 4 4" xfId="20247" xr:uid="{877DBD9F-4314-4497-84FD-2DD150D51329}"/>
    <cellStyle name="40% - Accent6 4 4 5" xfId="10948" xr:uid="{4D48954B-F769-43ED-8AC6-4E45D9E3D9DC}"/>
    <cellStyle name="40% - Accent6 4 5" xfId="1946" xr:uid="{00000000-0005-0000-0000-000067070000}"/>
    <cellStyle name="40% - Accent6 4 5 2" xfId="4175" xr:uid="{00000000-0005-0000-0000-000068070000}"/>
    <cellStyle name="40% - Accent6 4 5 2 2" xfId="8397" xr:uid="{00000000-0005-0000-0000-000069070000}"/>
    <cellStyle name="40% - Accent6 4 5 2 2 2" xfId="27022" xr:uid="{65EBF95A-A584-48C6-83CF-7A5D011F109F}"/>
    <cellStyle name="40% - Accent6 4 5 2 2 3" xfId="17723" xr:uid="{986DC1EC-BF05-43FE-A3DD-F103C4D42994}"/>
    <cellStyle name="40% - Accent6 4 5 2 3" xfId="22805" xr:uid="{79BFAA0F-EC00-4A00-A67F-90DDC14738BB}"/>
    <cellStyle name="40% - Accent6 4 5 2 4" xfId="13506" xr:uid="{C187F34F-4875-49DA-BC15-09BB49F31D1A}"/>
    <cellStyle name="40% - Accent6 4 5 3" xfId="6252" xr:uid="{00000000-0005-0000-0000-00006A070000}"/>
    <cellStyle name="40% - Accent6 4 5 3 2" xfId="24877" xr:uid="{B1A632A7-CC35-4EA6-A670-963E7F85AFD1}"/>
    <cellStyle name="40% - Accent6 4 5 3 3" xfId="15578" xr:uid="{1ECD45EC-F9D0-4E7D-80DE-63725B96CBA3}"/>
    <cellStyle name="40% - Accent6 4 5 4" xfId="20660" xr:uid="{E7EF072F-33A3-4EC1-96FB-BD78811AFD9E}"/>
    <cellStyle name="40% - Accent6 4 5 5" xfId="11361" xr:uid="{5030C354-0046-4989-BB2D-B6EF67C6C52F}"/>
    <cellStyle name="40% - Accent6 4 6" xfId="2359" xr:uid="{00000000-0005-0000-0000-00006B070000}"/>
    <cellStyle name="40% - Accent6 4 6 2" xfId="6665" xr:uid="{00000000-0005-0000-0000-00006C070000}"/>
    <cellStyle name="40% - Accent6 4 6 2 2" xfId="25290" xr:uid="{13C8BF30-AAD6-410B-A4C1-0D64753BF135}"/>
    <cellStyle name="40% - Accent6 4 6 2 3" xfId="15991" xr:uid="{7981E7B2-4CEA-46AE-AA6B-4E157FCA3BB4}"/>
    <cellStyle name="40% - Accent6 4 6 3" xfId="21073" xr:uid="{DD47A0E4-58AE-44F0-B8C7-0E1AD9F3D17C}"/>
    <cellStyle name="40% - Accent6 4 6 4" xfId="11774" xr:uid="{83F9B844-3CEF-4D1E-A0A5-AFF1AF22C9D1}"/>
    <cellStyle name="40% - Accent6 4 7" xfId="4599" xr:uid="{00000000-0005-0000-0000-00006D070000}"/>
    <cellStyle name="40% - Accent6 4 7 2" xfId="23224" xr:uid="{C9905B56-81DA-4197-AB61-BE6EC06D2779}"/>
    <cellStyle name="40% - Accent6 4 7 3" xfId="13925" xr:uid="{6010E9A9-A315-4392-80EC-FBF6BF181EE3}"/>
    <cellStyle name="40% - Accent6 4 8" xfId="8958" xr:uid="{058203D5-6D6D-4106-8D68-93F66B236239}"/>
    <cellStyle name="40% - Accent6 4 8 2" xfId="27581" xr:uid="{96F7CDC0-CA23-4478-BE43-78EF5BA9A740}"/>
    <cellStyle name="40% - Accent6 4 8 3" xfId="18282" xr:uid="{12F7D42E-FE35-448D-8B19-21FD6A411552}"/>
    <cellStyle name="40% - Accent6 4 9" xfId="19007" xr:uid="{CBE938D7-8923-4E6E-A21C-898CE19B2570}"/>
    <cellStyle name="40% - Accent6 5" xfId="658" xr:uid="{00000000-0005-0000-0000-00006E070000}"/>
    <cellStyle name="40% - Accent6 5 2" xfId="2929" xr:uid="{00000000-0005-0000-0000-00006F070000}"/>
    <cellStyle name="40% - Accent6 5 2 2" xfId="7151" xr:uid="{00000000-0005-0000-0000-000070070000}"/>
    <cellStyle name="40% - Accent6 5 2 2 2" xfId="25776" xr:uid="{9338D5A4-9DD3-49A8-8DE4-7E2DA22925C3}"/>
    <cellStyle name="40% - Accent6 5 2 2 3" xfId="16477" xr:uid="{F786FF5B-000E-4526-A412-B9A37D860AAF}"/>
    <cellStyle name="40% - Accent6 5 2 3" xfId="21559" xr:uid="{14269E2A-0DC3-412E-9125-161482B50357}"/>
    <cellStyle name="40% - Accent6 5 2 4" xfId="12260" xr:uid="{2308F4B4-D760-4079-A213-4AAC59BA4936}"/>
    <cellStyle name="40% - Accent6 5 3" xfId="5006" xr:uid="{00000000-0005-0000-0000-000071070000}"/>
    <cellStyle name="40% - Accent6 5 3 2" xfId="23631" xr:uid="{89F56691-2D60-43CC-82BD-2B6A64D23C98}"/>
    <cellStyle name="40% - Accent6 5 3 3" xfId="14332" xr:uid="{4A37D657-CF01-427C-851D-8E01328CDF0E}"/>
    <cellStyle name="40% - Accent6 5 4" xfId="9192" xr:uid="{19661A88-B46A-4EF9-A9F3-4BCF8E242108}"/>
    <cellStyle name="40% - Accent6 5 4 2" xfId="27808" xr:uid="{D2AC8913-6D66-42B6-9389-5EF950C238AD}"/>
    <cellStyle name="40% - Accent6 5 4 3" xfId="18509" xr:uid="{E9C9ED7F-6D3C-43E8-BA92-35924087F5C0}"/>
    <cellStyle name="40% - Accent6 5 5" xfId="19414" xr:uid="{8370A21D-7DD9-4115-B1E6-143EE812963A}"/>
    <cellStyle name="40% - Accent6 5 6" xfId="10115" xr:uid="{4AA93520-76A6-492D-A565-2D9623406FF7}"/>
    <cellStyle name="40% - Accent6 6" xfId="1111" xr:uid="{00000000-0005-0000-0000-000072070000}"/>
    <cellStyle name="40% - Accent6 6 2" xfId="3342" xr:uid="{00000000-0005-0000-0000-000073070000}"/>
    <cellStyle name="40% - Accent6 6 2 2" xfId="7564" xr:uid="{00000000-0005-0000-0000-000074070000}"/>
    <cellStyle name="40% - Accent6 6 2 2 2" xfId="26189" xr:uid="{AFBEBFC5-488D-49E1-8EDB-C0FFB3B344CD}"/>
    <cellStyle name="40% - Accent6 6 2 2 3" xfId="16890" xr:uid="{4D22521F-81CD-42FA-B5B3-6244151A2DEA}"/>
    <cellStyle name="40% - Accent6 6 2 3" xfId="21972" xr:uid="{4DCF253D-007C-4F49-BD34-C340E416FA20}"/>
    <cellStyle name="40% - Accent6 6 2 4" xfId="12673" xr:uid="{C45123F9-EEC8-4EF6-8572-E5BE19F0BD3A}"/>
    <cellStyle name="40% - Accent6 6 3" xfId="5419" xr:uid="{00000000-0005-0000-0000-000075070000}"/>
    <cellStyle name="40% - Accent6 6 3 2" xfId="24044" xr:uid="{6D296A52-A1EC-4342-BC30-C475AD2357E8}"/>
    <cellStyle name="40% - Accent6 6 3 3" xfId="14745" xr:uid="{70F8289D-FFF5-443D-A712-CDB9135B8FE6}"/>
    <cellStyle name="40% - Accent6 6 4" xfId="19827" xr:uid="{B2F08201-AAA8-426D-B541-368DA1969365}"/>
    <cellStyle name="40% - Accent6 6 5" xfId="10528" xr:uid="{D4C82B62-0F14-4F9E-A081-CD687A9DF7DE}"/>
    <cellStyle name="40% - Accent6 7" xfId="1525" xr:uid="{00000000-0005-0000-0000-000076070000}"/>
    <cellStyle name="40% - Accent6 7 2" xfId="3755" xr:uid="{00000000-0005-0000-0000-000077070000}"/>
    <cellStyle name="40% - Accent6 7 2 2" xfId="7977" xr:uid="{00000000-0005-0000-0000-000078070000}"/>
    <cellStyle name="40% - Accent6 7 2 2 2" xfId="26602" xr:uid="{54F75C5A-DDD4-409E-BC94-C9CC3C930727}"/>
    <cellStyle name="40% - Accent6 7 2 2 3" xfId="17303" xr:uid="{08DF30DE-1E2A-4594-A4F9-57877721F94F}"/>
    <cellStyle name="40% - Accent6 7 2 3" xfId="22385" xr:uid="{01819B13-E292-4A9E-B746-58E48FE88B88}"/>
    <cellStyle name="40% - Accent6 7 2 4" xfId="13086" xr:uid="{90BF139E-ABD7-4ECD-AFDD-447A4070FDBA}"/>
    <cellStyle name="40% - Accent6 7 3" xfId="5832" xr:uid="{00000000-0005-0000-0000-000079070000}"/>
    <cellStyle name="40% - Accent6 7 3 2" xfId="24457" xr:uid="{D8E8A60E-9AB4-484C-A5DF-7225021DDBE8}"/>
    <cellStyle name="40% - Accent6 7 3 3" xfId="15158" xr:uid="{F6A9351B-BCF6-4F66-8AE1-FBA202951664}"/>
    <cellStyle name="40% - Accent6 7 4" xfId="20240" xr:uid="{4001BEBC-251B-4D66-A3D3-72ED6F93B7D5}"/>
    <cellStyle name="40% - Accent6 7 5" xfId="10941" xr:uid="{61F4FED1-9AF3-446E-ABE1-F4530FCFF89C}"/>
    <cellStyle name="40% - Accent6 8" xfId="1939" xr:uid="{00000000-0005-0000-0000-00007A070000}"/>
    <cellStyle name="40% - Accent6 8 2" xfId="4168" xr:uid="{00000000-0005-0000-0000-00007B070000}"/>
    <cellStyle name="40% - Accent6 8 2 2" xfId="8390" xr:uid="{00000000-0005-0000-0000-00007C070000}"/>
    <cellStyle name="40% - Accent6 8 2 2 2" xfId="27015" xr:uid="{F246F79A-C236-4EE0-B223-63F9B98D319F}"/>
    <cellStyle name="40% - Accent6 8 2 2 3" xfId="17716" xr:uid="{C8428CC1-0213-4FD0-BC77-D1729B7F09A1}"/>
    <cellStyle name="40% - Accent6 8 2 3" xfId="22798" xr:uid="{BB2AEB00-4BE0-4BFA-88D8-96E7123867AD}"/>
    <cellStyle name="40% - Accent6 8 2 4" xfId="13499" xr:uid="{C3C25C99-1F9F-4DEE-ADB1-EE391640C84F}"/>
    <cellStyle name="40% - Accent6 8 3" xfId="6245" xr:uid="{00000000-0005-0000-0000-00007D070000}"/>
    <cellStyle name="40% - Accent6 8 3 2" xfId="24870" xr:uid="{E5370564-5512-4AE0-8819-B88971E2F604}"/>
    <cellStyle name="40% - Accent6 8 3 3" xfId="15571" xr:uid="{C1B4B3BE-0A49-4887-B87F-A7F229D2BB27}"/>
    <cellStyle name="40% - Accent6 8 4" xfId="20653" xr:uid="{01150C27-DB4A-49BD-891D-B53FCDF23819}"/>
    <cellStyle name="40% - Accent6 8 5" xfId="11354" xr:uid="{D49C9BF2-E0BB-4A13-BD0A-A134C6779889}"/>
    <cellStyle name="40% - Accent6 9" xfId="2352" xr:uid="{00000000-0005-0000-0000-00007E070000}"/>
    <cellStyle name="40% - Accent6 9 2" xfId="6658" xr:uid="{00000000-0005-0000-0000-00007F070000}"/>
    <cellStyle name="40% - Accent6 9 2 2" xfId="25283" xr:uid="{90BF0A20-FE3D-43C1-9388-9B7E93A52581}"/>
    <cellStyle name="40% - Accent6 9 2 3" xfId="15984" xr:uid="{FD6C6275-04B7-4006-83C9-A59296428DAA}"/>
    <cellStyle name="40% - Accent6 9 3" xfId="21066" xr:uid="{5B3E2F2C-43D6-43A7-A842-B08457AB2D05}"/>
    <cellStyle name="40% - Accent6 9 4" xfId="11767" xr:uid="{21F3EE5F-A31E-43C2-8029-8385FA60C9A2}"/>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0 2 2" xfId="25608" xr:uid="{88679251-53FB-4C68-9DD7-8D6921F0C905}"/>
    <cellStyle name="Comma 4 2 2 2 10 2 3" xfId="16309" xr:uid="{83878AFF-468E-4ADA-98CF-6FC5522CED73}"/>
    <cellStyle name="Comma 4 2 2 2 10 3" xfId="21391" xr:uid="{174A515B-D360-42EA-BBF4-E1ACD80BB361}"/>
    <cellStyle name="Comma 4 2 2 2 10 4" xfId="12092" xr:uid="{8A3AE99D-CDBC-4725-AC80-45476E8EE627}"/>
    <cellStyle name="Comma 4 2 2 2 11" xfId="4600" xr:uid="{00000000-0005-0000-0000-0000A3070000}"/>
    <cellStyle name="Comma 4 2 2 2 11 2" xfId="23225" xr:uid="{05681CC6-5D53-45B1-9A46-7FB4AC631ACB}"/>
    <cellStyle name="Comma 4 2 2 2 11 3" xfId="13926" xr:uid="{B33A2947-2680-44B1-A88A-B253FCAE13ED}"/>
    <cellStyle name="Comma 4 2 2 2 12" xfId="8806" xr:uid="{6C773D0B-D2E3-4A8C-B041-8DA2843B9E25}"/>
    <cellStyle name="Comma 4 2 2 2 12 2" xfId="27429" xr:uid="{D6545E26-B191-497B-A9BD-8A199561C335}"/>
    <cellStyle name="Comma 4 2 2 2 12 3" xfId="18130" xr:uid="{086D378B-099D-434B-9F1C-652AC2A30D30}"/>
    <cellStyle name="Comma 4 2 2 2 13" xfId="19008" xr:uid="{3F126D88-3A0B-4732-8DAE-202B32397213}"/>
    <cellStyle name="Comma 4 2 2 2 14" xfId="9709" xr:uid="{E16F6511-32B1-4F17-AFB8-FD1D319BA9D1}"/>
    <cellStyle name="Comma 4 2 2 2 2" xfId="129" xr:uid="{00000000-0005-0000-0000-0000A4070000}"/>
    <cellStyle name="Comma 4 2 2 2 2 10" xfId="4601" xr:uid="{00000000-0005-0000-0000-0000A5070000}"/>
    <cellStyle name="Comma 4 2 2 2 2 10 2" xfId="23226" xr:uid="{3FB4505F-351D-4ADD-B3AA-F34880D37BBE}"/>
    <cellStyle name="Comma 4 2 2 2 2 10 3" xfId="13927" xr:uid="{6753928A-6761-4EE4-A80E-DED72122F3A4}"/>
    <cellStyle name="Comma 4 2 2 2 2 11" xfId="8909" xr:uid="{477FCE05-1F49-4658-A03C-A8A5E7983C47}"/>
    <cellStyle name="Comma 4 2 2 2 2 11 2" xfId="27532" xr:uid="{45F2A3FC-2FB8-4B2B-A10B-85E2A5542D9D}"/>
    <cellStyle name="Comma 4 2 2 2 2 11 3" xfId="18233" xr:uid="{995A8E86-E7AC-4F0F-B6D2-7929D8D6BEC4}"/>
    <cellStyle name="Comma 4 2 2 2 2 12" xfId="19009" xr:uid="{621526EB-1EC5-4F40-808D-0744A2FDF22E}"/>
    <cellStyle name="Comma 4 2 2 2 2 13" xfId="9710" xr:uid="{835DB1BC-1204-458B-B86B-DF7D1F4C51CC}"/>
    <cellStyle name="Comma 4 2 2 2 2 2" xfId="130" xr:uid="{00000000-0005-0000-0000-0000A6070000}"/>
    <cellStyle name="Comma 4 2 2 2 2 2 10" xfId="9116" xr:uid="{7A07505D-6B4C-4086-90B5-B5D345FB7611}"/>
    <cellStyle name="Comma 4 2 2 2 2 2 10 2" xfId="27739" xr:uid="{4BDCF3FF-F959-464D-A750-182DB68AFAAF}"/>
    <cellStyle name="Comma 4 2 2 2 2 2 10 3" xfId="18440" xr:uid="{775E4241-8089-4E37-9541-C9F19EBD65F2}"/>
    <cellStyle name="Comma 4 2 2 2 2 2 11" xfId="19010" xr:uid="{026D939A-46F0-4EEE-A9FF-E32737A5D4BA}"/>
    <cellStyle name="Comma 4 2 2 2 2 2 12" xfId="9711" xr:uid="{54BC4B17-7148-48A2-B22E-147FFCDB79BB}"/>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2 2 2" xfId="25786" xr:uid="{46555335-ECD9-46A5-A94B-4A626E10C976}"/>
    <cellStyle name="Comma 4 2 2 2 2 2 2 2 2 3" xfId="16487" xr:uid="{930269F7-94D3-4F91-9618-7E42B230D7BF}"/>
    <cellStyle name="Comma 4 2 2 2 2 2 2 2 3" xfId="21569" xr:uid="{3DBB8955-EEC5-466E-9CBB-89168ACE2F93}"/>
    <cellStyle name="Comma 4 2 2 2 2 2 2 2 4" xfId="12270" xr:uid="{0992E42B-1496-451B-B1EA-613DBB4A9FBE}"/>
    <cellStyle name="Comma 4 2 2 2 2 2 2 3" xfId="5016" xr:uid="{00000000-0005-0000-0000-0000AA070000}"/>
    <cellStyle name="Comma 4 2 2 2 2 2 2 3 2" xfId="23641" xr:uid="{C30CBFD8-44FD-4710-BD0D-C6257B296B05}"/>
    <cellStyle name="Comma 4 2 2 2 2 2 2 3 3" xfId="14342" xr:uid="{1E42CD89-F6FC-4B0D-BE15-D74116158B4E}"/>
    <cellStyle name="Comma 4 2 2 2 2 2 2 4" xfId="9541" xr:uid="{21DC771E-83A2-48BA-BE40-3E9E8454DE28}"/>
    <cellStyle name="Comma 4 2 2 2 2 2 2 4 2" xfId="28155" xr:uid="{0522D879-DEE2-484C-AB2C-73CD04E9BF10}"/>
    <cellStyle name="Comma 4 2 2 2 2 2 2 4 3" xfId="18856" xr:uid="{833528ED-5405-4097-90E2-EA0395FA5E1C}"/>
    <cellStyle name="Comma 4 2 2 2 2 2 2 5" xfId="19424" xr:uid="{A6A42FC1-E065-4A3F-9586-11EA57FAE874}"/>
    <cellStyle name="Comma 4 2 2 2 2 2 2 6" xfId="10125" xr:uid="{7BD6788A-229A-4341-86E1-77B4A0FFF1B4}"/>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2 2 2" xfId="26199" xr:uid="{92C39310-6173-4208-8FF1-DDA5CBA0B28A}"/>
    <cellStyle name="Comma 4 2 2 2 2 2 3 2 2 3" xfId="16900" xr:uid="{7950FCA5-4D2F-4EA3-8354-A29EA5F30565}"/>
    <cellStyle name="Comma 4 2 2 2 2 2 3 2 3" xfId="21982" xr:uid="{32608C10-AE9D-401C-B8F0-5B92F4D0A6BF}"/>
    <cellStyle name="Comma 4 2 2 2 2 2 3 2 4" xfId="12683" xr:uid="{DF456A86-BF15-4D2D-B678-3C1C7394790D}"/>
    <cellStyle name="Comma 4 2 2 2 2 2 3 3" xfId="5429" xr:uid="{00000000-0005-0000-0000-0000AE070000}"/>
    <cellStyle name="Comma 4 2 2 2 2 2 3 3 2" xfId="24054" xr:uid="{5E457DDE-1994-4F5D-A67C-EDCB9C140A1E}"/>
    <cellStyle name="Comma 4 2 2 2 2 2 3 3 3" xfId="14755" xr:uid="{2B34C52D-DB4A-4D77-8FEE-92ED0A69A134}"/>
    <cellStyle name="Comma 4 2 2 2 2 2 3 4" xfId="19837" xr:uid="{C485E218-E065-4E0D-822B-FCBBEDC1FC0A}"/>
    <cellStyle name="Comma 4 2 2 2 2 2 3 5" xfId="10538" xr:uid="{068C6EF0-7669-486A-B3A3-C15E808BA745}"/>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2 2 2" xfId="26612" xr:uid="{CEB68749-2BD5-45D7-9EC5-BA9B55145204}"/>
    <cellStyle name="Comma 4 2 2 2 2 2 4 2 2 3" xfId="17313" xr:uid="{B117B2EA-6EEC-4B60-AB54-3BCA34187730}"/>
    <cellStyle name="Comma 4 2 2 2 2 2 4 2 3" xfId="22395" xr:uid="{B6E3EA7C-D41B-40FE-AE5E-FFD819883A3C}"/>
    <cellStyle name="Comma 4 2 2 2 2 2 4 2 4" xfId="13096" xr:uid="{C914312B-6493-4881-9771-7616EC4C6917}"/>
    <cellStyle name="Comma 4 2 2 2 2 2 4 3" xfId="5842" xr:uid="{00000000-0005-0000-0000-0000B2070000}"/>
    <cellStyle name="Comma 4 2 2 2 2 2 4 3 2" xfId="24467" xr:uid="{6F0D70CA-06B2-4939-A3C4-816D15198203}"/>
    <cellStyle name="Comma 4 2 2 2 2 2 4 3 3" xfId="15168" xr:uid="{276042FF-6DBE-40C9-8C45-291B09E68FF1}"/>
    <cellStyle name="Comma 4 2 2 2 2 2 4 4" xfId="20250" xr:uid="{1272A50C-8D28-42BC-9208-FD9EB1A1FA2D}"/>
    <cellStyle name="Comma 4 2 2 2 2 2 4 5" xfId="10951" xr:uid="{4830FFDC-7C86-4E5D-BD9D-0A6E92DBEC52}"/>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2 2 2" xfId="27025" xr:uid="{3EF1F534-EC9C-4688-9C85-87A3E3A8D936}"/>
    <cellStyle name="Comma 4 2 2 2 2 2 5 2 2 3" xfId="17726" xr:uid="{BCF4258E-3610-471F-BF32-FD3067CD4318}"/>
    <cellStyle name="Comma 4 2 2 2 2 2 5 2 3" xfId="22808" xr:uid="{37F82186-1A52-45CB-A834-B96F483B92DB}"/>
    <cellStyle name="Comma 4 2 2 2 2 2 5 2 4" xfId="13509" xr:uid="{5C88BEA8-E600-4AFA-86BE-8EF0F35172AD}"/>
    <cellStyle name="Comma 4 2 2 2 2 2 5 3" xfId="6255" xr:uid="{00000000-0005-0000-0000-0000B6070000}"/>
    <cellStyle name="Comma 4 2 2 2 2 2 5 3 2" xfId="24880" xr:uid="{EF12303F-4A73-4E6E-8607-FF28244AC744}"/>
    <cellStyle name="Comma 4 2 2 2 2 2 5 3 3" xfId="15581" xr:uid="{1C19FEEF-1BD5-40E1-AFDC-36A032478731}"/>
    <cellStyle name="Comma 4 2 2 2 2 2 5 4" xfId="20663" xr:uid="{2CBAE4C9-7B8C-40CD-B35E-E1D4EEF2C8F8}"/>
    <cellStyle name="Comma 4 2 2 2 2 2 5 5" xfId="11364" xr:uid="{BE556AC8-DB40-4757-9F58-332E423D079D}"/>
    <cellStyle name="Comma 4 2 2 2 2 2 6" xfId="2384" xr:uid="{00000000-0005-0000-0000-0000B7070000}"/>
    <cellStyle name="Comma 4 2 2 2 2 2 6 2" xfId="6668" xr:uid="{00000000-0005-0000-0000-0000B8070000}"/>
    <cellStyle name="Comma 4 2 2 2 2 2 6 2 2" xfId="25293" xr:uid="{637FC0A9-91F0-48E7-BB7A-827B24FE7735}"/>
    <cellStyle name="Comma 4 2 2 2 2 2 6 2 3" xfId="15994" xr:uid="{5A0E2E9A-8597-49C0-B714-6FAEDAD43DC3}"/>
    <cellStyle name="Comma 4 2 2 2 2 2 6 3" xfId="21076" xr:uid="{094877E7-19D4-45D1-ADC6-46BFBBE73368}"/>
    <cellStyle name="Comma 4 2 2 2 2 2 6 4" xfId="11777" xr:uid="{699700FF-38B7-483A-B5E6-BC797B4FBB29}"/>
    <cellStyle name="Comma 4 2 2 2 2 2 7" xfId="2379" xr:uid="{00000000-0005-0000-0000-0000B9070000}"/>
    <cellStyle name="Comma 4 2 2 2 2 2 8" xfId="2762" xr:uid="{00000000-0005-0000-0000-0000BA070000}"/>
    <cellStyle name="Comma 4 2 2 2 2 2 8 2" xfId="6985" xr:uid="{00000000-0005-0000-0000-0000BB070000}"/>
    <cellStyle name="Comma 4 2 2 2 2 2 8 2 2" xfId="25610" xr:uid="{84DBB79C-11B5-43D8-918F-BD65A394ACAF}"/>
    <cellStyle name="Comma 4 2 2 2 2 2 8 2 3" xfId="16311" xr:uid="{36D6D080-3E17-4FAA-B78A-E0BB1E80A9C4}"/>
    <cellStyle name="Comma 4 2 2 2 2 2 8 3" xfId="21393" xr:uid="{97DAF800-1418-4399-8E15-0638FCD67070}"/>
    <cellStyle name="Comma 4 2 2 2 2 2 8 4" xfId="12094" xr:uid="{02387DA7-38F1-4BE1-BEF5-998DD1CD9282}"/>
    <cellStyle name="Comma 4 2 2 2 2 2 9" xfId="4602" xr:uid="{00000000-0005-0000-0000-0000BC070000}"/>
    <cellStyle name="Comma 4 2 2 2 2 2 9 2" xfId="23227" xr:uid="{10F05C29-5B88-420D-9539-E19C81031E11}"/>
    <cellStyle name="Comma 4 2 2 2 2 2 9 3" xfId="13928" xr:uid="{B48F5D35-6732-4C2B-BD47-B380D5A814CB}"/>
    <cellStyle name="Comma 4 2 2 2 2 3" xfId="667" xr:uid="{00000000-0005-0000-0000-0000BD070000}"/>
    <cellStyle name="Comma 4 2 2 2 2 3 2" xfId="2938" xr:uid="{00000000-0005-0000-0000-0000BE070000}"/>
    <cellStyle name="Comma 4 2 2 2 2 3 2 2" xfId="7160" xr:uid="{00000000-0005-0000-0000-0000BF070000}"/>
    <cellStyle name="Comma 4 2 2 2 2 3 2 2 2" xfId="25785" xr:uid="{488FA99D-DD9A-4D57-9EDA-A001569922A2}"/>
    <cellStyle name="Comma 4 2 2 2 2 3 2 2 3" xfId="16486" xr:uid="{A999661A-4C54-4EA3-B596-004586D7C113}"/>
    <cellStyle name="Comma 4 2 2 2 2 3 2 3" xfId="21568" xr:uid="{0AE1D7E6-F68C-477F-9E38-578A637DBCEB}"/>
    <cellStyle name="Comma 4 2 2 2 2 3 2 4" xfId="12269" xr:uid="{C8D6F6FD-B53F-4712-8C9D-993D7D146A27}"/>
    <cellStyle name="Comma 4 2 2 2 2 3 3" xfId="5015" xr:uid="{00000000-0005-0000-0000-0000C0070000}"/>
    <cellStyle name="Comma 4 2 2 2 2 3 3 2" xfId="23640" xr:uid="{5C16547E-E1A9-4221-9EB6-C431819B31CD}"/>
    <cellStyle name="Comma 4 2 2 2 2 3 3 3" xfId="14341" xr:uid="{41F83A76-377B-44B6-A5DA-53A1897DBC8F}"/>
    <cellStyle name="Comma 4 2 2 2 2 3 4" xfId="9334" xr:uid="{50E8807F-6450-4082-BD30-0A86C2E78D0E}"/>
    <cellStyle name="Comma 4 2 2 2 2 3 4 2" xfId="27948" xr:uid="{EA338448-4CF7-4F52-8DA4-41058E0FD8FF}"/>
    <cellStyle name="Comma 4 2 2 2 2 3 4 3" xfId="18649" xr:uid="{3D5D6491-A9CE-4170-A97C-D3FEE20B298C}"/>
    <cellStyle name="Comma 4 2 2 2 2 3 5" xfId="19423" xr:uid="{4E1C0E5E-FE22-4394-8A72-A17D603E6E76}"/>
    <cellStyle name="Comma 4 2 2 2 2 3 6" xfId="10124" xr:uid="{7AA67B48-B48C-4830-BF1D-B3868DE84862}"/>
    <cellStyle name="Comma 4 2 2 2 2 4" xfId="1120" xr:uid="{00000000-0005-0000-0000-0000C1070000}"/>
    <cellStyle name="Comma 4 2 2 2 2 4 2" xfId="3351" xr:uid="{00000000-0005-0000-0000-0000C2070000}"/>
    <cellStyle name="Comma 4 2 2 2 2 4 2 2" xfId="7573" xr:uid="{00000000-0005-0000-0000-0000C3070000}"/>
    <cellStyle name="Comma 4 2 2 2 2 4 2 2 2" xfId="26198" xr:uid="{2CAFCFED-0046-478A-B43E-8F9D721A56C4}"/>
    <cellStyle name="Comma 4 2 2 2 2 4 2 2 3" xfId="16899" xr:uid="{33CF7EAC-8CBB-4433-8085-08C3BA420449}"/>
    <cellStyle name="Comma 4 2 2 2 2 4 2 3" xfId="21981" xr:uid="{A9D9CD86-3F7A-4BB4-8B27-B006C93D4739}"/>
    <cellStyle name="Comma 4 2 2 2 2 4 2 4" xfId="12682" xr:uid="{83134FDE-4772-4EAD-96A2-E2A621EF9292}"/>
    <cellStyle name="Comma 4 2 2 2 2 4 3" xfId="5428" xr:uid="{00000000-0005-0000-0000-0000C4070000}"/>
    <cellStyle name="Comma 4 2 2 2 2 4 3 2" xfId="24053" xr:uid="{D1B21B1C-1105-4CD3-903C-5B984E210D2A}"/>
    <cellStyle name="Comma 4 2 2 2 2 4 3 3" xfId="14754" xr:uid="{221F51C7-8724-4080-A17D-8785E44D6448}"/>
    <cellStyle name="Comma 4 2 2 2 2 4 4" xfId="19836" xr:uid="{A2BA438E-89BB-4DC8-8386-A2245F755CC6}"/>
    <cellStyle name="Comma 4 2 2 2 2 4 5" xfId="10537" xr:uid="{6AAB911C-5246-4F7E-8EBE-AA44C48BCC4B}"/>
    <cellStyle name="Comma 4 2 2 2 2 5" xfId="1534" xr:uid="{00000000-0005-0000-0000-0000C5070000}"/>
    <cellStyle name="Comma 4 2 2 2 2 5 2" xfId="3764" xr:uid="{00000000-0005-0000-0000-0000C6070000}"/>
    <cellStyle name="Comma 4 2 2 2 2 5 2 2" xfId="7986" xr:uid="{00000000-0005-0000-0000-0000C7070000}"/>
    <cellStyle name="Comma 4 2 2 2 2 5 2 2 2" xfId="26611" xr:uid="{9B4FDAEB-052D-41A6-AA98-C4373B1BE263}"/>
    <cellStyle name="Comma 4 2 2 2 2 5 2 2 3" xfId="17312" xr:uid="{56AA5419-DFFF-44F3-817B-F1231AA1D3C5}"/>
    <cellStyle name="Comma 4 2 2 2 2 5 2 3" xfId="22394" xr:uid="{9C3A8C50-F9CC-484B-9EDD-651B8DFC1AD4}"/>
    <cellStyle name="Comma 4 2 2 2 2 5 2 4" xfId="13095" xr:uid="{7551CE99-40ED-45F2-ABDA-346426E945F8}"/>
    <cellStyle name="Comma 4 2 2 2 2 5 3" xfId="5841" xr:uid="{00000000-0005-0000-0000-0000C8070000}"/>
    <cellStyle name="Comma 4 2 2 2 2 5 3 2" xfId="24466" xr:uid="{E609DCF0-F23D-4DD7-B2A0-04DEB8BB495D}"/>
    <cellStyle name="Comma 4 2 2 2 2 5 3 3" xfId="15167" xr:uid="{54DBA9EF-72A2-468E-88CD-E82DB4E3A190}"/>
    <cellStyle name="Comma 4 2 2 2 2 5 4" xfId="20249" xr:uid="{92AE930F-7949-4DBD-9B0C-616EC4A4C643}"/>
    <cellStyle name="Comma 4 2 2 2 2 5 5" xfId="10950" xr:uid="{A35EDE61-E84B-4FB4-8656-74A4E8308BC1}"/>
    <cellStyle name="Comma 4 2 2 2 2 6" xfId="1948" xr:uid="{00000000-0005-0000-0000-0000C9070000}"/>
    <cellStyle name="Comma 4 2 2 2 2 6 2" xfId="4177" xr:uid="{00000000-0005-0000-0000-0000CA070000}"/>
    <cellStyle name="Comma 4 2 2 2 2 6 2 2" xfId="8399" xr:uid="{00000000-0005-0000-0000-0000CB070000}"/>
    <cellStyle name="Comma 4 2 2 2 2 6 2 2 2" xfId="27024" xr:uid="{D5308377-55D7-478E-82D5-8E8A14E0B972}"/>
    <cellStyle name="Comma 4 2 2 2 2 6 2 2 3" xfId="17725" xr:uid="{884E3556-EA7C-4371-8CF6-D144B01046C0}"/>
    <cellStyle name="Comma 4 2 2 2 2 6 2 3" xfId="22807" xr:uid="{081FA4FB-BF75-4D87-8AA8-32E54F100E1A}"/>
    <cellStyle name="Comma 4 2 2 2 2 6 2 4" xfId="13508" xr:uid="{37F76011-42D5-45CB-95C9-4733286040FB}"/>
    <cellStyle name="Comma 4 2 2 2 2 6 3" xfId="6254" xr:uid="{00000000-0005-0000-0000-0000CC070000}"/>
    <cellStyle name="Comma 4 2 2 2 2 6 3 2" xfId="24879" xr:uid="{25C2004D-566D-4406-A419-1ECA4B5CBD2F}"/>
    <cellStyle name="Comma 4 2 2 2 2 6 3 3" xfId="15580" xr:uid="{CB68080C-2BF3-4104-974C-5835FBA74C8F}"/>
    <cellStyle name="Comma 4 2 2 2 2 6 4" xfId="20662" xr:uid="{9DC743BC-4A65-4FDD-BDB9-0247ED537D33}"/>
    <cellStyle name="Comma 4 2 2 2 2 6 5" xfId="11363" xr:uid="{34FC6850-E077-4E84-9836-58EDA6DFB695}"/>
    <cellStyle name="Comma 4 2 2 2 2 7" xfId="2383" xr:uid="{00000000-0005-0000-0000-0000CD070000}"/>
    <cellStyle name="Comma 4 2 2 2 2 7 2" xfId="6667" xr:uid="{00000000-0005-0000-0000-0000CE070000}"/>
    <cellStyle name="Comma 4 2 2 2 2 7 2 2" xfId="25292" xr:uid="{7B932CA8-E9C1-4048-949B-A9F856979356}"/>
    <cellStyle name="Comma 4 2 2 2 2 7 2 3" xfId="15993" xr:uid="{D445A586-3A64-48B0-89EE-D2332C54024A}"/>
    <cellStyle name="Comma 4 2 2 2 2 7 3" xfId="21075" xr:uid="{CE52EE01-291F-4E21-91CC-187EEBE3447A}"/>
    <cellStyle name="Comma 4 2 2 2 2 7 4" xfId="11776" xr:uid="{11E18565-2927-4975-84AB-9151D1641F87}"/>
    <cellStyle name="Comma 4 2 2 2 2 8" xfId="2380" xr:uid="{00000000-0005-0000-0000-0000CF070000}"/>
    <cellStyle name="Comma 4 2 2 2 2 9" xfId="2761" xr:uid="{00000000-0005-0000-0000-0000D0070000}"/>
    <cellStyle name="Comma 4 2 2 2 2 9 2" xfId="6984" xr:uid="{00000000-0005-0000-0000-0000D1070000}"/>
    <cellStyle name="Comma 4 2 2 2 2 9 2 2" xfId="25609" xr:uid="{63B6A0FB-83C7-4ACA-B500-E81EB86ED27F}"/>
    <cellStyle name="Comma 4 2 2 2 2 9 2 3" xfId="16310" xr:uid="{88FE4ECF-496E-4539-8B77-4DD45F4E5A71}"/>
    <cellStyle name="Comma 4 2 2 2 2 9 3" xfId="21392" xr:uid="{465A22B8-B78D-43CA-B9E3-C687575A8CE7}"/>
    <cellStyle name="Comma 4 2 2 2 2 9 4" xfId="12093" xr:uid="{C60890AA-478C-4DB6-AFBB-E823F15E4CD7}"/>
    <cellStyle name="Comma 4 2 2 2 3" xfId="131" xr:uid="{00000000-0005-0000-0000-0000D2070000}"/>
    <cellStyle name="Comma 4 2 2 2 3 10" xfId="9013" xr:uid="{D7491CA1-A7A0-4099-A659-9FB418CDDACA}"/>
    <cellStyle name="Comma 4 2 2 2 3 10 2" xfId="27636" xr:uid="{91FEA339-FEAB-43E2-BDD2-6171B7DB0DEF}"/>
    <cellStyle name="Comma 4 2 2 2 3 10 3" xfId="18337" xr:uid="{03F9B9BD-E75B-410D-AA5F-8E502F41DE18}"/>
    <cellStyle name="Comma 4 2 2 2 3 11" xfId="19011" xr:uid="{26253756-F022-47FC-AD5E-D710F6315367}"/>
    <cellStyle name="Comma 4 2 2 2 3 12" xfId="9712" xr:uid="{5B957A89-10FC-44C6-8ED3-D8EA681DFD90}"/>
    <cellStyle name="Comma 4 2 2 2 3 2" xfId="669" xr:uid="{00000000-0005-0000-0000-0000D3070000}"/>
    <cellStyle name="Comma 4 2 2 2 3 2 2" xfId="2940" xr:uid="{00000000-0005-0000-0000-0000D4070000}"/>
    <cellStyle name="Comma 4 2 2 2 3 2 2 2" xfId="7162" xr:uid="{00000000-0005-0000-0000-0000D5070000}"/>
    <cellStyle name="Comma 4 2 2 2 3 2 2 2 2" xfId="25787" xr:uid="{385B2DAB-2609-4F7F-9F27-B23011CB6E4B}"/>
    <cellStyle name="Comma 4 2 2 2 3 2 2 2 3" xfId="16488" xr:uid="{F3E3B8C2-E032-417A-A64E-FC0CE7F334B6}"/>
    <cellStyle name="Comma 4 2 2 2 3 2 2 3" xfId="21570" xr:uid="{CC377197-6A9A-4339-A738-0D30073C72D5}"/>
    <cellStyle name="Comma 4 2 2 2 3 2 2 4" xfId="12271" xr:uid="{3EF13E97-B282-4713-8D54-C40E6ADDCEC2}"/>
    <cellStyle name="Comma 4 2 2 2 3 2 3" xfId="5017" xr:uid="{00000000-0005-0000-0000-0000D6070000}"/>
    <cellStyle name="Comma 4 2 2 2 3 2 3 2" xfId="23642" xr:uid="{C7FAB93D-8CE8-4A28-AEF6-23DD6266C4E8}"/>
    <cellStyle name="Comma 4 2 2 2 3 2 3 3" xfId="14343" xr:uid="{A2AC58EE-295A-44AE-90B7-06022C17DBB1}"/>
    <cellStyle name="Comma 4 2 2 2 3 2 4" xfId="9438" xr:uid="{8E9C4341-814A-43D1-8D35-8CCC512A2E32}"/>
    <cellStyle name="Comma 4 2 2 2 3 2 4 2" xfId="28052" xr:uid="{21FD2DC5-922B-45CC-88AD-3F8C77657FE2}"/>
    <cellStyle name="Comma 4 2 2 2 3 2 4 3" xfId="18753" xr:uid="{B0D31C11-3254-4117-B280-43AD60FFDA0B}"/>
    <cellStyle name="Comma 4 2 2 2 3 2 5" xfId="19425" xr:uid="{50F79924-7AE9-4839-8F2F-61AD363E450C}"/>
    <cellStyle name="Comma 4 2 2 2 3 2 6" xfId="10126" xr:uid="{501A1241-8B78-488B-A837-A733600A5486}"/>
    <cellStyle name="Comma 4 2 2 2 3 3" xfId="1122" xr:uid="{00000000-0005-0000-0000-0000D7070000}"/>
    <cellStyle name="Comma 4 2 2 2 3 3 2" xfId="3353" xr:uid="{00000000-0005-0000-0000-0000D8070000}"/>
    <cellStyle name="Comma 4 2 2 2 3 3 2 2" xfId="7575" xr:uid="{00000000-0005-0000-0000-0000D9070000}"/>
    <cellStyle name="Comma 4 2 2 2 3 3 2 2 2" xfId="26200" xr:uid="{F612CF4E-1596-4AF7-9E60-29C061C62EF3}"/>
    <cellStyle name="Comma 4 2 2 2 3 3 2 2 3" xfId="16901" xr:uid="{F4894D01-DB2C-4A83-99AE-FB654E202123}"/>
    <cellStyle name="Comma 4 2 2 2 3 3 2 3" xfId="21983" xr:uid="{89EE1841-4B75-4B79-8D90-6B40F6BA509C}"/>
    <cellStyle name="Comma 4 2 2 2 3 3 2 4" xfId="12684" xr:uid="{500A33FD-E8EB-4087-84F3-BC07CE58CC0B}"/>
    <cellStyle name="Comma 4 2 2 2 3 3 3" xfId="5430" xr:uid="{00000000-0005-0000-0000-0000DA070000}"/>
    <cellStyle name="Comma 4 2 2 2 3 3 3 2" xfId="24055" xr:uid="{2C40E15C-A5AC-4903-AA81-CFA6943B1A87}"/>
    <cellStyle name="Comma 4 2 2 2 3 3 3 3" xfId="14756" xr:uid="{CE381E85-CB7C-4B5D-AB2A-7D5747F53478}"/>
    <cellStyle name="Comma 4 2 2 2 3 3 4" xfId="19838" xr:uid="{415C34B0-D28B-4C60-9EB0-AD953094BAF8}"/>
    <cellStyle name="Comma 4 2 2 2 3 3 5" xfId="10539" xr:uid="{23AE9D7D-2B84-4ED5-B7CA-67160B67E7B0}"/>
    <cellStyle name="Comma 4 2 2 2 3 4" xfId="1536" xr:uid="{00000000-0005-0000-0000-0000DB070000}"/>
    <cellStyle name="Comma 4 2 2 2 3 4 2" xfId="3766" xr:uid="{00000000-0005-0000-0000-0000DC070000}"/>
    <cellStyle name="Comma 4 2 2 2 3 4 2 2" xfId="7988" xr:uid="{00000000-0005-0000-0000-0000DD070000}"/>
    <cellStyle name="Comma 4 2 2 2 3 4 2 2 2" xfId="26613" xr:uid="{C3256C2D-87AC-4A5A-833C-01C15649B57D}"/>
    <cellStyle name="Comma 4 2 2 2 3 4 2 2 3" xfId="17314" xr:uid="{A50EA2F3-B495-4815-9FB2-13A4FA445A36}"/>
    <cellStyle name="Comma 4 2 2 2 3 4 2 3" xfId="22396" xr:uid="{2003F671-2667-4883-958F-BF87A4B717BD}"/>
    <cellStyle name="Comma 4 2 2 2 3 4 2 4" xfId="13097" xr:uid="{C9A55F72-FF98-4232-BA1B-89AD9086B65C}"/>
    <cellStyle name="Comma 4 2 2 2 3 4 3" xfId="5843" xr:uid="{00000000-0005-0000-0000-0000DE070000}"/>
    <cellStyle name="Comma 4 2 2 2 3 4 3 2" xfId="24468" xr:uid="{0BDE3F16-B0BD-4DF6-BC9C-F026DED4423A}"/>
    <cellStyle name="Comma 4 2 2 2 3 4 3 3" xfId="15169" xr:uid="{CD4C5A03-B836-4F6A-B801-431E3AB6725E}"/>
    <cellStyle name="Comma 4 2 2 2 3 4 4" xfId="20251" xr:uid="{3DCFEC76-EEC2-4220-85FE-3FBAE914CD82}"/>
    <cellStyle name="Comma 4 2 2 2 3 4 5" xfId="10952" xr:uid="{59B2C9FF-3D2F-4AD8-96A9-E3F83E29AE83}"/>
    <cellStyle name="Comma 4 2 2 2 3 5" xfId="1950" xr:uid="{00000000-0005-0000-0000-0000DF070000}"/>
    <cellStyle name="Comma 4 2 2 2 3 5 2" xfId="4179" xr:uid="{00000000-0005-0000-0000-0000E0070000}"/>
    <cellStyle name="Comma 4 2 2 2 3 5 2 2" xfId="8401" xr:uid="{00000000-0005-0000-0000-0000E1070000}"/>
    <cellStyle name="Comma 4 2 2 2 3 5 2 2 2" xfId="27026" xr:uid="{9BC97CB0-8E02-4854-8D1D-ACEA48AAA5B9}"/>
    <cellStyle name="Comma 4 2 2 2 3 5 2 2 3" xfId="17727" xr:uid="{834E2D85-AB93-4F9A-966D-2C8BA35BE78B}"/>
    <cellStyle name="Comma 4 2 2 2 3 5 2 3" xfId="22809" xr:uid="{999D150A-4171-4FD9-AE0C-0C0B32E1B50E}"/>
    <cellStyle name="Comma 4 2 2 2 3 5 2 4" xfId="13510" xr:uid="{F5F70A6D-606A-49EE-B096-FD448C03F9E2}"/>
    <cellStyle name="Comma 4 2 2 2 3 5 3" xfId="6256" xr:uid="{00000000-0005-0000-0000-0000E2070000}"/>
    <cellStyle name="Comma 4 2 2 2 3 5 3 2" xfId="24881" xr:uid="{262D46B5-0303-401A-A8F8-4ECB0CE64AA7}"/>
    <cellStyle name="Comma 4 2 2 2 3 5 3 3" xfId="15582" xr:uid="{B6B07EED-6E67-4A10-9B6C-8BAACDB6D1B6}"/>
    <cellStyle name="Comma 4 2 2 2 3 5 4" xfId="20664" xr:uid="{C545501D-FA08-46DE-965D-FB3FC760B6D6}"/>
    <cellStyle name="Comma 4 2 2 2 3 5 5" xfId="11365" xr:uid="{D24E3E92-752B-4211-B078-6400A7A4858E}"/>
    <cellStyle name="Comma 4 2 2 2 3 6" xfId="2385" xr:uid="{00000000-0005-0000-0000-0000E3070000}"/>
    <cellStyle name="Comma 4 2 2 2 3 6 2" xfId="6669" xr:uid="{00000000-0005-0000-0000-0000E4070000}"/>
    <cellStyle name="Comma 4 2 2 2 3 6 2 2" xfId="25294" xr:uid="{F00ADBCA-90AF-456A-A89F-AB475AFF61F5}"/>
    <cellStyle name="Comma 4 2 2 2 3 6 2 3" xfId="15995" xr:uid="{D902711F-8B36-415A-AC58-26C12EED9113}"/>
    <cellStyle name="Comma 4 2 2 2 3 6 3" xfId="21077" xr:uid="{A2E62777-0EA8-40AC-8191-0A2DC06AA9AF}"/>
    <cellStyle name="Comma 4 2 2 2 3 6 4" xfId="11778" xr:uid="{7F50D881-3D66-4732-AEC0-8160F4F2B0F4}"/>
    <cellStyle name="Comma 4 2 2 2 3 7" xfId="2378" xr:uid="{00000000-0005-0000-0000-0000E5070000}"/>
    <cellStyle name="Comma 4 2 2 2 3 8" xfId="2763" xr:uid="{00000000-0005-0000-0000-0000E6070000}"/>
    <cellStyle name="Comma 4 2 2 2 3 8 2" xfId="6986" xr:uid="{00000000-0005-0000-0000-0000E7070000}"/>
    <cellStyle name="Comma 4 2 2 2 3 8 2 2" xfId="25611" xr:uid="{0AA947DA-E929-419D-BA7B-9857C594D28B}"/>
    <cellStyle name="Comma 4 2 2 2 3 8 2 3" xfId="16312" xr:uid="{C331785F-20FF-4C3C-9E8F-F01D1C642A4F}"/>
    <cellStyle name="Comma 4 2 2 2 3 8 3" xfId="21394" xr:uid="{3D20B160-4826-43BA-A162-4974DE55E587}"/>
    <cellStyle name="Comma 4 2 2 2 3 8 4" xfId="12095" xr:uid="{CBF91875-3A2B-4DA1-858E-5BA7E04BFD36}"/>
    <cellStyle name="Comma 4 2 2 2 3 9" xfId="4603" xr:uid="{00000000-0005-0000-0000-0000E8070000}"/>
    <cellStyle name="Comma 4 2 2 2 3 9 2" xfId="23228" xr:uid="{32CB46F6-AA20-47F2-8A64-D8E9EDAB5886}"/>
    <cellStyle name="Comma 4 2 2 2 3 9 3" xfId="13929" xr:uid="{8A187428-8137-4F23-A34B-40B543232E32}"/>
    <cellStyle name="Comma 4 2 2 2 4" xfId="666" xr:uid="{00000000-0005-0000-0000-0000E9070000}"/>
    <cellStyle name="Comma 4 2 2 2 4 2" xfId="2937" xr:uid="{00000000-0005-0000-0000-0000EA070000}"/>
    <cellStyle name="Comma 4 2 2 2 4 2 2" xfId="7159" xr:uid="{00000000-0005-0000-0000-0000EB070000}"/>
    <cellStyle name="Comma 4 2 2 2 4 2 2 2" xfId="25784" xr:uid="{4F08F4AC-8D7C-4985-BE65-7C90A7BB17C8}"/>
    <cellStyle name="Comma 4 2 2 2 4 2 2 3" xfId="16485" xr:uid="{E556A501-BF18-4D91-B82F-650FCAD62B31}"/>
    <cellStyle name="Comma 4 2 2 2 4 2 3" xfId="21567" xr:uid="{D177DC26-A41F-4284-8925-C71A633ADB41}"/>
    <cellStyle name="Comma 4 2 2 2 4 2 4" xfId="12268" xr:uid="{B2D675C5-EC61-4AC0-9263-ECFE58D453E5}"/>
    <cellStyle name="Comma 4 2 2 2 4 3" xfId="5014" xr:uid="{00000000-0005-0000-0000-0000EC070000}"/>
    <cellStyle name="Comma 4 2 2 2 4 3 2" xfId="23639" xr:uid="{FD7AA797-A3D5-47FD-8229-F97CC677614A}"/>
    <cellStyle name="Comma 4 2 2 2 4 3 3" xfId="14340" xr:uid="{9D182B8A-05B2-4116-B1CE-0CEECABB3E89}"/>
    <cellStyle name="Comma 4 2 2 2 4 4" xfId="9231" xr:uid="{31DAC97A-9492-467B-9850-183797A56FBE}"/>
    <cellStyle name="Comma 4 2 2 2 4 4 2" xfId="27845" xr:uid="{DFBBD4B0-2853-4AD5-BFBC-01E1981A921A}"/>
    <cellStyle name="Comma 4 2 2 2 4 4 3" xfId="18546" xr:uid="{30AE3331-6EEA-4F85-9C97-1618442B573E}"/>
    <cellStyle name="Comma 4 2 2 2 4 5" xfId="19422" xr:uid="{6B2A5797-019A-45AD-974E-276C8F864C06}"/>
    <cellStyle name="Comma 4 2 2 2 4 6" xfId="10123" xr:uid="{E7F69F76-5938-492E-8793-A8D4F601218D}"/>
    <cellStyle name="Comma 4 2 2 2 5" xfId="1119" xr:uid="{00000000-0005-0000-0000-0000ED070000}"/>
    <cellStyle name="Comma 4 2 2 2 5 2" xfId="3350" xr:uid="{00000000-0005-0000-0000-0000EE070000}"/>
    <cellStyle name="Comma 4 2 2 2 5 2 2" xfId="7572" xr:uid="{00000000-0005-0000-0000-0000EF070000}"/>
    <cellStyle name="Comma 4 2 2 2 5 2 2 2" xfId="26197" xr:uid="{10E5C8EC-6997-4BC2-BCE3-E47107B2B3FF}"/>
    <cellStyle name="Comma 4 2 2 2 5 2 2 3" xfId="16898" xr:uid="{3C6320CB-1123-4B15-AADB-48FB9AA57709}"/>
    <cellStyle name="Comma 4 2 2 2 5 2 3" xfId="21980" xr:uid="{82CFAF23-265D-477D-8963-3B5412BB4647}"/>
    <cellStyle name="Comma 4 2 2 2 5 2 4" xfId="12681" xr:uid="{23313A17-C030-4398-8484-C0F4CFE56CA6}"/>
    <cellStyle name="Comma 4 2 2 2 5 3" xfId="5427" xr:uid="{00000000-0005-0000-0000-0000F0070000}"/>
    <cellStyle name="Comma 4 2 2 2 5 3 2" xfId="24052" xr:uid="{B794B252-B623-4DAB-9621-62B0009AA6B4}"/>
    <cellStyle name="Comma 4 2 2 2 5 3 3" xfId="14753" xr:uid="{9D43A6FE-F161-47C8-AF27-01A6EE8ABB15}"/>
    <cellStyle name="Comma 4 2 2 2 5 4" xfId="19835" xr:uid="{4A5CC96D-FBC9-4880-859E-823B3D565087}"/>
    <cellStyle name="Comma 4 2 2 2 5 5" xfId="10536" xr:uid="{39A044E5-07CF-496B-B068-25CAFB55C7F0}"/>
    <cellStyle name="Comma 4 2 2 2 6" xfId="1533" xr:uid="{00000000-0005-0000-0000-0000F1070000}"/>
    <cellStyle name="Comma 4 2 2 2 6 2" xfId="3763" xr:uid="{00000000-0005-0000-0000-0000F2070000}"/>
    <cellStyle name="Comma 4 2 2 2 6 2 2" xfId="7985" xr:uid="{00000000-0005-0000-0000-0000F3070000}"/>
    <cellStyle name="Comma 4 2 2 2 6 2 2 2" xfId="26610" xr:uid="{C31EA078-05C6-4B4A-9967-88CC2FA83000}"/>
    <cellStyle name="Comma 4 2 2 2 6 2 2 3" xfId="17311" xr:uid="{E2B0A0E4-F408-44E0-B1E9-969CF9AB3AFB}"/>
    <cellStyle name="Comma 4 2 2 2 6 2 3" xfId="22393" xr:uid="{1ABC724E-0509-4E97-A3CC-DF5623C3B72E}"/>
    <cellStyle name="Comma 4 2 2 2 6 2 4" xfId="13094" xr:uid="{2B280327-AAF3-4F19-AB17-9BA5232AB6A7}"/>
    <cellStyle name="Comma 4 2 2 2 6 3" xfId="5840" xr:uid="{00000000-0005-0000-0000-0000F4070000}"/>
    <cellStyle name="Comma 4 2 2 2 6 3 2" xfId="24465" xr:uid="{FBCD2CA1-869D-4271-B44A-1690BB3E2837}"/>
    <cellStyle name="Comma 4 2 2 2 6 3 3" xfId="15166" xr:uid="{6D02AF54-29FE-41FB-8466-B654CE85F051}"/>
    <cellStyle name="Comma 4 2 2 2 6 4" xfId="20248" xr:uid="{01C3509F-0C5D-4EAE-B9E0-31EBB44A1AC5}"/>
    <cellStyle name="Comma 4 2 2 2 6 5" xfId="10949" xr:uid="{7598B46C-CAEB-42BE-8093-297CCFAB4303}"/>
    <cellStyle name="Comma 4 2 2 2 7" xfId="1947" xr:uid="{00000000-0005-0000-0000-0000F5070000}"/>
    <cellStyle name="Comma 4 2 2 2 7 2" xfId="4176" xr:uid="{00000000-0005-0000-0000-0000F6070000}"/>
    <cellStyle name="Comma 4 2 2 2 7 2 2" xfId="8398" xr:uid="{00000000-0005-0000-0000-0000F7070000}"/>
    <cellStyle name="Comma 4 2 2 2 7 2 2 2" xfId="27023" xr:uid="{9D40C224-0434-4F7E-A1F2-2BA1DD05548C}"/>
    <cellStyle name="Comma 4 2 2 2 7 2 2 3" xfId="17724" xr:uid="{E5CF2E63-4F07-404B-895E-6C8AFC07C3D3}"/>
    <cellStyle name="Comma 4 2 2 2 7 2 3" xfId="22806" xr:uid="{3825F588-5A8B-47BF-8F48-FA312ED8CCF5}"/>
    <cellStyle name="Comma 4 2 2 2 7 2 4" xfId="13507" xr:uid="{7AEE9A8D-E534-4CD5-B2EC-32EBB4E066B3}"/>
    <cellStyle name="Comma 4 2 2 2 7 3" xfId="6253" xr:uid="{00000000-0005-0000-0000-0000F8070000}"/>
    <cellStyle name="Comma 4 2 2 2 7 3 2" xfId="24878" xr:uid="{FA98F684-463F-422A-AE00-DCBE292A1DAF}"/>
    <cellStyle name="Comma 4 2 2 2 7 3 3" xfId="15579" xr:uid="{E5928D34-6151-433D-93FE-B1681F087B2B}"/>
    <cellStyle name="Comma 4 2 2 2 7 4" xfId="20661" xr:uid="{193EE0D5-AF68-4936-B67E-F3B9817405B1}"/>
    <cellStyle name="Comma 4 2 2 2 7 5" xfId="11362" xr:uid="{52E8E90B-BAFF-45F4-8CA4-DC8EF7656A95}"/>
    <cellStyle name="Comma 4 2 2 2 8" xfId="2382" xr:uid="{00000000-0005-0000-0000-0000F9070000}"/>
    <cellStyle name="Comma 4 2 2 2 8 2" xfId="6666" xr:uid="{00000000-0005-0000-0000-0000FA070000}"/>
    <cellStyle name="Comma 4 2 2 2 8 2 2" xfId="25291" xr:uid="{A13CB0F9-5169-47D8-90E3-70814D6AC560}"/>
    <cellStyle name="Comma 4 2 2 2 8 2 3" xfId="15992" xr:uid="{98FBCFB8-D8C8-4146-9D6D-3D3F65C6071C}"/>
    <cellStyle name="Comma 4 2 2 2 8 3" xfId="21074" xr:uid="{06F6E8F0-FD0F-4703-B133-B98A224B7611}"/>
    <cellStyle name="Comma 4 2 2 2 8 4" xfId="11775" xr:uid="{93324B17-DE99-4373-8447-3FEB4D8D63C2}"/>
    <cellStyle name="Comma 4 2 2 2 9" xfId="2381" xr:uid="{00000000-0005-0000-0000-0000FB070000}"/>
    <cellStyle name="Comma 4 2 2 3" xfId="132" xr:uid="{00000000-0005-0000-0000-0000FC070000}"/>
    <cellStyle name="Comma 4 2 2 3 10" xfId="4604" xr:uid="{00000000-0005-0000-0000-0000FD070000}"/>
    <cellStyle name="Comma 4 2 2 3 10 2" xfId="23229" xr:uid="{7A6402F6-D172-4536-87CD-E994B0F2590D}"/>
    <cellStyle name="Comma 4 2 2 3 10 3" xfId="13930" xr:uid="{63A59A08-6DD9-41FD-8620-186FF736EB92}"/>
    <cellStyle name="Comma 4 2 2 3 11" xfId="8889" xr:uid="{93813409-C042-4436-8561-B0237A135E7D}"/>
    <cellStyle name="Comma 4 2 2 3 11 2" xfId="27512" xr:uid="{66C4F211-5E5C-46C4-A7F1-4D88CF52EE54}"/>
    <cellStyle name="Comma 4 2 2 3 11 3" xfId="18213" xr:uid="{F9840828-EAFE-49B8-906D-B1C1223F3651}"/>
    <cellStyle name="Comma 4 2 2 3 12" xfId="19012" xr:uid="{FBF27B3F-792D-47F3-BDA0-7A6C0F08B27A}"/>
    <cellStyle name="Comma 4 2 2 3 13" xfId="9713" xr:uid="{88C9D68D-9AA8-4AE4-8E09-A1DDD591A0EA}"/>
    <cellStyle name="Comma 4 2 2 3 2" xfId="133" xr:uid="{00000000-0005-0000-0000-0000FE070000}"/>
    <cellStyle name="Comma 4 2 2 3 2 10" xfId="9096" xr:uid="{C395B6CC-7E3E-452B-B5AB-BBF992A45CEB}"/>
    <cellStyle name="Comma 4 2 2 3 2 10 2" xfId="27719" xr:uid="{3A1C89E5-41B1-4405-9C10-34979B832556}"/>
    <cellStyle name="Comma 4 2 2 3 2 10 3" xfId="18420" xr:uid="{7A95646F-8E71-4CDB-B67E-3FE70D3EFE3A}"/>
    <cellStyle name="Comma 4 2 2 3 2 11" xfId="19013" xr:uid="{F4ABCFF6-5887-4C9F-B6AC-FBD1D976872D}"/>
    <cellStyle name="Comma 4 2 2 3 2 12" xfId="9714" xr:uid="{595164A3-8C0D-460B-9F93-2138EFBF820F}"/>
    <cellStyle name="Comma 4 2 2 3 2 2" xfId="671" xr:uid="{00000000-0005-0000-0000-0000FF070000}"/>
    <cellStyle name="Comma 4 2 2 3 2 2 2" xfId="2942" xr:uid="{00000000-0005-0000-0000-000000080000}"/>
    <cellStyle name="Comma 4 2 2 3 2 2 2 2" xfId="7164" xr:uid="{00000000-0005-0000-0000-000001080000}"/>
    <cellStyle name="Comma 4 2 2 3 2 2 2 2 2" xfId="25789" xr:uid="{740E38B7-E3F5-4DBB-B806-DAA2E3A8F760}"/>
    <cellStyle name="Comma 4 2 2 3 2 2 2 2 3" xfId="16490" xr:uid="{A53CF9BE-9D12-457F-8599-0BF3C5658EA5}"/>
    <cellStyle name="Comma 4 2 2 3 2 2 2 3" xfId="21572" xr:uid="{00F2AE49-F2A0-45D0-952D-AB56AC4AFDC6}"/>
    <cellStyle name="Comma 4 2 2 3 2 2 2 4" xfId="12273" xr:uid="{2A392C5B-A101-4141-B017-E05D2FD8AB72}"/>
    <cellStyle name="Comma 4 2 2 3 2 2 3" xfId="5019" xr:uid="{00000000-0005-0000-0000-000002080000}"/>
    <cellStyle name="Comma 4 2 2 3 2 2 3 2" xfId="23644" xr:uid="{2B5A7E8F-1761-4D61-820E-80D5F6876159}"/>
    <cellStyle name="Comma 4 2 2 3 2 2 3 3" xfId="14345" xr:uid="{3FF8E5D7-9CB9-4768-9706-9DC256F1D443}"/>
    <cellStyle name="Comma 4 2 2 3 2 2 4" xfId="9521" xr:uid="{8F14F654-C711-4E70-8A06-71F68E70E2E0}"/>
    <cellStyle name="Comma 4 2 2 3 2 2 4 2" xfId="28135" xr:uid="{A38DA073-FBE7-49E0-9861-24E6F7FF3B77}"/>
    <cellStyle name="Comma 4 2 2 3 2 2 4 3" xfId="18836" xr:uid="{8A22CB8E-8399-486B-AE9F-EC92C6D147C0}"/>
    <cellStyle name="Comma 4 2 2 3 2 2 5" xfId="19427" xr:uid="{34E630F5-596E-4DBA-8995-50A9EF6135E8}"/>
    <cellStyle name="Comma 4 2 2 3 2 2 6" xfId="10128" xr:uid="{87E8D690-CA4D-478D-8781-CB8DEA6EB4AB}"/>
    <cellStyle name="Comma 4 2 2 3 2 3" xfId="1124" xr:uid="{00000000-0005-0000-0000-000003080000}"/>
    <cellStyle name="Comma 4 2 2 3 2 3 2" xfId="3355" xr:uid="{00000000-0005-0000-0000-000004080000}"/>
    <cellStyle name="Comma 4 2 2 3 2 3 2 2" xfId="7577" xr:uid="{00000000-0005-0000-0000-000005080000}"/>
    <cellStyle name="Comma 4 2 2 3 2 3 2 2 2" xfId="26202" xr:uid="{AD16EE4A-25AB-44CD-AC00-A5435DF063DA}"/>
    <cellStyle name="Comma 4 2 2 3 2 3 2 2 3" xfId="16903" xr:uid="{86948BBA-AA5D-4EAF-A312-5CC40E7CAAB1}"/>
    <cellStyle name="Comma 4 2 2 3 2 3 2 3" xfId="21985" xr:uid="{03A75FB9-88AF-4287-8CE7-34B1EFA3DD88}"/>
    <cellStyle name="Comma 4 2 2 3 2 3 2 4" xfId="12686" xr:uid="{31C355F8-0BDB-47D7-AE09-407F7D312C84}"/>
    <cellStyle name="Comma 4 2 2 3 2 3 3" xfId="5432" xr:uid="{00000000-0005-0000-0000-000006080000}"/>
    <cellStyle name="Comma 4 2 2 3 2 3 3 2" xfId="24057" xr:uid="{A1B697BB-A2FE-4019-B2FB-EB750278AB6F}"/>
    <cellStyle name="Comma 4 2 2 3 2 3 3 3" xfId="14758" xr:uid="{414DE48D-99C8-4F2F-AE54-BEE16A449CFD}"/>
    <cellStyle name="Comma 4 2 2 3 2 3 4" xfId="19840" xr:uid="{2EC63F36-A860-4BDA-B020-F5654C7B3779}"/>
    <cellStyle name="Comma 4 2 2 3 2 3 5" xfId="10541" xr:uid="{E2BD1FDD-02E4-42F9-BA83-AE8934CF25DA}"/>
    <cellStyle name="Comma 4 2 2 3 2 4" xfId="1538" xr:uid="{00000000-0005-0000-0000-000007080000}"/>
    <cellStyle name="Comma 4 2 2 3 2 4 2" xfId="3768" xr:uid="{00000000-0005-0000-0000-000008080000}"/>
    <cellStyle name="Comma 4 2 2 3 2 4 2 2" xfId="7990" xr:uid="{00000000-0005-0000-0000-000009080000}"/>
    <cellStyle name="Comma 4 2 2 3 2 4 2 2 2" xfId="26615" xr:uid="{D4F0541F-D27F-4267-A422-8F5812A2DF13}"/>
    <cellStyle name="Comma 4 2 2 3 2 4 2 2 3" xfId="17316" xr:uid="{D7EB3418-5A26-40B0-9C81-CD1B3A145809}"/>
    <cellStyle name="Comma 4 2 2 3 2 4 2 3" xfId="22398" xr:uid="{6A9A3C2D-296F-49DE-B225-3E3C329459CF}"/>
    <cellStyle name="Comma 4 2 2 3 2 4 2 4" xfId="13099" xr:uid="{43425762-FC8D-4979-9A26-9B2C251A08EA}"/>
    <cellStyle name="Comma 4 2 2 3 2 4 3" xfId="5845" xr:uid="{00000000-0005-0000-0000-00000A080000}"/>
    <cellStyle name="Comma 4 2 2 3 2 4 3 2" xfId="24470" xr:uid="{AF396EBC-08EE-406E-A01C-3A3639E617A5}"/>
    <cellStyle name="Comma 4 2 2 3 2 4 3 3" xfId="15171" xr:uid="{55C6A77F-B384-4860-9B7F-3399C819890E}"/>
    <cellStyle name="Comma 4 2 2 3 2 4 4" xfId="20253" xr:uid="{6034B0C9-7512-412C-B2A0-74D43E15C9EB}"/>
    <cellStyle name="Comma 4 2 2 3 2 4 5" xfId="10954" xr:uid="{97962B19-86C4-465C-96B6-9B893DA77DF6}"/>
    <cellStyle name="Comma 4 2 2 3 2 5" xfId="1952" xr:uid="{00000000-0005-0000-0000-00000B080000}"/>
    <cellStyle name="Comma 4 2 2 3 2 5 2" xfId="4181" xr:uid="{00000000-0005-0000-0000-00000C080000}"/>
    <cellStyle name="Comma 4 2 2 3 2 5 2 2" xfId="8403" xr:uid="{00000000-0005-0000-0000-00000D080000}"/>
    <cellStyle name="Comma 4 2 2 3 2 5 2 2 2" xfId="27028" xr:uid="{A943283D-E8A1-4207-A297-08ED8D53C5BF}"/>
    <cellStyle name="Comma 4 2 2 3 2 5 2 2 3" xfId="17729" xr:uid="{0F7A7128-E1C8-42F9-AFC5-0A199FBF8335}"/>
    <cellStyle name="Comma 4 2 2 3 2 5 2 3" xfId="22811" xr:uid="{5CCC3B1E-7526-4BD9-9852-786228571F8F}"/>
    <cellStyle name="Comma 4 2 2 3 2 5 2 4" xfId="13512" xr:uid="{C2C84BB1-6822-47E1-AE9B-9B1F6649C400}"/>
    <cellStyle name="Comma 4 2 2 3 2 5 3" xfId="6258" xr:uid="{00000000-0005-0000-0000-00000E080000}"/>
    <cellStyle name="Comma 4 2 2 3 2 5 3 2" xfId="24883" xr:uid="{B6247CA5-76C0-4A42-B799-D09CE2CDC31A}"/>
    <cellStyle name="Comma 4 2 2 3 2 5 3 3" xfId="15584" xr:uid="{D77FAA31-D2A7-46FA-B572-7C9A372D5098}"/>
    <cellStyle name="Comma 4 2 2 3 2 5 4" xfId="20666" xr:uid="{2D22E813-C0EF-4D1D-938A-614E17E959F9}"/>
    <cellStyle name="Comma 4 2 2 3 2 5 5" xfId="11367" xr:uid="{77AB00F8-3BD2-444F-8563-36FD16A67857}"/>
    <cellStyle name="Comma 4 2 2 3 2 6" xfId="2387" xr:uid="{00000000-0005-0000-0000-00000F080000}"/>
    <cellStyle name="Comma 4 2 2 3 2 6 2" xfId="6671" xr:uid="{00000000-0005-0000-0000-000010080000}"/>
    <cellStyle name="Comma 4 2 2 3 2 6 2 2" xfId="25296" xr:uid="{75EFCCAB-F96B-4087-8D2E-6FB0E372743B}"/>
    <cellStyle name="Comma 4 2 2 3 2 6 2 3" xfId="15997" xr:uid="{EC06475F-57F6-4C63-86E4-B0E122C96C82}"/>
    <cellStyle name="Comma 4 2 2 3 2 6 3" xfId="21079" xr:uid="{F4228889-D9FD-4826-BA16-137A4019FD70}"/>
    <cellStyle name="Comma 4 2 2 3 2 6 4" xfId="11780" xr:uid="{133830D5-D272-4852-8660-780D680958A6}"/>
    <cellStyle name="Comma 4 2 2 3 2 7" xfId="2376" xr:uid="{00000000-0005-0000-0000-000011080000}"/>
    <cellStyle name="Comma 4 2 2 3 2 8" xfId="2765" xr:uid="{00000000-0005-0000-0000-000012080000}"/>
    <cellStyle name="Comma 4 2 2 3 2 8 2" xfId="6988" xr:uid="{00000000-0005-0000-0000-000013080000}"/>
    <cellStyle name="Comma 4 2 2 3 2 8 2 2" xfId="25613" xr:uid="{D9334C34-B16C-487E-9322-ABC3F9B2B6CA}"/>
    <cellStyle name="Comma 4 2 2 3 2 8 2 3" xfId="16314" xr:uid="{B2484750-58FF-4FC0-8C25-B03CD5310408}"/>
    <cellStyle name="Comma 4 2 2 3 2 8 3" xfId="21396" xr:uid="{F483F8DF-BD52-4F5C-BE7C-4BA3425DBE51}"/>
    <cellStyle name="Comma 4 2 2 3 2 8 4" xfId="12097" xr:uid="{6B6021CE-452B-48D7-97AF-37BD76F728C1}"/>
    <cellStyle name="Comma 4 2 2 3 2 9" xfId="4605" xr:uid="{00000000-0005-0000-0000-000014080000}"/>
    <cellStyle name="Comma 4 2 2 3 2 9 2" xfId="23230" xr:uid="{1B994F47-9D41-462D-BF45-FCC6A5676E92}"/>
    <cellStyle name="Comma 4 2 2 3 2 9 3" xfId="13931" xr:uid="{21EB5CDC-14F4-4964-B771-1FCBCF2AC4AD}"/>
    <cellStyle name="Comma 4 2 2 3 3" xfId="670" xr:uid="{00000000-0005-0000-0000-000015080000}"/>
    <cellStyle name="Comma 4 2 2 3 3 2" xfId="2941" xr:uid="{00000000-0005-0000-0000-000016080000}"/>
    <cellStyle name="Comma 4 2 2 3 3 2 2" xfId="7163" xr:uid="{00000000-0005-0000-0000-000017080000}"/>
    <cellStyle name="Comma 4 2 2 3 3 2 2 2" xfId="25788" xr:uid="{0559CE81-1836-44D1-B066-1C11631E12BA}"/>
    <cellStyle name="Comma 4 2 2 3 3 2 2 3" xfId="16489" xr:uid="{1EB7EB82-9E59-4737-9D00-A4FBDAEB2FD1}"/>
    <cellStyle name="Comma 4 2 2 3 3 2 3" xfId="21571" xr:uid="{828C092E-478B-427E-B0CE-6BD65F983E84}"/>
    <cellStyle name="Comma 4 2 2 3 3 2 4" xfId="12272" xr:uid="{F7AF22BD-AE5A-4549-8295-1B72F283D38B}"/>
    <cellStyle name="Comma 4 2 2 3 3 3" xfId="5018" xr:uid="{00000000-0005-0000-0000-000018080000}"/>
    <cellStyle name="Comma 4 2 2 3 3 3 2" xfId="23643" xr:uid="{64C8B640-8A2A-4B61-AAF5-EB9E33A83817}"/>
    <cellStyle name="Comma 4 2 2 3 3 3 3" xfId="14344" xr:uid="{103B8B17-9157-48D1-ABE4-57047C593DBA}"/>
    <cellStyle name="Comma 4 2 2 3 3 4" xfId="9314" xr:uid="{A74197AE-1229-40FC-8212-8FB289D74FF6}"/>
    <cellStyle name="Comma 4 2 2 3 3 4 2" xfId="27928" xr:uid="{F654140F-08AA-43E3-BBBC-175CC5E4EF7D}"/>
    <cellStyle name="Comma 4 2 2 3 3 4 3" xfId="18629" xr:uid="{9E6062F4-3D48-41B7-8FB7-87687DA5C7F8}"/>
    <cellStyle name="Comma 4 2 2 3 3 5" xfId="19426" xr:uid="{00DDB5AF-8832-4EA3-8D6A-29034CD1359B}"/>
    <cellStyle name="Comma 4 2 2 3 3 6" xfId="10127" xr:uid="{FD208E45-F795-46F5-9D91-8FB7759FF49F}"/>
    <cellStyle name="Comma 4 2 2 3 4" xfId="1123" xr:uid="{00000000-0005-0000-0000-000019080000}"/>
    <cellStyle name="Comma 4 2 2 3 4 2" xfId="3354" xr:uid="{00000000-0005-0000-0000-00001A080000}"/>
    <cellStyle name="Comma 4 2 2 3 4 2 2" xfId="7576" xr:uid="{00000000-0005-0000-0000-00001B080000}"/>
    <cellStyle name="Comma 4 2 2 3 4 2 2 2" xfId="26201" xr:uid="{67FBD1AD-6986-4C6C-A703-35E14975187C}"/>
    <cellStyle name="Comma 4 2 2 3 4 2 2 3" xfId="16902" xr:uid="{A413CDCA-7A32-4E03-9E64-C375E5A5DDE0}"/>
    <cellStyle name="Comma 4 2 2 3 4 2 3" xfId="21984" xr:uid="{5CD910E6-50D5-4C88-8B09-475E26E8AC70}"/>
    <cellStyle name="Comma 4 2 2 3 4 2 4" xfId="12685" xr:uid="{D2111772-BBDE-4D66-B221-C47F6068A30C}"/>
    <cellStyle name="Comma 4 2 2 3 4 3" xfId="5431" xr:uid="{00000000-0005-0000-0000-00001C080000}"/>
    <cellStyle name="Comma 4 2 2 3 4 3 2" xfId="24056" xr:uid="{B77BBA0E-B218-4529-AAB7-A5382732D016}"/>
    <cellStyle name="Comma 4 2 2 3 4 3 3" xfId="14757" xr:uid="{492E8A4E-C918-4261-8A52-A952C7235DF2}"/>
    <cellStyle name="Comma 4 2 2 3 4 4" xfId="19839" xr:uid="{2C1AE683-E378-407D-B709-78C3E78EE334}"/>
    <cellStyle name="Comma 4 2 2 3 4 5" xfId="10540" xr:uid="{6EB61B3C-EAE2-4DE1-A7D3-3BA20FAC4275}"/>
    <cellStyle name="Comma 4 2 2 3 5" xfId="1537" xr:uid="{00000000-0005-0000-0000-00001D080000}"/>
    <cellStyle name="Comma 4 2 2 3 5 2" xfId="3767" xr:uid="{00000000-0005-0000-0000-00001E080000}"/>
    <cellStyle name="Comma 4 2 2 3 5 2 2" xfId="7989" xr:uid="{00000000-0005-0000-0000-00001F080000}"/>
    <cellStyle name="Comma 4 2 2 3 5 2 2 2" xfId="26614" xr:uid="{8DA899A4-D201-4B19-9C5E-416F3F62B093}"/>
    <cellStyle name="Comma 4 2 2 3 5 2 2 3" xfId="17315" xr:uid="{79F7B875-F90F-4C54-9E51-778D81F9D060}"/>
    <cellStyle name="Comma 4 2 2 3 5 2 3" xfId="22397" xr:uid="{7C40BA95-19EB-4B3F-925F-DCE06E5AC0B8}"/>
    <cellStyle name="Comma 4 2 2 3 5 2 4" xfId="13098" xr:uid="{429D45D2-D550-4504-84AE-688E4C96CEF3}"/>
    <cellStyle name="Comma 4 2 2 3 5 3" xfId="5844" xr:uid="{00000000-0005-0000-0000-000020080000}"/>
    <cellStyle name="Comma 4 2 2 3 5 3 2" xfId="24469" xr:uid="{80D889EB-E14A-4980-8244-3C640CC9C5A9}"/>
    <cellStyle name="Comma 4 2 2 3 5 3 3" xfId="15170" xr:uid="{0C6B18FF-72C5-4935-A9FC-168F797B555C}"/>
    <cellStyle name="Comma 4 2 2 3 5 4" xfId="20252" xr:uid="{6BC05008-C010-453E-907A-32A6CED75391}"/>
    <cellStyle name="Comma 4 2 2 3 5 5" xfId="10953" xr:uid="{B7F6005F-5FA7-4EF5-B2D6-D6E31A8F953C}"/>
    <cellStyle name="Comma 4 2 2 3 6" xfId="1951" xr:uid="{00000000-0005-0000-0000-000021080000}"/>
    <cellStyle name="Comma 4 2 2 3 6 2" xfId="4180" xr:uid="{00000000-0005-0000-0000-000022080000}"/>
    <cellStyle name="Comma 4 2 2 3 6 2 2" xfId="8402" xr:uid="{00000000-0005-0000-0000-000023080000}"/>
    <cellStyle name="Comma 4 2 2 3 6 2 2 2" xfId="27027" xr:uid="{BFBF5A32-9405-452A-A738-E90DE1A1CD9E}"/>
    <cellStyle name="Comma 4 2 2 3 6 2 2 3" xfId="17728" xr:uid="{F6500926-2FD2-4C87-B9E4-D381E88D22D8}"/>
    <cellStyle name="Comma 4 2 2 3 6 2 3" xfId="22810" xr:uid="{8B066093-4B07-4D63-90BA-78845C1ED952}"/>
    <cellStyle name="Comma 4 2 2 3 6 2 4" xfId="13511" xr:uid="{433728D9-FE83-447A-8163-6A3688538B22}"/>
    <cellStyle name="Comma 4 2 2 3 6 3" xfId="6257" xr:uid="{00000000-0005-0000-0000-000024080000}"/>
    <cellStyle name="Comma 4 2 2 3 6 3 2" xfId="24882" xr:uid="{006DE682-25B4-4632-899F-ECC4A4A00619}"/>
    <cellStyle name="Comma 4 2 2 3 6 3 3" xfId="15583" xr:uid="{5BA02629-137E-4C89-B3BE-C8B1C24EEA7E}"/>
    <cellStyle name="Comma 4 2 2 3 6 4" xfId="20665" xr:uid="{CF2E6CF3-BEEB-4154-946D-1387B995D2DD}"/>
    <cellStyle name="Comma 4 2 2 3 6 5" xfId="11366" xr:uid="{A7D02FB0-58F4-4CFA-97F9-6D2BFE7A6557}"/>
    <cellStyle name="Comma 4 2 2 3 7" xfId="2386" xr:uid="{00000000-0005-0000-0000-000025080000}"/>
    <cellStyle name="Comma 4 2 2 3 7 2" xfId="6670" xr:uid="{00000000-0005-0000-0000-000026080000}"/>
    <cellStyle name="Comma 4 2 2 3 7 2 2" xfId="25295" xr:uid="{D5789F10-9892-4939-A3A0-D384A5F2943D}"/>
    <cellStyle name="Comma 4 2 2 3 7 2 3" xfId="15996" xr:uid="{FDFBB247-1752-49AF-874D-E6AB13E16298}"/>
    <cellStyle name="Comma 4 2 2 3 7 3" xfId="21078" xr:uid="{DB069474-28C6-4D73-9520-0706318B2FEF}"/>
    <cellStyle name="Comma 4 2 2 3 7 4" xfId="11779" xr:uid="{A7443040-352C-4C1B-93BA-6DFD57C3B6FB}"/>
    <cellStyle name="Comma 4 2 2 3 8" xfId="2377" xr:uid="{00000000-0005-0000-0000-000027080000}"/>
    <cellStyle name="Comma 4 2 2 3 9" xfId="2764" xr:uid="{00000000-0005-0000-0000-000028080000}"/>
    <cellStyle name="Comma 4 2 2 3 9 2" xfId="6987" xr:uid="{00000000-0005-0000-0000-000029080000}"/>
    <cellStyle name="Comma 4 2 2 3 9 2 2" xfId="25612" xr:uid="{B64D44AC-7CC6-40A9-BCE8-D5DC763B4C38}"/>
    <cellStyle name="Comma 4 2 2 3 9 2 3" xfId="16313" xr:uid="{D280D14D-3C6B-4DB2-8471-937FEAA581D8}"/>
    <cellStyle name="Comma 4 2 2 3 9 3" xfId="21395" xr:uid="{E90A41D7-E4E3-464F-8C3E-6E94EE2D8923}"/>
    <cellStyle name="Comma 4 2 2 3 9 4" xfId="12096" xr:uid="{9EBF320A-1D15-4F0E-A914-F8BD6D93B52F}"/>
    <cellStyle name="Comma 4 2 2 4" xfId="134" xr:uid="{00000000-0005-0000-0000-00002A080000}"/>
    <cellStyle name="Comma 4 2 2 4 10" xfId="8993" xr:uid="{2969CB69-37C4-4C43-BC9D-87F92556F829}"/>
    <cellStyle name="Comma 4 2 2 4 10 2" xfId="27616" xr:uid="{23E5D60E-AB29-4A94-885D-C11561CEF974}"/>
    <cellStyle name="Comma 4 2 2 4 10 3" xfId="18317" xr:uid="{BF46D30E-7D67-412D-9462-889D0AFAF7B5}"/>
    <cellStyle name="Comma 4 2 2 4 11" xfId="19014" xr:uid="{8C17167D-DA04-47D7-8A94-11C28E86DD21}"/>
    <cellStyle name="Comma 4 2 2 4 12" xfId="9715" xr:uid="{86B06B65-4CEF-4B7F-A0B5-7B92E589C925}"/>
    <cellStyle name="Comma 4 2 2 4 2" xfId="672" xr:uid="{00000000-0005-0000-0000-00002B080000}"/>
    <cellStyle name="Comma 4 2 2 4 2 2" xfId="2943" xr:uid="{00000000-0005-0000-0000-00002C080000}"/>
    <cellStyle name="Comma 4 2 2 4 2 2 2" xfId="7165" xr:uid="{00000000-0005-0000-0000-00002D080000}"/>
    <cellStyle name="Comma 4 2 2 4 2 2 2 2" xfId="25790" xr:uid="{E89EE766-32D8-48FE-BBD7-C5B07FDA80D5}"/>
    <cellStyle name="Comma 4 2 2 4 2 2 2 3" xfId="16491" xr:uid="{9DE1FC17-2702-4F01-84EB-9B7F5A80FEDB}"/>
    <cellStyle name="Comma 4 2 2 4 2 2 3" xfId="21573" xr:uid="{96BFFF4B-0AA1-4045-A58B-BBC92CEC6259}"/>
    <cellStyle name="Comma 4 2 2 4 2 2 4" xfId="12274" xr:uid="{245DF738-7A5F-4A5C-B8FE-947CF3FF1A27}"/>
    <cellStyle name="Comma 4 2 2 4 2 3" xfId="5020" xr:uid="{00000000-0005-0000-0000-00002E080000}"/>
    <cellStyle name="Comma 4 2 2 4 2 3 2" xfId="23645" xr:uid="{D5660FE9-1A37-45A9-BADC-34B694E44178}"/>
    <cellStyle name="Comma 4 2 2 4 2 3 3" xfId="14346" xr:uid="{844D067A-E07E-495E-B0D1-F6D79EBDD462}"/>
    <cellStyle name="Comma 4 2 2 4 2 4" xfId="9418" xr:uid="{F2EB07B7-2227-485D-9411-A8F75EC2F9DA}"/>
    <cellStyle name="Comma 4 2 2 4 2 4 2" xfId="28032" xr:uid="{BCE0F977-6598-41C6-B43D-6E9AB31C2EDD}"/>
    <cellStyle name="Comma 4 2 2 4 2 4 3" xfId="18733" xr:uid="{D790448F-8291-44E7-8065-7D5B349A3742}"/>
    <cellStyle name="Comma 4 2 2 4 2 5" xfId="19428" xr:uid="{5F54303E-E136-4BD6-897B-14B27AC6A546}"/>
    <cellStyle name="Comma 4 2 2 4 2 6" xfId="10129" xr:uid="{020724A3-CBBF-4038-951E-756D5819DAF6}"/>
    <cellStyle name="Comma 4 2 2 4 3" xfId="1125" xr:uid="{00000000-0005-0000-0000-00002F080000}"/>
    <cellStyle name="Comma 4 2 2 4 3 2" xfId="3356" xr:uid="{00000000-0005-0000-0000-000030080000}"/>
    <cellStyle name="Comma 4 2 2 4 3 2 2" xfId="7578" xr:uid="{00000000-0005-0000-0000-000031080000}"/>
    <cellStyle name="Comma 4 2 2 4 3 2 2 2" xfId="26203" xr:uid="{939BBBDE-2656-4EE7-8B0E-A9113EACE116}"/>
    <cellStyle name="Comma 4 2 2 4 3 2 2 3" xfId="16904" xr:uid="{C6FBF1C1-8A94-4B7A-9C33-FFC55BC979A4}"/>
    <cellStyle name="Comma 4 2 2 4 3 2 3" xfId="21986" xr:uid="{2777BE64-6E9C-430E-80F1-ABDAAF7E90CB}"/>
    <cellStyle name="Comma 4 2 2 4 3 2 4" xfId="12687" xr:uid="{3E853B79-A837-4193-ADDE-EF6803E8E390}"/>
    <cellStyle name="Comma 4 2 2 4 3 3" xfId="5433" xr:uid="{00000000-0005-0000-0000-000032080000}"/>
    <cellStyle name="Comma 4 2 2 4 3 3 2" xfId="24058" xr:uid="{FA6D3434-852A-4FC7-B4BA-3D8E494CD99E}"/>
    <cellStyle name="Comma 4 2 2 4 3 3 3" xfId="14759" xr:uid="{EC8EC5A1-95B7-4192-994B-52CFD0C95DDA}"/>
    <cellStyle name="Comma 4 2 2 4 3 4" xfId="19841" xr:uid="{59D0295A-DB3B-48EA-A735-C21B2CFA6380}"/>
    <cellStyle name="Comma 4 2 2 4 3 5" xfId="10542" xr:uid="{AA9A6CAF-3F26-43F9-A13A-931A9B7D882B}"/>
    <cellStyle name="Comma 4 2 2 4 4" xfId="1539" xr:uid="{00000000-0005-0000-0000-000033080000}"/>
    <cellStyle name="Comma 4 2 2 4 4 2" xfId="3769" xr:uid="{00000000-0005-0000-0000-000034080000}"/>
    <cellStyle name="Comma 4 2 2 4 4 2 2" xfId="7991" xr:uid="{00000000-0005-0000-0000-000035080000}"/>
    <cellStyle name="Comma 4 2 2 4 4 2 2 2" xfId="26616" xr:uid="{BE917BD8-BAAC-49CB-A3F4-1D30B59E613F}"/>
    <cellStyle name="Comma 4 2 2 4 4 2 2 3" xfId="17317" xr:uid="{C55B2229-7DD9-476F-BDA2-12033ECABBEC}"/>
    <cellStyle name="Comma 4 2 2 4 4 2 3" xfId="22399" xr:uid="{4195801E-4B9D-4979-BB40-B93D1B628E0F}"/>
    <cellStyle name="Comma 4 2 2 4 4 2 4" xfId="13100" xr:uid="{505C3C1A-00CD-456B-93F4-1D49DE4CBB23}"/>
    <cellStyle name="Comma 4 2 2 4 4 3" xfId="5846" xr:uid="{00000000-0005-0000-0000-000036080000}"/>
    <cellStyle name="Comma 4 2 2 4 4 3 2" xfId="24471" xr:uid="{C933FE77-7921-4DA4-A99A-4253637B9C48}"/>
    <cellStyle name="Comma 4 2 2 4 4 3 3" xfId="15172" xr:uid="{D2EE1996-C658-4C92-A4D5-961579DF0176}"/>
    <cellStyle name="Comma 4 2 2 4 4 4" xfId="20254" xr:uid="{2246776C-4AEC-407D-B274-6A01853AB16B}"/>
    <cellStyle name="Comma 4 2 2 4 4 5" xfId="10955" xr:uid="{AEE0B506-9FD6-4198-99E1-63D670E61B7F}"/>
    <cellStyle name="Comma 4 2 2 4 5" xfId="1953" xr:uid="{00000000-0005-0000-0000-000037080000}"/>
    <cellStyle name="Comma 4 2 2 4 5 2" xfId="4182" xr:uid="{00000000-0005-0000-0000-000038080000}"/>
    <cellStyle name="Comma 4 2 2 4 5 2 2" xfId="8404" xr:uid="{00000000-0005-0000-0000-000039080000}"/>
    <cellStyle name="Comma 4 2 2 4 5 2 2 2" xfId="27029" xr:uid="{659CC219-5993-478A-AEDF-756C6FAC985E}"/>
    <cellStyle name="Comma 4 2 2 4 5 2 2 3" xfId="17730" xr:uid="{6B009699-EE52-4561-B953-DCA298E5748F}"/>
    <cellStyle name="Comma 4 2 2 4 5 2 3" xfId="22812" xr:uid="{4D9D302B-5701-4E6D-8C59-803D07767125}"/>
    <cellStyle name="Comma 4 2 2 4 5 2 4" xfId="13513" xr:uid="{6FE855AE-A5DE-4975-A922-4D00520F6E70}"/>
    <cellStyle name="Comma 4 2 2 4 5 3" xfId="6259" xr:uid="{00000000-0005-0000-0000-00003A080000}"/>
    <cellStyle name="Comma 4 2 2 4 5 3 2" xfId="24884" xr:uid="{D8E8CA23-A19D-4FE8-BD23-09964D4D4C5B}"/>
    <cellStyle name="Comma 4 2 2 4 5 3 3" xfId="15585" xr:uid="{69BD00C5-8627-49DA-9FA1-EDB639D850E3}"/>
    <cellStyle name="Comma 4 2 2 4 5 4" xfId="20667" xr:uid="{3BCFA5E9-E5BA-4268-B6AE-4A9A7ACB4799}"/>
    <cellStyle name="Comma 4 2 2 4 5 5" xfId="11368" xr:uid="{E2E2473F-4911-4C4A-8249-7CF0E97D9362}"/>
    <cellStyle name="Comma 4 2 2 4 6" xfId="2388" xr:uid="{00000000-0005-0000-0000-00003B080000}"/>
    <cellStyle name="Comma 4 2 2 4 6 2" xfId="6672" xr:uid="{00000000-0005-0000-0000-00003C080000}"/>
    <cellStyle name="Comma 4 2 2 4 6 2 2" xfId="25297" xr:uid="{FACD158C-F1F3-469E-BDB4-D71BF49EAB79}"/>
    <cellStyle name="Comma 4 2 2 4 6 2 3" xfId="15998" xr:uid="{E708799E-76CB-4A25-AAB8-D3EB11BDF209}"/>
    <cellStyle name="Comma 4 2 2 4 6 3" xfId="21080" xr:uid="{ACEB4EE5-F0F3-4AB3-9E3B-647A9943211F}"/>
    <cellStyle name="Comma 4 2 2 4 6 4" xfId="11781" xr:uid="{B23322E5-82E8-4B1B-920E-B526A1B64604}"/>
    <cellStyle name="Comma 4 2 2 4 7" xfId="2375" xr:uid="{00000000-0005-0000-0000-00003D080000}"/>
    <cellStyle name="Comma 4 2 2 4 8" xfId="2766" xr:uid="{00000000-0005-0000-0000-00003E080000}"/>
    <cellStyle name="Comma 4 2 2 4 8 2" xfId="6989" xr:uid="{00000000-0005-0000-0000-00003F080000}"/>
    <cellStyle name="Comma 4 2 2 4 8 2 2" xfId="25614" xr:uid="{82153143-9C0E-4A96-BB73-92D0CBC577B0}"/>
    <cellStyle name="Comma 4 2 2 4 8 2 3" xfId="16315" xr:uid="{E24DAD22-A729-48D4-BDA5-FD7699A6743E}"/>
    <cellStyle name="Comma 4 2 2 4 8 3" xfId="21397" xr:uid="{EFF0875B-07C3-4585-845C-CF0916F2E070}"/>
    <cellStyle name="Comma 4 2 2 4 8 4" xfId="12098" xr:uid="{D49E549F-2D53-42B3-B602-D05CE60B8032}"/>
    <cellStyle name="Comma 4 2 2 4 9" xfId="4606" xr:uid="{00000000-0005-0000-0000-000040080000}"/>
    <cellStyle name="Comma 4 2 2 4 9 2" xfId="23231" xr:uid="{75F38FFD-9331-40F7-A896-CEE5D28D8919}"/>
    <cellStyle name="Comma 4 2 2 4 9 3" xfId="13932" xr:uid="{91FC3666-66D9-449C-9BAF-E502C635BC10}"/>
    <cellStyle name="Comma 4 2 2 5" xfId="135" xr:uid="{00000000-0005-0000-0000-000041080000}"/>
    <cellStyle name="Comma 4 2 2 5 10" xfId="9210" xr:uid="{C1F9418B-EF96-4063-883D-A983E131C6A4}"/>
    <cellStyle name="Comma 4 2 2 5 10 2" xfId="27825" xr:uid="{584CD860-E23B-4414-89B1-75E56548FE56}"/>
    <cellStyle name="Comma 4 2 2 5 10 3" xfId="18526" xr:uid="{5F7A63F1-8250-40C2-B6AC-CF429F4B8C5A}"/>
    <cellStyle name="Comma 4 2 2 5 11" xfId="19015" xr:uid="{B56BE98D-2A08-42A5-9B6B-302BF9E3D520}"/>
    <cellStyle name="Comma 4 2 2 5 12" xfId="9716" xr:uid="{F285D1AE-8890-456C-8AB1-D9D21FBC6422}"/>
    <cellStyle name="Comma 4 2 2 5 2" xfId="673" xr:uid="{00000000-0005-0000-0000-000042080000}"/>
    <cellStyle name="Comma 4 2 2 5 2 2" xfId="2944" xr:uid="{00000000-0005-0000-0000-000043080000}"/>
    <cellStyle name="Comma 4 2 2 5 2 2 2" xfId="7166" xr:uid="{00000000-0005-0000-0000-000044080000}"/>
    <cellStyle name="Comma 4 2 2 5 2 2 2 2" xfId="25791" xr:uid="{67374C31-7F6C-4EEF-A167-BA4CD036F3F9}"/>
    <cellStyle name="Comma 4 2 2 5 2 2 2 3" xfId="16492" xr:uid="{B13CC10C-B8AE-43D4-A4A9-36E0A6C2F6DC}"/>
    <cellStyle name="Comma 4 2 2 5 2 2 3" xfId="21574" xr:uid="{ACDAE6BD-58CC-4E1F-915D-68DB4FF272E1}"/>
    <cellStyle name="Comma 4 2 2 5 2 2 4" xfId="12275" xr:uid="{6DEFF160-37F3-4BCC-BD10-DA1E51D84F34}"/>
    <cellStyle name="Comma 4 2 2 5 2 3" xfId="5021" xr:uid="{00000000-0005-0000-0000-000045080000}"/>
    <cellStyle name="Comma 4 2 2 5 2 3 2" xfId="23646" xr:uid="{3D78E969-4738-4250-9E5C-ADF4A4A217BC}"/>
    <cellStyle name="Comma 4 2 2 5 2 3 3" xfId="14347" xr:uid="{1385A091-3625-4F09-8B18-ADF9D6E1F79B}"/>
    <cellStyle name="Comma 4 2 2 5 2 4" xfId="9593" xr:uid="{3B41C66E-2108-4CBE-9776-211459781E55}"/>
    <cellStyle name="Comma 4 2 2 5 2 4 2" xfId="28196" xr:uid="{8EF9DA1F-112E-4FA6-90BE-3ED30E47E6A5}"/>
    <cellStyle name="Comma 4 2 2 5 2 4 3" xfId="18897" xr:uid="{39AC275A-88A9-4C2A-AE88-CD6F79ADB600}"/>
    <cellStyle name="Comma 4 2 2 5 2 5" xfId="19429" xr:uid="{DF865799-7370-4C69-8FA3-8477F367558D}"/>
    <cellStyle name="Comma 4 2 2 5 2 6" xfId="10130" xr:uid="{46431C40-0037-41DA-9A7F-CCC30FB34397}"/>
    <cellStyle name="Comma 4 2 2 5 3" xfId="1126" xr:uid="{00000000-0005-0000-0000-000046080000}"/>
    <cellStyle name="Comma 4 2 2 5 3 2" xfId="3357" xr:uid="{00000000-0005-0000-0000-000047080000}"/>
    <cellStyle name="Comma 4 2 2 5 3 2 2" xfId="7579" xr:uid="{00000000-0005-0000-0000-000048080000}"/>
    <cellStyle name="Comma 4 2 2 5 3 2 2 2" xfId="26204" xr:uid="{39B05588-8F72-4D50-8EB4-DB214696498B}"/>
    <cellStyle name="Comma 4 2 2 5 3 2 2 3" xfId="16905" xr:uid="{312A1386-1856-4B96-9A12-D8F6FD65AD52}"/>
    <cellStyle name="Comma 4 2 2 5 3 2 3" xfId="21987" xr:uid="{43D0DC0D-255F-4393-A7D2-9DBDCB75B9D6}"/>
    <cellStyle name="Comma 4 2 2 5 3 2 4" xfId="12688" xr:uid="{80C644BC-B8CB-4921-B10C-4621D2D1F0AC}"/>
    <cellStyle name="Comma 4 2 2 5 3 3" xfId="5434" xr:uid="{00000000-0005-0000-0000-000049080000}"/>
    <cellStyle name="Comma 4 2 2 5 3 3 2" xfId="24059" xr:uid="{26D47D1A-1298-4F73-91A5-158561EDF0EC}"/>
    <cellStyle name="Comma 4 2 2 5 3 3 3" xfId="14760" xr:uid="{CBCB1AFB-9798-48D6-B164-141D31D734BD}"/>
    <cellStyle name="Comma 4 2 2 5 3 4" xfId="19842" xr:uid="{FCE0D7D4-A84F-46CA-A99B-C2F6E26D306A}"/>
    <cellStyle name="Comma 4 2 2 5 3 5" xfId="10543" xr:uid="{D530C7D2-23F4-4E5D-A712-56982D9E93D1}"/>
    <cellStyle name="Comma 4 2 2 5 4" xfId="1540" xr:uid="{00000000-0005-0000-0000-00004A080000}"/>
    <cellStyle name="Comma 4 2 2 5 4 2" xfId="3770" xr:uid="{00000000-0005-0000-0000-00004B080000}"/>
    <cellStyle name="Comma 4 2 2 5 4 2 2" xfId="7992" xr:uid="{00000000-0005-0000-0000-00004C080000}"/>
    <cellStyle name="Comma 4 2 2 5 4 2 2 2" xfId="26617" xr:uid="{A90661F8-4F7B-463C-8675-D5C49EC3EA2F}"/>
    <cellStyle name="Comma 4 2 2 5 4 2 2 3" xfId="17318" xr:uid="{4BEE8DB0-6922-44BC-B87F-51F33466C238}"/>
    <cellStyle name="Comma 4 2 2 5 4 2 3" xfId="22400" xr:uid="{369420E9-BD80-4287-8B12-A6B5EAEDC6FF}"/>
    <cellStyle name="Comma 4 2 2 5 4 2 4" xfId="13101" xr:uid="{522F23B7-923B-4844-878A-DE4A3294DA6E}"/>
    <cellStyle name="Comma 4 2 2 5 4 3" xfId="5847" xr:uid="{00000000-0005-0000-0000-00004D080000}"/>
    <cellStyle name="Comma 4 2 2 5 4 3 2" xfId="24472" xr:uid="{6C5BC6D0-5542-4D3C-BB80-DF765C90B573}"/>
    <cellStyle name="Comma 4 2 2 5 4 3 3" xfId="15173" xr:uid="{87D0E8FF-5A8E-469E-8E57-0A33AFD24665}"/>
    <cellStyle name="Comma 4 2 2 5 4 4" xfId="20255" xr:uid="{9220C13B-FA57-47A6-975D-5F6323D0B7E4}"/>
    <cellStyle name="Comma 4 2 2 5 4 5" xfId="10956" xr:uid="{7DFEF8A5-6813-4E37-B6C6-11348245A155}"/>
    <cellStyle name="Comma 4 2 2 5 5" xfId="1954" xr:uid="{00000000-0005-0000-0000-00004E080000}"/>
    <cellStyle name="Comma 4 2 2 5 5 2" xfId="4183" xr:uid="{00000000-0005-0000-0000-00004F080000}"/>
    <cellStyle name="Comma 4 2 2 5 5 2 2" xfId="8405" xr:uid="{00000000-0005-0000-0000-000050080000}"/>
    <cellStyle name="Comma 4 2 2 5 5 2 2 2" xfId="27030" xr:uid="{106823C8-16EF-47DF-9791-0C0E7F360678}"/>
    <cellStyle name="Comma 4 2 2 5 5 2 2 3" xfId="17731" xr:uid="{1DBFBB33-2170-4A10-BF5E-BBD90D04DBE3}"/>
    <cellStyle name="Comma 4 2 2 5 5 2 3" xfId="22813" xr:uid="{9E243F14-305A-4056-95C0-ADFD2663E8F8}"/>
    <cellStyle name="Comma 4 2 2 5 5 2 4" xfId="13514" xr:uid="{AA050B88-AAD5-4B75-8C68-E43210AA827A}"/>
    <cellStyle name="Comma 4 2 2 5 5 3" xfId="6260" xr:uid="{00000000-0005-0000-0000-000051080000}"/>
    <cellStyle name="Comma 4 2 2 5 5 3 2" xfId="24885" xr:uid="{CE190775-4AB0-478E-99DA-BD72DCC9045B}"/>
    <cellStyle name="Comma 4 2 2 5 5 3 3" xfId="15586" xr:uid="{7FB936A3-3157-40CF-860C-41D0E74FD20D}"/>
    <cellStyle name="Comma 4 2 2 5 5 4" xfId="20668" xr:uid="{47309FD8-6B0F-47C6-8341-D7CFBC8F55DF}"/>
    <cellStyle name="Comma 4 2 2 5 5 5" xfId="11369" xr:uid="{B7DD0762-3E36-458C-A783-3A053D596B59}"/>
    <cellStyle name="Comma 4 2 2 5 6" xfId="2389" xr:uid="{00000000-0005-0000-0000-000052080000}"/>
    <cellStyle name="Comma 4 2 2 5 6 2" xfId="6673" xr:uid="{00000000-0005-0000-0000-000053080000}"/>
    <cellStyle name="Comma 4 2 2 5 6 2 2" xfId="25298" xr:uid="{ACD41415-8772-46F7-9EC6-C97BF690856A}"/>
    <cellStyle name="Comma 4 2 2 5 6 2 3" xfId="15999" xr:uid="{1047383A-8B79-4CE0-A433-270D83EC5BCD}"/>
    <cellStyle name="Comma 4 2 2 5 6 3" xfId="21081" xr:uid="{39792118-B0C1-41F4-A46A-5DC63959BDD1}"/>
    <cellStyle name="Comma 4 2 2 5 6 4" xfId="11782" xr:uid="{DD0956CA-58A4-466D-8779-D02BBA32351C}"/>
    <cellStyle name="Comma 4 2 2 5 7" xfId="2374" xr:uid="{00000000-0005-0000-0000-000054080000}"/>
    <cellStyle name="Comma 4 2 2 5 8" xfId="2767" xr:uid="{00000000-0005-0000-0000-000055080000}"/>
    <cellStyle name="Comma 4 2 2 5 8 2" xfId="6990" xr:uid="{00000000-0005-0000-0000-000056080000}"/>
    <cellStyle name="Comma 4 2 2 5 8 2 2" xfId="25615" xr:uid="{106397A3-109E-4E96-82F1-5C6194776CE4}"/>
    <cellStyle name="Comma 4 2 2 5 8 2 3" xfId="16316" xr:uid="{38D6925A-ED7F-4E5C-A6A4-1B035667EF62}"/>
    <cellStyle name="Comma 4 2 2 5 8 3" xfId="21398" xr:uid="{297EB0F8-94D9-4CF3-842B-0CC05AEAB5C8}"/>
    <cellStyle name="Comma 4 2 2 5 8 4" xfId="12099" xr:uid="{AE2D28B3-A613-4260-ADC9-AFF01255B52D}"/>
    <cellStyle name="Comma 4 2 2 5 9" xfId="4607" xr:uid="{00000000-0005-0000-0000-000057080000}"/>
    <cellStyle name="Comma 4 2 2 5 9 2" xfId="23232" xr:uid="{BFDFD7D1-B4ED-4543-9E1F-2D7507E3A01A}"/>
    <cellStyle name="Comma 4 2 2 5 9 3" xfId="13933" xr:uid="{DCD09655-A108-47FE-BE7C-702FC3449962}"/>
    <cellStyle name="Comma 4 2 2 6" xfId="9228" xr:uid="{49D8FCED-23A7-48B2-8D10-F90787B2F62D}"/>
    <cellStyle name="Comma 4 2 2 7" xfId="8786" xr:uid="{8FDBE9F4-5F27-4B1B-A262-D62BF874EF16}"/>
    <cellStyle name="Comma 4 2 2 7 2" xfId="27409" xr:uid="{3ADF92A2-62A8-4BEB-81E4-BDD753063BAB}"/>
    <cellStyle name="Comma 4 2 2 7 3" xfId="18110" xr:uid="{CDD38092-09F4-4E3A-8AEE-28525D79D0B1}"/>
    <cellStyle name="Comma 4 2 3" xfId="136" xr:uid="{00000000-0005-0000-0000-000058080000}"/>
    <cellStyle name="Comma 4 2 3 10" xfId="2768" xr:uid="{00000000-0005-0000-0000-000059080000}"/>
    <cellStyle name="Comma 4 2 3 10 2" xfId="6991" xr:uid="{00000000-0005-0000-0000-00005A080000}"/>
    <cellStyle name="Comma 4 2 3 10 2 2" xfId="25616" xr:uid="{5A319366-785C-48F3-9F73-9A55069590B1}"/>
    <cellStyle name="Comma 4 2 3 10 2 3" xfId="16317" xr:uid="{A66D5306-BEC7-4E81-A4EE-CE77230E6038}"/>
    <cellStyle name="Comma 4 2 3 10 3" xfId="21399" xr:uid="{941686BC-62AD-4EFF-8591-6E92AD73394D}"/>
    <cellStyle name="Comma 4 2 3 10 4" xfId="12100" xr:uid="{5877E1D4-71BA-4C12-8E09-56F735EAAD36}"/>
    <cellStyle name="Comma 4 2 3 11" xfId="4608" xr:uid="{00000000-0005-0000-0000-00005B080000}"/>
    <cellStyle name="Comma 4 2 3 11 2" xfId="23233" xr:uid="{367F0B97-FC77-4D98-823E-CCA33E3E03EE}"/>
    <cellStyle name="Comma 4 2 3 11 3" xfId="13934" xr:uid="{3867D65C-4EB0-4D47-AE92-7E59A2CEE668}"/>
    <cellStyle name="Comma 4 2 3 12" xfId="8805" xr:uid="{C45527F6-07B7-4887-BAF3-A6424444BA3B}"/>
    <cellStyle name="Comma 4 2 3 12 2" xfId="27428" xr:uid="{02356F70-7449-47BA-B491-44C09CBBD5E3}"/>
    <cellStyle name="Comma 4 2 3 12 3" xfId="18129" xr:uid="{FCE50F84-1FA3-4F67-8A8B-5EB67F8ED9F5}"/>
    <cellStyle name="Comma 4 2 3 13" xfId="19016" xr:uid="{6E7195A5-87A2-4C7C-AF28-57302510DAE0}"/>
    <cellStyle name="Comma 4 2 3 14" xfId="9717" xr:uid="{9AAE4ED2-4391-49F6-B39F-19C3962B7B9B}"/>
    <cellStyle name="Comma 4 2 3 2" xfId="137" xr:uid="{00000000-0005-0000-0000-00005C080000}"/>
    <cellStyle name="Comma 4 2 3 2 10" xfId="4609" xr:uid="{00000000-0005-0000-0000-00005D080000}"/>
    <cellStyle name="Comma 4 2 3 2 10 2" xfId="23234" xr:uid="{AE632C54-0D0E-4409-8E9C-AAAAD2F8BD96}"/>
    <cellStyle name="Comma 4 2 3 2 10 3" xfId="13935" xr:uid="{80128DEC-3C10-4D68-B4C2-EDA4E95B13EB}"/>
    <cellStyle name="Comma 4 2 3 2 11" xfId="8908" xr:uid="{E7021C11-E6EB-4392-A0AD-2A78F42B4BB7}"/>
    <cellStyle name="Comma 4 2 3 2 11 2" xfId="27531" xr:uid="{0508C36B-3AF8-48F6-91C9-69C430073A9E}"/>
    <cellStyle name="Comma 4 2 3 2 11 3" xfId="18232" xr:uid="{09EFC9BD-A49D-4B22-BAB9-6D3CE0027A5B}"/>
    <cellStyle name="Comma 4 2 3 2 12" xfId="19017" xr:uid="{067786C6-1698-46C9-AA3F-213825340EBE}"/>
    <cellStyle name="Comma 4 2 3 2 13" xfId="9718" xr:uid="{908D4F9A-757B-4CD7-AC55-D5C16ECAFD9F}"/>
    <cellStyle name="Comma 4 2 3 2 2" xfId="138" xr:uid="{00000000-0005-0000-0000-00005E080000}"/>
    <cellStyle name="Comma 4 2 3 2 2 10" xfId="9115" xr:uid="{1A31CCC4-B2C0-4E0C-B714-855521500FE8}"/>
    <cellStyle name="Comma 4 2 3 2 2 10 2" xfId="27738" xr:uid="{28A10361-A6F4-457D-9F2B-E9D62B09DF52}"/>
    <cellStyle name="Comma 4 2 3 2 2 10 3" xfId="18439" xr:uid="{FD4134BC-3CB6-4BDF-9923-F53914ACCA30}"/>
    <cellStyle name="Comma 4 2 3 2 2 11" xfId="19018" xr:uid="{BC6E6462-76E8-46D9-9B54-7BA9D2402C88}"/>
    <cellStyle name="Comma 4 2 3 2 2 12" xfId="9719" xr:uid="{2E84F197-C8E9-4AB6-A46E-5D8D266B999F}"/>
    <cellStyle name="Comma 4 2 3 2 2 2" xfId="676" xr:uid="{00000000-0005-0000-0000-00005F080000}"/>
    <cellStyle name="Comma 4 2 3 2 2 2 2" xfId="2947" xr:uid="{00000000-0005-0000-0000-000060080000}"/>
    <cellStyle name="Comma 4 2 3 2 2 2 2 2" xfId="7169" xr:uid="{00000000-0005-0000-0000-000061080000}"/>
    <cellStyle name="Comma 4 2 3 2 2 2 2 2 2" xfId="25794" xr:uid="{69521715-3B01-4281-A312-6702AEEC83DB}"/>
    <cellStyle name="Comma 4 2 3 2 2 2 2 2 3" xfId="16495" xr:uid="{AD307B7A-8B41-4F41-86CC-A0A6D310C708}"/>
    <cellStyle name="Comma 4 2 3 2 2 2 2 3" xfId="21577" xr:uid="{9896C41A-0B26-4E5E-98CB-CC436FD1A887}"/>
    <cellStyle name="Comma 4 2 3 2 2 2 2 4" xfId="12278" xr:uid="{A089AE57-2CD5-41E0-A3FF-3FFAFC4732D6}"/>
    <cellStyle name="Comma 4 2 3 2 2 2 3" xfId="5024" xr:uid="{00000000-0005-0000-0000-000062080000}"/>
    <cellStyle name="Comma 4 2 3 2 2 2 3 2" xfId="23649" xr:uid="{DFC22EEF-31D1-4D81-9249-BA1B5F88E56D}"/>
    <cellStyle name="Comma 4 2 3 2 2 2 3 3" xfId="14350" xr:uid="{BEEF64B1-C5A0-400C-89FD-942ECFD63AFC}"/>
    <cellStyle name="Comma 4 2 3 2 2 2 4" xfId="9540" xr:uid="{F922DD27-FEAE-4DB6-894F-26CD58815668}"/>
    <cellStyle name="Comma 4 2 3 2 2 2 4 2" xfId="28154" xr:uid="{2D3ABC6D-138B-4F5D-AE5E-F9DC6F8BFDC0}"/>
    <cellStyle name="Comma 4 2 3 2 2 2 4 3" xfId="18855" xr:uid="{C57A5063-A565-452E-A05F-378FDA9348D2}"/>
    <cellStyle name="Comma 4 2 3 2 2 2 5" xfId="19432" xr:uid="{8CAE0318-1708-418E-949F-D9E338E0A0AB}"/>
    <cellStyle name="Comma 4 2 3 2 2 2 6" xfId="10133" xr:uid="{3AC7D9E6-2C3D-468E-9818-3687A64A83A4}"/>
    <cellStyle name="Comma 4 2 3 2 2 3" xfId="1129" xr:uid="{00000000-0005-0000-0000-000063080000}"/>
    <cellStyle name="Comma 4 2 3 2 2 3 2" xfId="3360" xr:uid="{00000000-0005-0000-0000-000064080000}"/>
    <cellStyle name="Comma 4 2 3 2 2 3 2 2" xfId="7582" xr:uid="{00000000-0005-0000-0000-000065080000}"/>
    <cellStyle name="Comma 4 2 3 2 2 3 2 2 2" xfId="26207" xr:uid="{55A080DB-4A6D-490F-8BA0-E10352451966}"/>
    <cellStyle name="Comma 4 2 3 2 2 3 2 2 3" xfId="16908" xr:uid="{9B4E99DA-6CA2-4432-81EF-DD98E84FBC93}"/>
    <cellStyle name="Comma 4 2 3 2 2 3 2 3" xfId="21990" xr:uid="{49EF26DC-AA3F-4FAD-9582-87BFF7ED8F11}"/>
    <cellStyle name="Comma 4 2 3 2 2 3 2 4" xfId="12691" xr:uid="{F43637FD-AFE7-4C7C-9E22-D642E7B64848}"/>
    <cellStyle name="Comma 4 2 3 2 2 3 3" xfId="5437" xr:uid="{00000000-0005-0000-0000-000066080000}"/>
    <cellStyle name="Comma 4 2 3 2 2 3 3 2" xfId="24062" xr:uid="{B478E7C8-4186-448E-87A3-92079FE45739}"/>
    <cellStyle name="Comma 4 2 3 2 2 3 3 3" xfId="14763" xr:uid="{6C629957-0FAA-4837-994B-831807C68668}"/>
    <cellStyle name="Comma 4 2 3 2 2 3 4" xfId="19845" xr:uid="{24C7ABF4-71FC-4F4C-90EF-C7D65715D074}"/>
    <cellStyle name="Comma 4 2 3 2 2 3 5" xfId="10546" xr:uid="{9C22D456-59BA-4E98-8C52-B889530CE6CD}"/>
    <cellStyle name="Comma 4 2 3 2 2 4" xfId="1543" xr:uid="{00000000-0005-0000-0000-000067080000}"/>
    <cellStyle name="Comma 4 2 3 2 2 4 2" xfId="3773" xr:uid="{00000000-0005-0000-0000-000068080000}"/>
    <cellStyle name="Comma 4 2 3 2 2 4 2 2" xfId="7995" xr:uid="{00000000-0005-0000-0000-000069080000}"/>
    <cellStyle name="Comma 4 2 3 2 2 4 2 2 2" xfId="26620" xr:uid="{BB541D51-F37A-40A7-94A4-25C2C922EF80}"/>
    <cellStyle name="Comma 4 2 3 2 2 4 2 2 3" xfId="17321" xr:uid="{1F754C92-7C0A-4C7F-8929-84EFFAB14544}"/>
    <cellStyle name="Comma 4 2 3 2 2 4 2 3" xfId="22403" xr:uid="{97FA0258-806A-4666-AA69-940D29CA594A}"/>
    <cellStyle name="Comma 4 2 3 2 2 4 2 4" xfId="13104" xr:uid="{C729374C-EA2A-4761-80E3-648B8B8C323C}"/>
    <cellStyle name="Comma 4 2 3 2 2 4 3" xfId="5850" xr:uid="{00000000-0005-0000-0000-00006A080000}"/>
    <cellStyle name="Comma 4 2 3 2 2 4 3 2" xfId="24475" xr:uid="{5FAFC465-21BF-4409-9193-5CA828325E08}"/>
    <cellStyle name="Comma 4 2 3 2 2 4 3 3" xfId="15176" xr:uid="{52347B9B-6575-4E2C-9159-4D78447E39E9}"/>
    <cellStyle name="Comma 4 2 3 2 2 4 4" xfId="20258" xr:uid="{43B3E7F0-2AA3-4121-B90F-F5DECB74345F}"/>
    <cellStyle name="Comma 4 2 3 2 2 4 5" xfId="10959" xr:uid="{7B25CFD1-B8F5-4273-8B79-1E550C36E59C}"/>
    <cellStyle name="Comma 4 2 3 2 2 5" xfId="1957" xr:uid="{00000000-0005-0000-0000-00006B080000}"/>
    <cellStyle name="Comma 4 2 3 2 2 5 2" xfId="4186" xr:uid="{00000000-0005-0000-0000-00006C080000}"/>
    <cellStyle name="Comma 4 2 3 2 2 5 2 2" xfId="8408" xr:uid="{00000000-0005-0000-0000-00006D080000}"/>
    <cellStyle name="Comma 4 2 3 2 2 5 2 2 2" xfId="27033" xr:uid="{893FE4B0-A41A-45B1-8D7B-5D4BEF7677A9}"/>
    <cellStyle name="Comma 4 2 3 2 2 5 2 2 3" xfId="17734" xr:uid="{5CAA9F10-85CE-41A4-B9FE-4A381C8DA495}"/>
    <cellStyle name="Comma 4 2 3 2 2 5 2 3" xfId="22816" xr:uid="{30DB9F0F-4922-4B16-A61B-00B8A83EDC42}"/>
    <cellStyle name="Comma 4 2 3 2 2 5 2 4" xfId="13517" xr:uid="{3DF2B35D-9BDC-455F-97A9-D5CCD65D8077}"/>
    <cellStyle name="Comma 4 2 3 2 2 5 3" xfId="6263" xr:uid="{00000000-0005-0000-0000-00006E080000}"/>
    <cellStyle name="Comma 4 2 3 2 2 5 3 2" xfId="24888" xr:uid="{90F9068B-A1B3-4B89-9565-94D5579F29E5}"/>
    <cellStyle name="Comma 4 2 3 2 2 5 3 3" xfId="15589" xr:uid="{8EF6CA51-756A-4BB2-AC5B-C11F8006D371}"/>
    <cellStyle name="Comma 4 2 3 2 2 5 4" xfId="20671" xr:uid="{B30268C0-227D-4A75-BE9E-321535461A6A}"/>
    <cellStyle name="Comma 4 2 3 2 2 5 5" xfId="11372" xr:uid="{663911A7-345D-4842-B926-8517EDEE8493}"/>
    <cellStyle name="Comma 4 2 3 2 2 6" xfId="2392" xr:uid="{00000000-0005-0000-0000-00006F080000}"/>
    <cellStyle name="Comma 4 2 3 2 2 6 2" xfId="6676" xr:uid="{00000000-0005-0000-0000-000070080000}"/>
    <cellStyle name="Comma 4 2 3 2 2 6 2 2" xfId="25301" xr:uid="{8C45CB54-F3F1-418E-BED7-C8DDACCA00B0}"/>
    <cellStyle name="Comma 4 2 3 2 2 6 2 3" xfId="16002" xr:uid="{5030024E-0F54-4FAC-845E-3B3153E60457}"/>
    <cellStyle name="Comma 4 2 3 2 2 6 3" xfId="21084" xr:uid="{23710EF1-37D5-455E-A9A4-633B65C361C8}"/>
    <cellStyle name="Comma 4 2 3 2 2 6 4" xfId="11785" xr:uid="{02218B15-6B6C-475C-B9F7-8D6E46B464A0}"/>
    <cellStyle name="Comma 4 2 3 2 2 7" xfId="2371" xr:uid="{00000000-0005-0000-0000-000071080000}"/>
    <cellStyle name="Comma 4 2 3 2 2 8" xfId="2770" xr:uid="{00000000-0005-0000-0000-000072080000}"/>
    <cellStyle name="Comma 4 2 3 2 2 8 2" xfId="6993" xr:uid="{00000000-0005-0000-0000-000073080000}"/>
    <cellStyle name="Comma 4 2 3 2 2 8 2 2" xfId="25618" xr:uid="{F76FDF1D-394D-45F7-A94C-A564375CA9FB}"/>
    <cellStyle name="Comma 4 2 3 2 2 8 2 3" xfId="16319" xr:uid="{EC61296E-0F80-4A41-8F97-04EA08D8AFE1}"/>
    <cellStyle name="Comma 4 2 3 2 2 8 3" xfId="21401" xr:uid="{A91FC65A-489F-426B-9794-880063885B4A}"/>
    <cellStyle name="Comma 4 2 3 2 2 8 4" xfId="12102" xr:uid="{1C0237DF-3B92-408D-A150-F9258B02D997}"/>
    <cellStyle name="Comma 4 2 3 2 2 9" xfId="4610" xr:uid="{00000000-0005-0000-0000-000074080000}"/>
    <cellStyle name="Comma 4 2 3 2 2 9 2" xfId="23235" xr:uid="{5E9BF6F3-A3D4-4797-93CB-89D9D53C7EF4}"/>
    <cellStyle name="Comma 4 2 3 2 2 9 3" xfId="13936" xr:uid="{FD3BDD3C-A507-47B9-8A1B-D727D466EBC6}"/>
    <cellStyle name="Comma 4 2 3 2 3" xfId="675" xr:uid="{00000000-0005-0000-0000-000075080000}"/>
    <cellStyle name="Comma 4 2 3 2 3 2" xfId="2946" xr:uid="{00000000-0005-0000-0000-000076080000}"/>
    <cellStyle name="Comma 4 2 3 2 3 2 2" xfId="7168" xr:uid="{00000000-0005-0000-0000-000077080000}"/>
    <cellStyle name="Comma 4 2 3 2 3 2 2 2" xfId="25793" xr:uid="{930BDF7F-7420-4CCE-A150-7E01E6C4E289}"/>
    <cellStyle name="Comma 4 2 3 2 3 2 2 3" xfId="16494" xr:uid="{FF14E305-4034-4949-8909-87A9E4CE0DAD}"/>
    <cellStyle name="Comma 4 2 3 2 3 2 3" xfId="21576" xr:uid="{CFEED173-212D-4ABC-A2F1-2A3AC2F5FCD6}"/>
    <cellStyle name="Comma 4 2 3 2 3 2 4" xfId="12277" xr:uid="{04918BE5-D133-430E-B862-87E4326D868E}"/>
    <cellStyle name="Comma 4 2 3 2 3 3" xfId="5023" xr:uid="{00000000-0005-0000-0000-000078080000}"/>
    <cellStyle name="Comma 4 2 3 2 3 3 2" xfId="23648" xr:uid="{3970981C-8243-4C91-BD9B-4156E5295388}"/>
    <cellStyle name="Comma 4 2 3 2 3 3 3" xfId="14349" xr:uid="{E33BF3C3-0B0C-45F1-8858-89B3EE3920E4}"/>
    <cellStyle name="Comma 4 2 3 2 3 4" xfId="9333" xr:uid="{5C974796-1B06-4FA8-AB2A-F6B34628ACD4}"/>
    <cellStyle name="Comma 4 2 3 2 3 4 2" xfId="27947" xr:uid="{F27BEFE4-708A-44FE-B6A4-D5DCAB98DFE0}"/>
    <cellStyle name="Comma 4 2 3 2 3 4 3" xfId="18648" xr:uid="{18756313-2B83-450B-8E94-9CF1390537DD}"/>
    <cellStyle name="Comma 4 2 3 2 3 5" xfId="19431" xr:uid="{771B57C2-0DAD-4368-A5E5-0682307B994F}"/>
    <cellStyle name="Comma 4 2 3 2 3 6" xfId="10132" xr:uid="{F51BB444-E358-4321-84C4-F3102535A7FA}"/>
    <cellStyle name="Comma 4 2 3 2 4" xfId="1128" xr:uid="{00000000-0005-0000-0000-000079080000}"/>
    <cellStyle name="Comma 4 2 3 2 4 2" xfId="3359" xr:uid="{00000000-0005-0000-0000-00007A080000}"/>
    <cellStyle name="Comma 4 2 3 2 4 2 2" xfId="7581" xr:uid="{00000000-0005-0000-0000-00007B080000}"/>
    <cellStyle name="Comma 4 2 3 2 4 2 2 2" xfId="26206" xr:uid="{F34869B6-ED92-470C-A0F2-C2DFFE84CF5F}"/>
    <cellStyle name="Comma 4 2 3 2 4 2 2 3" xfId="16907" xr:uid="{9DC5885A-C948-486D-A75E-5FBB1FC9509E}"/>
    <cellStyle name="Comma 4 2 3 2 4 2 3" xfId="21989" xr:uid="{886C9B36-C759-448A-B097-98F8AC697109}"/>
    <cellStyle name="Comma 4 2 3 2 4 2 4" xfId="12690" xr:uid="{063158FE-1C48-4041-9784-F5CBDCA2BF04}"/>
    <cellStyle name="Comma 4 2 3 2 4 3" xfId="5436" xr:uid="{00000000-0005-0000-0000-00007C080000}"/>
    <cellStyle name="Comma 4 2 3 2 4 3 2" xfId="24061" xr:uid="{4EBD04BA-7AB6-4C8B-BAA7-908200D03B8C}"/>
    <cellStyle name="Comma 4 2 3 2 4 3 3" xfId="14762" xr:uid="{2D6528BB-E31B-4C04-ADC8-D44B35773295}"/>
    <cellStyle name="Comma 4 2 3 2 4 4" xfId="19844" xr:uid="{A4343E94-B22F-4FD6-83F0-3643E184C8F6}"/>
    <cellStyle name="Comma 4 2 3 2 4 5" xfId="10545" xr:uid="{CB883E8C-8965-4885-A358-1B75A00C1F5A}"/>
    <cellStyle name="Comma 4 2 3 2 5" xfId="1542" xr:uid="{00000000-0005-0000-0000-00007D080000}"/>
    <cellStyle name="Comma 4 2 3 2 5 2" xfId="3772" xr:uid="{00000000-0005-0000-0000-00007E080000}"/>
    <cellStyle name="Comma 4 2 3 2 5 2 2" xfId="7994" xr:uid="{00000000-0005-0000-0000-00007F080000}"/>
    <cellStyle name="Comma 4 2 3 2 5 2 2 2" xfId="26619" xr:uid="{4E2BD516-89B7-44BC-8B8D-FC4899472920}"/>
    <cellStyle name="Comma 4 2 3 2 5 2 2 3" xfId="17320" xr:uid="{1E741B7E-AB05-44C3-A5F5-E16228E38B0B}"/>
    <cellStyle name="Comma 4 2 3 2 5 2 3" xfId="22402" xr:uid="{A0E864BB-8C0C-47D8-AEC1-2137D638E5BC}"/>
    <cellStyle name="Comma 4 2 3 2 5 2 4" xfId="13103" xr:uid="{4C81DA2A-F166-48B9-8C89-4FE1BF012C88}"/>
    <cellStyle name="Comma 4 2 3 2 5 3" xfId="5849" xr:uid="{00000000-0005-0000-0000-000080080000}"/>
    <cellStyle name="Comma 4 2 3 2 5 3 2" xfId="24474" xr:uid="{E0B874EA-C72B-4326-8FB9-DD912038E8AB}"/>
    <cellStyle name="Comma 4 2 3 2 5 3 3" xfId="15175" xr:uid="{E9D436B0-4AE4-4FBE-A79F-593D9C596C11}"/>
    <cellStyle name="Comma 4 2 3 2 5 4" xfId="20257" xr:uid="{C24AAAC7-950F-4F91-8B89-639C95E4C63B}"/>
    <cellStyle name="Comma 4 2 3 2 5 5" xfId="10958" xr:uid="{557CDB1E-BC02-443F-9EBA-5B5FD2BEAB9B}"/>
    <cellStyle name="Comma 4 2 3 2 6" xfId="1956" xr:uid="{00000000-0005-0000-0000-000081080000}"/>
    <cellStyle name="Comma 4 2 3 2 6 2" xfId="4185" xr:uid="{00000000-0005-0000-0000-000082080000}"/>
    <cellStyle name="Comma 4 2 3 2 6 2 2" xfId="8407" xr:uid="{00000000-0005-0000-0000-000083080000}"/>
    <cellStyle name="Comma 4 2 3 2 6 2 2 2" xfId="27032" xr:uid="{834402D2-E1CE-4101-A98B-168DB1C755E0}"/>
    <cellStyle name="Comma 4 2 3 2 6 2 2 3" xfId="17733" xr:uid="{E59FA058-26D5-488B-BC74-7C50F404F413}"/>
    <cellStyle name="Comma 4 2 3 2 6 2 3" xfId="22815" xr:uid="{14346075-D00E-463D-88C6-DA30B7392DEF}"/>
    <cellStyle name="Comma 4 2 3 2 6 2 4" xfId="13516" xr:uid="{1B7A78A4-4974-41F7-91EE-B8F96DEA7DCF}"/>
    <cellStyle name="Comma 4 2 3 2 6 3" xfId="6262" xr:uid="{00000000-0005-0000-0000-000084080000}"/>
    <cellStyle name="Comma 4 2 3 2 6 3 2" xfId="24887" xr:uid="{DE19A18D-917E-4015-92CB-87B3150C37B6}"/>
    <cellStyle name="Comma 4 2 3 2 6 3 3" xfId="15588" xr:uid="{699C34F0-CE95-481F-8B71-CE8A91B3982D}"/>
    <cellStyle name="Comma 4 2 3 2 6 4" xfId="20670" xr:uid="{2BAE190A-FA56-4E9C-9907-FEC14AEE1C63}"/>
    <cellStyle name="Comma 4 2 3 2 6 5" xfId="11371" xr:uid="{626186EC-AB48-4FB6-A2E7-00A19202F707}"/>
    <cellStyle name="Comma 4 2 3 2 7" xfId="2391" xr:uid="{00000000-0005-0000-0000-000085080000}"/>
    <cellStyle name="Comma 4 2 3 2 7 2" xfId="6675" xr:uid="{00000000-0005-0000-0000-000086080000}"/>
    <cellStyle name="Comma 4 2 3 2 7 2 2" xfId="25300" xr:uid="{50A40C74-8470-4411-9187-54DCB3B797A7}"/>
    <cellStyle name="Comma 4 2 3 2 7 2 3" xfId="16001" xr:uid="{2216B51B-A52E-49F0-BA6A-4C949E1F94A5}"/>
    <cellStyle name="Comma 4 2 3 2 7 3" xfId="21083" xr:uid="{7AB84E6C-1E77-4E90-9F8A-F1C57C9023FC}"/>
    <cellStyle name="Comma 4 2 3 2 7 4" xfId="11784" xr:uid="{C0308012-C221-4542-BD9A-FA0F86F6FABC}"/>
    <cellStyle name="Comma 4 2 3 2 8" xfId="2372" xr:uid="{00000000-0005-0000-0000-000087080000}"/>
    <cellStyle name="Comma 4 2 3 2 9" xfId="2769" xr:uid="{00000000-0005-0000-0000-000088080000}"/>
    <cellStyle name="Comma 4 2 3 2 9 2" xfId="6992" xr:uid="{00000000-0005-0000-0000-000089080000}"/>
    <cellStyle name="Comma 4 2 3 2 9 2 2" xfId="25617" xr:uid="{90D14791-6E95-40A2-88DC-ED070E385CDF}"/>
    <cellStyle name="Comma 4 2 3 2 9 2 3" xfId="16318" xr:uid="{D409D217-8374-4E83-BB7E-4690BC483B72}"/>
    <cellStyle name="Comma 4 2 3 2 9 3" xfId="21400" xr:uid="{6BC2FD1C-7E63-44A5-A20B-11F1473F62D7}"/>
    <cellStyle name="Comma 4 2 3 2 9 4" xfId="12101" xr:uid="{D9EB649B-B2B2-4EF7-B8AB-EE7BEDB1B2A2}"/>
    <cellStyle name="Comma 4 2 3 3" xfId="139" xr:uid="{00000000-0005-0000-0000-00008A080000}"/>
    <cellStyle name="Comma 4 2 3 3 10" xfId="9012" xr:uid="{61C0F117-76A9-43CA-B381-88B2CFF6294C}"/>
    <cellStyle name="Comma 4 2 3 3 10 2" xfId="27635" xr:uid="{AE4F98BB-DCDA-4001-9115-C6A49EA458E1}"/>
    <cellStyle name="Comma 4 2 3 3 10 3" xfId="18336" xr:uid="{FF790168-8457-40CF-933A-3B1AB7B53271}"/>
    <cellStyle name="Comma 4 2 3 3 11" xfId="19019" xr:uid="{05274E06-C689-4D9E-8E15-D96B12B6A96A}"/>
    <cellStyle name="Comma 4 2 3 3 12" xfId="9720" xr:uid="{C2CF2577-D4DC-4254-8B54-45BB3FA334BB}"/>
    <cellStyle name="Comma 4 2 3 3 2" xfId="677" xr:uid="{00000000-0005-0000-0000-00008B080000}"/>
    <cellStyle name="Comma 4 2 3 3 2 2" xfId="2948" xr:uid="{00000000-0005-0000-0000-00008C080000}"/>
    <cellStyle name="Comma 4 2 3 3 2 2 2" xfId="7170" xr:uid="{00000000-0005-0000-0000-00008D080000}"/>
    <cellStyle name="Comma 4 2 3 3 2 2 2 2" xfId="25795" xr:uid="{EF30AEED-CF62-471F-BD76-87ECF8A07F39}"/>
    <cellStyle name="Comma 4 2 3 3 2 2 2 3" xfId="16496" xr:uid="{97E75E00-8899-4BC3-90D3-E91DDF5DC4E3}"/>
    <cellStyle name="Comma 4 2 3 3 2 2 3" xfId="21578" xr:uid="{B0999BDB-0089-4BDD-BFF0-F08D1F8F5845}"/>
    <cellStyle name="Comma 4 2 3 3 2 2 4" xfId="12279" xr:uid="{4FE37008-5A24-41A7-A205-98D4AB531202}"/>
    <cellStyle name="Comma 4 2 3 3 2 3" xfId="5025" xr:uid="{00000000-0005-0000-0000-00008E080000}"/>
    <cellStyle name="Comma 4 2 3 3 2 3 2" xfId="23650" xr:uid="{1805CB0F-201B-4E98-81D2-826D80249BD9}"/>
    <cellStyle name="Comma 4 2 3 3 2 3 3" xfId="14351" xr:uid="{106A908A-5C54-45E6-B9AA-32CD8DE6E7F0}"/>
    <cellStyle name="Comma 4 2 3 3 2 4" xfId="9437" xr:uid="{35C6809B-E49F-4A7F-8CB1-650474E72B0A}"/>
    <cellStyle name="Comma 4 2 3 3 2 4 2" xfId="28051" xr:uid="{1CB5D10D-2182-41BB-AA8C-6EADBDF6348F}"/>
    <cellStyle name="Comma 4 2 3 3 2 4 3" xfId="18752" xr:uid="{6E55E79F-8F35-4694-A1E1-2B2FED5947F4}"/>
    <cellStyle name="Comma 4 2 3 3 2 5" xfId="19433" xr:uid="{60054D9F-5D62-4532-9FAA-86196A07D4E5}"/>
    <cellStyle name="Comma 4 2 3 3 2 6" xfId="10134" xr:uid="{D42388E9-E1E2-4C2C-9C1E-60A8FFFDABB1}"/>
    <cellStyle name="Comma 4 2 3 3 3" xfId="1130" xr:uid="{00000000-0005-0000-0000-00008F080000}"/>
    <cellStyle name="Comma 4 2 3 3 3 2" xfId="3361" xr:uid="{00000000-0005-0000-0000-000090080000}"/>
    <cellStyle name="Comma 4 2 3 3 3 2 2" xfId="7583" xr:uid="{00000000-0005-0000-0000-000091080000}"/>
    <cellStyle name="Comma 4 2 3 3 3 2 2 2" xfId="26208" xr:uid="{453B0FCA-307C-402A-BC3C-85F65FF8F23F}"/>
    <cellStyle name="Comma 4 2 3 3 3 2 2 3" xfId="16909" xr:uid="{87BEF36F-1D86-44AE-918F-B27DE3706F6A}"/>
    <cellStyle name="Comma 4 2 3 3 3 2 3" xfId="21991" xr:uid="{9988D56C-F6F2-45E5-B2CD-722C9ABF36D6}"/>
    <cellStyle name="Comma 4 2 3 3 3 2 4" xfId="12692" xr:uid="{B5F62E52-0EDF-46A9-A832-ABB4AC631952}"/>
    <cellStyle name="Comma 4 2 3 3 3 3" xfId="5438" xr:uid="{00000000-0005-0000-0000-000092080000}"/>
    <cellStyle name="Comma 4 2 3 3 3 3 2" xfId="24063" xr:uid="{08C559CE-77DB-446B-8920-322D10EB4FD0}"/>
    <cellStyle name="Comma 4 2 3 3 3 3 3" xfId="14764" xr:uid="{BA775672-321A-49EE-9B41-D81CECF786ED}"/>
    <cellStyle name="Comma 4 2 3 3 3 4" xfId="19846" xr:uid="{93B7D122-7C09-4412-8309-B510CBE7D818}"/>
    <cellStyle name="Comma 4 2 3 3 3 5" xfId="10547" xr:uid="{246E586F-A64B-4322-ACCA-E9991DC551B5}"/>
    <cellStyle name="Comma 4 2 3 3 4" xfId="1544" xr:uid="{00000000-0005-0000-0000-000093080000}"/>
    <cellStyle name="Comma 4 2 3 3 4 2" xfId="3774" xr:uid="{00000000-0005-0000-0000-000094080000}"/>
    <cellStyle name="Comma 4 2 3 3 4 2 2" xfId="7996" xr:uid="{00000000-0005-0000-0000-000095080000}"/>
    <cellStyle name="Comma 4 2 3 3 4 2 2 2" xfId="26621" xr:uid="{C8C6A5CD-1117-4315-9E4B-2B77A8C99881}"/>
    <cellStyle name="Comma 4 2 3 3 4 2 2 3" xfId="17322" xr:uid="{6B68AA73-A0E0-4BAC-B5B6-684399198C53}"/>
    <cellStyle name="Comma 4 2 3 3 4 2 3" xfId="22404" xr:uid="{E1E4C40B-086A-4D3B-AFB9-4C4DC8186E48}"/>
    <cellStyle name="Comma 4 2 3 3 4 2 4" xfId="13105" xr:uid="{D026D11A-AEDE-4728-A2CE-005CCE829F52}"/>
    <cellStyle name="Comma 4 2 3 3 4 3" xfId="5851" xr:uid="{00000000-0005-0000-0000-000096080000}"/>
    <cellStyle name="Comma 4 2 3 3 4 3 2" xfId="24476" xr:uid="{5220FAB0-ADF4-4BEF-A159-4389E2A01DF4}"/>
    <cellStyle name="Comma 4 2 3 3 4 3 3" xfId="15177" xr:uid="{7C1500DB-792C-4045-BB5C-722D7268B6AD}"/>
    <cellStyle name="Comma 4 2 3 3 4 4" xfId="20259" xr:uid="{699A280C-EAED-48D6-915B-95D158379AF0}"/>
    <cellStyle name="Comma 4 2 3 3 4 5" xfId="10960" xr:uid="{92C57D3D-9F86-4DB7-9DA9-28336E8976FB}"/>
    <cellStyle name="Comma 4 2 3 3 5" xfId="1958" xr:uid="{00000000-0005-0000-0000-000097080000}"/>
    <cellStyle name="Comma 4 2 3 3 5 2" xfId="4187" xr:uid="{00000000-0005-0000-0000-000098080000}"/>
    <cellStyle name="Comma 4 2 3 3 5 2 2" xfId="8409" xr:uid="{00000000-0005-0000-0000-000099080000}"/>
    <cellStyle name="Comma 4 2 3 3 5 2 2 2" xfId="27034" xr:uid="{DFB1D46C-39F7-4763-B1B8-1104DDECD943}"/>
    <cellStyle name="Comma 4 2 3 3 5 2 2 3" xfId="17735" xr:uid="{E82470B9-F1B8-4602-A624-6B1AB507511B}"/>
    <cellStyle name="Comma 4 2 3 3 5 2 3" xfId="22817" xr:uid="{08DBBFAD-5731-41C5-B68C-C5D9305D7A70}"/>
    <cellStyle name="Comma 4 2 3 3 5 2 4" xfId="13518" xr:uid="{38218B5C-EC01-4744-9C27-A5CFC0E0D5CD}"/>
    <cellStyle name="Comma 4 2 3 3 5 3" xfId="6264" xr:uid="{00000000-0005-0000-0000-00009A080000}"/>
    <cellStyle name="Comma 4 2 3 3 5 3 2" xfId="24889" xr:uid="{54380131-17EE-4E93-B76B-AF943143E950}"/>
    <cellStyle name="Comma 4 2 3 3 5 3 3" xfId="15590" xr:uid="{036D7083-E409-4093-BBC5-CE1B10299F79}"/>
    <cellStyle name="Comma 4 2 3 3 5 4" xfId="20672" xr:uid="{730A7983-0756-4C65-A1A8-780210A8F2B5}"/>
    <cellStyle name="Comma 4 2 3 3 5 5" xfId="11373" xr:uid="{32239235-2152-4C78-B607-BB7D21397635}"/>
    <cellStyle name="Comma 4 2 3 3 6" xfId="2393" xr:uid="{00000000-0005-0000-0000-00009B080000}"/>
    <cellStyle name="Comma 4 2 3 3 6 2" xfId="6677" xr:uid="{00000000-0005-0000-0000-00009C080000}"/>
    <cellStyle name="Comma 4 2 3 3 6 2 2" xfId="25302" xr:uid="{BA9CFFB9-D44F-4A5D-B3A5-3526B4B96550}"/>
    <cellStyle name="Comma 4 2 3 3 6 2 3" xfId="16003" xr:uid="{90B93CC9-966A-4714-B6C7-CF8FD5A78EE0}"/>
    <cellStyle name="Comma 4 2 3 3 6 3" xfId="21085" xr:uid="{203FBD98-DD98-4724-93D2-80D21EE2BDCE}"/>
    <cellStyle name="Comma 4 2 3 3 6 4" xfId="11786" xr:uid="{A0B942D0-8BAD-45A0-9969-108F9F04871B}"/>
    <cellStyle name="Comma 4 2 3 3 7" xfId="2370" xr:uid="{00000000-0005-0000-0000-00009D080000}"/>
    <cellStyle name="Comma 4 2 3 3 8" xfId="2771" xr:uid="{00000000-0005-0000-0000-00009E080000}"/>
    <cellStyle name="Comma 4 2 3 3 8 2" xfId="6994" xr:uid="{00000000-0005-0000-0000-00009F080000}"/>
    <cellStyle name="Comma 4 2 3 3 8 2 2" xfId="25619" xr:uid="{63E954D0-572F-4307-A89E-907677867813}"/>
    <cellStyle name="Comma 4 2 3 3 8 2 3" xfId="16320" xr:uid="{05D5D77D-192F-4328-83DB-2879BEC9487A}"/>
    <cellStyle name="Comma 4 2 3 3 8 3" xfId="21402" xr:uid="{2DE113F3-16C4-49BA-B719-067C09DBEB48}"/>
    <cellStyle name="Comma 4 2 3 3 8 4" xfId="12103" xr:uid="{AAA3A727-26F7-4BE7-AB0C-CC0CCA9750BA}"/>
    <cellStyle name="Comma 4 2 3 3 9" xfId="4611" xr:uid="{00000000-0005-0000-0000-0000A0080000}"/>
    <cellStyle name="Comma 4 2 3 3 9 2" xfId="23236" xr:uid="{F1EA7F66-CAE5-4C5C-A8FC-BBB80CAB29CF}"/>
    <cellStyle name="Comma 4 2 3 3 9 3" xfId="13937" xr:uid="{7A404278-92AF-4F84-8196-13F78CC0BEF5}"/>
    <cellStyle name="Comma 4 2 3 4" xfId="674" xr:uid="{00000000-0005-0000-0000-0000A1080000}"/>
    <cellStyle name="Comma 4 2 3 4 2" xfId="2945" xr:uid="{00000000-0005-0000-0000-0000A2080000}"/>
    <cellStyle name="Comma 4 2 3 4 2 2" xfId="7167" xr:uid="{00000000-0005-0000-0000-0000A3080000}"/>
    <cellStyle name="Comma 4 2 3 4 2 2 2" xfId="25792" xr:uid="{5C6BFBF8-316A-4D54-935C-1D364C186BA2}"/>
    <cellStyle name="Comma 4 2 3 4 2 2 3" xfId="16493" xr:uid="{F790862C-D5C7-4210-921B-4D5B25A2FACF}"/>
    <cellStyle name="Comma 4 2 3 4 2 3" xfId="21575" xr:uid="{04748AA5-4A40-4DBD-B3D2-99152C6A45FD}"/>
    <cellStyle name="Comma 4 2 3 4 2 4" xfId="12276" xr:uid="{E4613054-8043-49DE-8A9E-B4A9AF202E7A}"/>
    <cellStyle name="Comma 4 2 3 4 3" xfId="5022" xr:uid="{00000000-0005-0000-0000-0000A4080000}"/>
    <cellStyle name="Comma 4 2 3 4 3 2" xfId="23647" xr:uid="{BE452AED-EC88-48CC-B2A4-F53D23FE0A21}"/>
    <cellStyle name="Comma 4 2 3 4 3 3" xfId="14348" xr:uid="{2CEC70B4-5844-4E82-9352-ECD43C57A6B1}"/>
    <cellStyle name="Comma 4 2 3 4 4" xfId="9230" xr:uid="{24B6B749-023F-4009-8785-C6CFE1098E24}"/>
    <cellStyle name="Comma 4 2 3 4 4 2" xfId="27844" xr:uid="{5F01B4CC-A066-4621-A947-5F59F9C0740A}"/>
    <cellStyle name="Comma 4 2 3 4 4 3" xfId="18545" xr:uid="{5364387D-F84E-43BE-932A-6FB38ACCD1D8}"/>
    <cellStyle name="Comma 4 2 3 4 5" xfId="19430" xr:uid="{5A0646F8-39AB-4AEE-A8E0-0F28F1C9B383}"/>
    <cellStyle name="Comma 4 2 3 4 6" xfId="10131" xr:uid="{62237B75-2EEB-48B2-A108-CD202A21EA67}"/>
    <cellStyle name="Comma 4 2 3 5" xfId="1127" xr:uid="{00000000-0005-0000-0000-0000A5080000}"/>
    <cellStyle name="Comma 4 2 3 5 2" xfId="3358" xr:uid="{00000000-0005-0000-0000-0000A6080000}"/>
    <cellStyle name="Comma 4 2 3 5 2 2" xfId="7580" xr:uid="{00000000-0005-0000-0000-0000A7080000}"/>
    <cellStyle name="Comma 4 2 3 5 2 2 2" xfId="26205" xr:uid="{DCDFFFCF-7782-4235-9E55-63BC1E0AC5A5}"/>
    <cellStyle name="Comma 4 2 3 5 2 2 3" xfId="16906" xr:uid="{DFB4E575-4028-416D-BD66-6EEACABC4A67}"/>
    <cellStyle name="Comma 4 2 3 5 2 3" xfId="21988" xr:uid="{8B199885-E20A-474F-8C56-D1FDF531044B}"/>
    <cellStyle name="Comma 4 2 3 5 2 4" xfId="12689" xr:uid="{BB32A22B-5C11-446E-AF84-113FADA5CD63}"/>
    <cellStyle name="Comma 4 2 3 5 3" xfId="5435" xr:uid="{00000000-0005-0000-0000-0000A8080000}"/>
    <cellStyle name="Comma 4 2 3 5 3 2" xfId="24060" xr:uid="{633321F2-A033-4E4F-8EEF-08D320B51AB3}"/>
    <cellStyle name="Comma 4 2 3 5 3 3" xfId="14761" xr:uid="{D3ED651D-048C-4894-BE94-6CF7994EDD4C}"/>
    <cellStyle name="Comma 4 2 3 5 4" xfId="19843" xr:uid="{0D07472A-7E80-4365-86FB-254C4E71491D}"/>
    <cellStyle name="Comma 4 2 3 5 5" xfId="10544" xr:uid="{6A3F62BE-D636-4E78-8353-FC201EB8DFE7}"/>
    <cellStyle name="Comma 4 2 3 6" xfId="1541" xr:uid="{00000000-0005-0000-0000-0000A9080000}"/>
    <cellStyle name="Comma 4 2 3 6 2" xfId="3771" xr:uid="{00000000-0005-0000-0000-0000AA080000}"/>
    <cellStyle name="Comma 4 2 3 6 2 2" xfId="7993" xr:uid="{00000000-0005-0000-0000-0000AB080000}"/>
    <cellStyle name="Comma 4 2 3 6 2 2 2" xfId="26618" xr:uid="{188E82DE-65A9-465B-AB15-687045D733B7}"/>
    <cellStyle name="Comma 4 2 3 6 2 2 3" xfId="17319" xr:uid="{5790424A-92C9-42CB-803B-95A0193A3135}"/>
    <cellStyle name="Comma 4 2 3 6 2 3" xfId="22401" xr:uid="{F8F2418A-0B2D-421B-A5D3-328F4A8C4C10}"/>
    <cellStyle name="Comma 4 2 3 6 2 4" xfId="13102" xr:uid="{FBDE8F43-61D3-4EE0-8685-420FE59E6352}"/>
    <cellStyle name="Comma 4 2 3 6 3" xfId="5848" xr:uid="{00000000-0005-0000-0000-0000AC080000}"/>
    <cellStyle name="Comma 4 2 3 6 3 2" xfId="24473" xr:uid="{A035CED4-C4C7-48B8-B7D9-D48A84AC7291}"/>
    <cellStyle name="Comma 4 2 3 6 3 3" xfId="15174" xr:uid="{7BF8963F-ECCB-4453-A3BC-7EE857517906}"/>
    <cellStyle name="Comma 4 2 3 6 4" xfId="20256" xr:uid="{C0649137-BA97-4F63-826D-BB0F47C42405}"/>
    <cellStyle name="Comma 4 2 3 6 5" xfId="10957" xr:uid="{617954A8-6187-4C9C-8876-3FDBE0B6326D}"/>
    <cellStyle name="Comma 4 2 3 7" xfId="1955" xr:uid="{00000000-0005-0000-0000-0000AD080000}"/>
    <cellStyle name="Comma 4 2 3 7 2" xfId="4184" xr:uid="{00000000-0005-0000-0000-0000AE080000}"/>
    <cellStyle name="Comma 4 2 3 7 2 2" xfId="8406" xr:uid="{00000000-0005-0000-0000-0000AF080000}"/>
    <cellStyle name="Comma 4 2 3 7 2 2 2" xfId="27031" xr:uid="{72299F63-F269-46A4-A8E1-5EACE64BDEC2}"/>
    <cellStyle name="Comma 4 2 3 7 2 2 3" xfId="17732" xr:uid="{AEDBCCBB-BF7C-41BF-BFBA-5F2128B4A429}"/>
    <cellStyle name="Comma 4 2 3 7 2 3" xfId="22814" xr:uid="{76291E28-5328-4223-9271-7C7DA400755F}"/>
    <cellStyle name="Comma 4 2 3 7 2 4" xfId="13515" xr:uid="{DD5F7497-8E20-4F75-A379-98177B082F96}"/>
    <cellStyle name="Comma 4 2 3 7 3" xfId="6261" xr:uid="{00000000-0005-0000-0000-0000B0080000}"/>
    <cellStyle name="Comma 4 2 3 7 3 2" xfId="24886" xr:uid="{50FDC770-2F2A-472F-B13D-859DD798146C}"/>
    <cellStyle name="Comma 4 2 3 7 3 3" xfId="15587" xr:uid="{366004E2-57B1-4F3E-8A21-C33A2535933A}"/>
    <cellStyle name="Comma 4 2 3 7 4" xfId="20669" xr:uid="{633A2B49-E44F-45E9-A021-EB88D0B617F4}"/>
    <cellStyle name="Comma 4 2 3 7 5" xfId="11370" xr:uid="{54AF61B8-779B-4A46-9C09-7D722875F2F9}"/>
    <cellStyle name="Comma 4 2 3 8" xfId="2390" xr:uid="{00000000-0005-0000-0000-0000B1080000}"/>
    <cellStyle name="Comma 4 2 3 8 2" xfId="6674" xr:uid="{00000000-0005-0000-0000-0000B2080000}"/>
    <cellStyle name="Comma 4 2 3 8 2 2" xfId="25299" xr:uid="{BC68B05B-79F5-4A5F-B98C-A639072C3B7E}"/>
    <cellStyle name="Comma 4 2 3 8 2 3" xfId="16000" xr:uid="{AD5E569A-9F63-4A73-8E90-A23FA6E43683}"/>
    <cellStyle name="Comma 4 2 3 8 3" xfId="21082" xr:uid="{DAB25441-B5FE-4A0C-A306-218D250BCB78}"/>
    <cellStyle name="Comma 4 2 3 8 4" xfId="11783" xr:uid="{DF87F8CF-1EC8-4A38-AFF8-9931205143EE}"/>
    <cellStyle name="Comma 4 2 3 9" xfId="2373" xr:uid="{00000000-0005-0000-0000-0000B3080000}"/>
    <cellStyle name="Comma 4 2 4" xfId="140" xr:uid="{00000000-0005-0000-0000-0000B4080000}"/>
    <cellStyle name="Comma 4 2 4 10" xfId="4612" xr:uid="{00000000-0005-0000-0000-0000B5080000}"/>
    <cellStyle name="Comma 4 2 4 10 2" xfId="23237" xr:uid="{8DD9F9FF-4C8A-480F-8B0F-B21D89C6580F}"/>
    <cellStyle name="Comma 4 2 4 10 3" xfId="13938" xr:uid="{11F1F8FD-870C-4B64-91A0-76C1B5389A9E}"/>
    <cellStyle name="Comma 4 2 4 11" xfId="8858" xr:uid="{B6A00C95-D04C-44B2-B8AF-67540882256C}"/>
    <cellStyle name="Comma 4 2 4 11 2" xfId="27481" xr:uid="{95AA4626-D364-4E3D-AD16-74513DD6AFAC}"/>
    <cellStyle name="Comma 4 2 4 11 3" xfId="18182" xr:uid="{CA5F6BA5-1C84-4A85-88BD-0FF8A9E7FEE4}"/>
    <cellStyle name="Comma 4 2 4 12" xfId="19020" xr:uid="{C5F086EB-5222-4382-A0D6-4BF6FCA069E2}"/>
    <cellStyle name="Comma 4 2 4 13" xfId="9721" xr:uid="{44FBA2FE-8F89-473D-B8F9-94E936D39B61}"/>
    <cellStyle name="Comma 4 2 4 2" xfId="141" xr:uid="{00000000-0005-0000-0000-0000B6080000}"/>
    <cellStyle name="Comma 4 2 4 2 10" xfId="9065" xr:uid="{961AA06A-D943-447E-AADB-49B440E7E7CE}"/>
    <cellStyle name="Comma 4 2 4 2 10 2" xfId="27688" xr:uid="{0E1802BB-433A-40E5-A488-74B02A2425D9}"/>
    <cellStyle name="Comma 4 2 4 2 10 3" xfId="18389" xr:uid="{289B41B9-8347-4769-A89A-C823F84A595F}"/>
    <cellStyle name="Comma 4 2 4 2 11" xfId="19021" xr:uid="{1E995714-BA87-4C66-8CAE-545C55E0FCD8}"/>
    <cellStyle name="Comma 4 2 4 2 12" xfId="9722" xr:uid="{D3B52D44-BF66-4D09-8886-39E4AA3F3034}"/>
    <cellStyle name="Comma 4 2 4 2 2" xfId="679" xr:uid="{00000000-0005-0000-0000-0000B7080000}"/>
    <cellStyle name="Comma 4 2 4 2 2 2" xfId="2950" xr:uid="{00000000-0005-0000-0000-0000B8080000}"/>
    <cellStyle name="Comma 4 2 4 2 2 2 2" xfId="7172" xr:uid="{00000000-0005-0000-0000-0000B9080000}"/>
    <cellStyle name="Comma 4 2 4 2 2 2 2 2" xfId="25797" xr:uid="{31C076B6-CEB0-4AFE-94C9-F8E8AA8E653F}"/>
    <cellStyle name="Comma 4 2 4 2 2 2 2 3" xfId="16498" xr:uid="{5901810C-20E1-4691-8106-E5A4E016819E}"/>
    <cellStyle name="Comma 4 2 4 2 2 2 3" xfId="21580" xr:uid="{51B75990-949A-43C1-8CC2-82C22E8626F8}"/>
    <cellStyle name="Comma 4 2 4 2 2 2 4" xfId="12281" xr:uid="{2EF2E5F9-D3AB-4777-86CA-73B98C42130E}"/>
    <cellStyle name="Comma 4 2 4 2 2 3" xfId="5027" xr:uid="{00000000-0005-0000-0000-0000BA080000}"/>
    <cellStyle name="Comma 4 2 4 2 2 3 2" xfId="23652" xr:uid="{51336061-BC74-4443-B0C8-203FA1052618}"/>
    <cellStyle name="Comma 4 2 4 2 2 3 3" xfId="14353" xr:uid="{BA78E3BF-8923-41EA-A826-0A1BA0A2D5F4}"/>
    <cellStyle name="Comma 4 2 4 2 2 4" xfId="9490" xr:uid="{2FAEB1E6-7B41-437B-B2A9-4352AB4F4B98}"/>
    <cellStyle name="Comma 4 2 4 2 2 4 2" xfId="28104" xr:uid="{B10A1447-247D-451D-90CA-50073B76A1AB}"/>
    <cellStyle name="Comma 4 2 4 2 2 4 3" xfId="18805" xr:uid="{F778AB6C-1B0E-4C18-9C64-700EDE8775AC}"/>
    <cellStyle name="Comma 4 2 4 2 2 5" xfId="19435" xr:uid="{D27B5D05-0E00-46BC-85A2-A91F8AC56464}"/>
    <cellStyle name="Comma 4 2 4 2 2 6" xfId="10136" xr:uid="{8E854B44-4121-4389-A485-990108523172}"/>
    <cellStyle name="Comma 4 2 4 2 3" xfId="1132" xr:uid="{00000000-0005-0000-0000-0000BB080000}"/>
    <cellStyle name="Comma 4 2 4 2 3 2" xfId="3363" xr:uid="{00000000-0005-0000-0000-0000BC080000}"/>
    <cellStyle name="Comma 4 2 4 2 3 2 2" xfId="7585" xr:uid="{00000000-0005-0000-0000-0000BD080000}"/>
    <cellStyle name="Comma 4 2 4 2 3 2 2 2" xfId="26210" xr:uid="{93CB6384-81CB-44FA-8AC0-0781C452A304}"/>
    <cellStyle name="Comma 4 2 4 2 3 2 2 3" xfId="16911" xr:uid="{94F7FB9F-43D2-4EE4-BEDA-C7164D4958E0}"/>
    <cellStyle name="Comma 4 2 4 2 3 2 3" xfId="21993" xr:uid="{66C1A10B-4E81-45F5-8139-91DDF2444186}"/>
    <cellStyle name="Comma 4 2 4 2 3 2 4" xfId="12694" xr:uid="{07E83F53-6778-441D-831A-8A7274AE2B98}"/>
    <cellStyle name="Comma 4 2 4 2 3 3" xfId="5440" xr:uid="{00000000-0005-0000-0000-0000BE080000}"/>
    <cellStyle name="Comma 4 2 4 2 3 3 2" xfId="24065" xr:uid="{0170C00F-50E5-4D51-8F6A-656E5527D557}"/>
    <cellStyle name="Comma 4 2 4 2 3 3 3" xfId="14766" xr:uid="{91E8CE4A-65A1-4D9E-999B-F81373B61630}"/>
    <cellStyle name="Comma 4 2 4 2 3 4" xfId="19848" xr:uid="{4E8B5402-7F18-4FC6-8A07-B7D452430557}"/>
    <cellStyle name="Comma 4 2 4 2 3 5" xfId="10549" xr:uid="{765E63B9-A7DF-4DFA-B1F0-C2A089AF2CE9}"/>
    <cellStyle name="Comma 4 2 4 2 4" xfId="1546" xr:uid="{00000000-0005-0000-0000-0000BF080000}"/>
    <cellStyle name="Comma 4 2 4 2 4 2" xfId="3776" xr:uid="{00000000-0005-0000-0000-0000C0080000}"/>
    <cellStyle name="Comma 4 2 4 2 4 2 2" xfId="7998" xr:uid="{00000000-0005-0000-0000-0000C1080000}"/>
    <cellStyle name="Comma 4 2 4 2 4 2 2 2" xfId="26623" xr:uid="{57466A2D-A077-4271-8F6A-CEBE60148C81}"/>
    <cellStyle name="Comma 4 2 4 2 4 2 2 3" xfId="17324" xr:uid="{DBC05979-1079-4510-8D37-8A4B70D530EA}"/>
    <cellStyle name="Comma 4 2 4 2 4 2 3" xfId="22406" xr:uid="{FB8BC4EA-CFE1-4CDA-AF0D-92841AF5435E}"/>
    <cellStyle name="Comma 4 2 4 2 4 2 4" xfId="13107" xr:uid="{155F0FD1-C1B7-4ED5-A7EB-6C0460CC28D4}"/>
    <cellStyle name="Comma 4 2 4 2 4 3" xfId="5853" xr:uid="{00000000-0005-0000-0000-0000C2080000}"/>
    <cellStyle name="Comma 4 2 4 2 4 3 2" xfId="24478" xr:uid="{63A6E170-B22F-4683-A464-A628F4D549FF}"/>
    <cellStyle name="Comma 4 2 4 2 4 3 3" xfId="15179" xr:uid="{FEC6A91D-B5B3-411E-82A5-D8CB786C6179}"/>
    <cellStyle name="Comma 4 2 4 2 4 4" xfId="20261" xr:uid="{AC1181BB-9AB3-4CB4-A441-782E3ADC6DBD}"/>
    <cellStyle name="Comma 4 2 4 2 4 5" xfId="10962" xr:uid="{26EFDA35-11FB-4C7D-98A5-F29BCEA2C811}"/>
    <cellStyle name="Comma 4 2 4 2 5" xfId="1960" xr:uid="{00000000-0005-0000-0000-0000C3080000}"/>
    <cellStyle name="Comma 4 2 4 2 5 2" xfId="4189" xr:uid="{00000000-0005-0000-0000-0000C4080000}"/>
    <cellStyle name="Comma 4 2 4 2 5 2 2" xfId="8411" xr:uid="{00000000-0005-0000-0000-0000C5080000}"/>
    <cellStyle name="Comma 4 2 4 2 5 2 2 2" xfId="27036" xr:uid="{DA7F704D-BF3C-4C02-8B76-5CB489ED6913}"/>
    <cellStyle name="Comma 4 2 4 2 5 2 2 3" xfId="17737" xr:uid="{9059DCF1-F964-46BC-B05F-131776721E58}"/>
    <cellStyle name="Comma 4 2 4 2 5 2 3" xfId="22819" xr:uid="{C049988E-AE73-4B21-9D52-19FFA644AA1D}"/>
    <cellStyle name="Comma 4 2 4 2 5 2 4" xfId="13520" xr:uid="{460D4C29-91C4-4745-BCA6-D41AB35CF197}"/>
    <cellStyle name="Comma 4 2 4 2 5 3" xfId="6266" xr:uid="{00000000-0005-0000-0000-0000C6080000}"/>
    <cellStyle name="Comma 4 2 4 2 5 3 2" xfId="24891" xr:uid="{44BCB372-A993-4E97-97EA-D0718E30E798}"/>
    <cellStyle name="Comma 4 2 4 2 5 3 3" xfId="15592" xr:uid="{40F4C7AD-EFE2-4538-93B2-9BE20E04A5C9}"/>
    <cellStyle name="Comma 4 2 4 2 5 4" xfId="20674" xr:uid="{5E1D70C1-5FC5-4DC1-9D9C-5A0D34421386}"/>
    <cellStyle name="Comma 4 2 4 2 5 5" xfId="11375" xr:uid="{7AEC9651-5118-4CE1-AE0D-39EE66560E93}"/>
    <cellStyle name="Comma 4 2 4 2 6" xfId="2395" xr:uid="{00000000-0005-0000-0000-0000C7080000}"/>
    <cellStyle name="Comma 4 2 4 2 6 2" xfId="6679" xr:uid="{00000000-0005-0000-0000-0000C8080000}"/>
    <cellStyle name="Comma 4 2 4 2 6 2 2" xfId="25304" xr:uid="{CE98CCB5-BF40-4EB0-9328-857721AD21A6}"/>
    <cellStyle name="Comma 4 2 4 2 6 2 3" xfId="16005" xr:uid="{FE1F7C96-A580-4171-B676-2872470BD735}"/>
    <cellStyle name="Comma 4 2 4 2 6 3" xfId="21087" xr:uid="{F3979F2E-7414-4E97-86EA-5296F897A9BA}"/>
    <cellStyle name="Comma 4 2 4 2 6 4" xfId="11788" xr:uid="{125BB110-435B-40BF-8EBC-03AB0A861DB0}"/>
    <cellStyle name="Comma 4 2 4 2 7" xfId="2368" xr:uid="{00000000-0005-0000-0000-0000C9080000}"/>
    <cellStyle name="Comma 4 2 4 2 8" xfId="2773" xr:uid="{00000000-0005-0000-0000-0000CA080000}"/>
    <cellStyle name="Comma 4 2 4 2 8 2" xfId="6996" xr:uid="{00000000-0005-0000-0000-0000CB080000}"/>
    <cellStyle name="Comma 4 2 4 2 8 2 2" xfId="25621" xr:uid="{1F509BCA-5DE3-47E5-979C-D2943DC2BF2E}"/>
    <cellStyle name="Comma 4 2 4 2 8 2 3" xfId="16322" xr:uid="{68BF9C32-7B8E-4407-A153-40B83B73BD15}"/>
    <cellStyle name="Comma 4 2 4 2 8 3" xfId="21404" xr:uid="{CADEB076-BD17-48E1-9CAF-FD9BC075DD9C}"/>
    <cellStyle name="Comma 4 2 4 2 8 4" xfId="12105" xr:uid="{2D0E386D-0F5C-4FDA-A4B6-C9339B42B96E}"/>
    <cellStyle name="Comma 4 2 4 2 9" xfId="4613" xr:uid="{00000000-0005-0000-0000-0000CC080000}"/>
    <cellStyle name="Comma 4 2 4 2 9 2" xfId="23238" xr:uid="{87326513-4C66-4DE7-B28F-6552A4642C15}"/>
    <cellStyle name="Comma 4 2 4 2 9 3" xfId="13939" xr:uid="{5EC11CFE-1E45-49B7-80BE-3FDC73FDE14A}"/>
    <cellStyle name="Comma 4 2 4 3" xfId="678" xr:uid="{00000000-0005-0000-0000-0000CD080000}"/>
    <cellStyle name="Comma 4 2 4 3 2" xfId="2949" xr:uid="{00000000-0005-0000-0000-0000CE080000}"/>
    <cellStyle name="Comma 4 2 4 3 2 2" xfId="7171" xr:uid="{00000000-0005-0000-0000-0000CF080000}"/>
    <cellStyle name="Comma 4 2 4 3 2 2 2" xfId="25796" xr:uid="{572B5D6C-4398-4F2F-A05B-B43E850B8316}"/>
    <cellStyle name="Comma 4 2 4 3 2 2 3" xfId="16497" xr:uid="{B6346775-7BD1-4EEC-B095-C81F5BADC7CC}"/>
    <cellStyle name="Comma 4 2 4 3 2 3" xfId="21579" xr:uid="{FF60533F-6A5A-4C10-85A3-679C81ABCF62}"/>
    <cellStyle name="Comma 4 2 4 3 2 4" xfId="12280" xr:uid="{CB4281AD-AFD4-4027-8978-24C2CA7B33F5}"/>
    <cellStyle name="Comma 4 2 4 3 3" xfId="5026" xr:uid="{00000000-0005-0000-0000-0000D0080000}"/>
    <cellStyle name="Comma 4 2 4 3 3 2" xfId="23651" xr:uid="{F950710E-093C-4142-82F2-B38A305A67CF}"/>
    <cellStyle name="Comma 4 2 4 3 3 3" xfId="14352" xr:uid="{F3F4EB93-0342-4320-96F6-528157BA3C36}"/>
    <cellStyle name="Comma 4 2 4 3 4" xfId="9283" xr:uid="{7E46ED3C-A8F4-4512-93D9-5F41F1AC397C}"/>
    <cellStyle name="Comma 4 2 4 3 4 2" xfId="27897" xr:uid="{C63A6946-D7B4-432F-AA6C-8544F906F218}"/>
    <cellStyle name="Comma 4 2 4 3 4 3" xfId="18598" xr:uid="{78FE517E-C2AD-4A26-B203-483DE208B03F}"/>
    <cellStyle name="Comma 4 2 4 3 5" xfId="19434" xr:uid="{DF159912-6537-4030-99F7-821ADB8334A8}"/>
    <cellStyle name="Comma 4 2 4 3 6" xfId="10135" xr:uid="{7440A7EF-22AE-4883-8BDA-8041825CF85E}"/>
    <cellStyle name="Comma 4 2 4 4" xfId="1131" xr:uid="{00000000-0005-0000-0000-0000D1080000}"/>
    <cellStyle name="Comma 4 2 4 4 2" xfId="3362" xr:uid="{00000000-0005-0000-0000-0000D2080000}"/>
    <cellStyle name="Comma 4 2 4 4 2 2" xfId="7584" xr:uid="{00000000-0005-0000-0000-0000D3080000}"/>
    <cellStyle name="Comma 4 2 4 4 2 2 2" xfId="26209" xr:uid="{A82F30B4-3A37-4BD9-91B4-E6E8C08D7F66}"/>
    <cellStyle name="Comma 4 2 4 4 2 2 3" xfId="16910" xr:uid="{AE97AA15-DAA4-47E0-A78F-206A6EA2A24D}"/>
    <cellStyle name="Comma 4 2 4 4 2 3" xfId="21992" xr:uid="{AC1BFFC0-FDDD-42C4-9B1E-9661854664A5}"/>
    <cellStyle name="Comma 4 2 4 4 2 4" xfId="12693" xr:uid="{A9FA458F-E322-4EEB-B361-96C2CD5838C6}"/>
    <cellStyle name="Comma 4 2 4 4 3" xfId="5439" xr:uid="{00000000-0005-0000-0000-0000D4080000}"/>
    <cellStyle name="Comma 4 2 4 4 3 2" xfId="24064" xr:uid="{9DFECE99-0B89-40FE-87E3-1DE9515F477C}"/>
    <cellStyle name="Comma 4 2 4 4 3 3" xfId="14765" xr:uid="{1D0A8A1B-D081-49C5-8C60-158117DEE8E0}"/>
    <cellStyle name="Comma 4 2 4 4 4" xfId="19847" xr:uid="{584E25D3-37DA-4177-96FD-5E4B3738439D}"/>
    <cellStyle name="Comma 4 2 4 4 5" xfId="10548" xr:uid="{8B3C4E33-BC0C-4A30-A924-EE0588F09CA3}"/>
    <cellStyle name="Comma 4 2 4 5" xfId="1545" xr:uid="{00000000-0005-0000-0000-0000D5080000}"/>
    <cellStyle name="Comma 4 2 4 5 2" xfId="3775" xr:uid="{00000000-0005-0000-0000-0000D6080000}"/>
    <cellStyle name="Comma 4 2 4 5 2 2" xfId="7997" xr:uid="{00000000-0005-0000-0000-0000D7080000}"/>
    <cellStyle name="Comma 4 2 4 5 2 2 2" xfId="26622" xr:uid="{F23C4A03-8E9A-49D6-972D-C4628E3D7884}"/>
    <cellStyle name="Comma 4 2 4 5 2 2 3" xfId="17323" xr:uid="{F0063E26-75C7-4F4C-8FC0-F349F870DCE4}"/>
    <cellStyle name="Comma 4 2 4 5 2 3" xfId="22405" xr:uid="{2BAB83EE-F033-4959-84A2-F635267DFC27}"/>
    <cellStyle name="Comma 4 2 4 5 2 4" xfId="13106" xr:uid="{09E59819-DE10-402E-900E-083D8F763D58}"/>
    <cellStyle name="Comma 4 2 4 5 3" xfId="5852" xr:uid="{00000000-0005-0000-0000-0000D8080000}"/>
    <cellStyle name="Comma 4 2 4 5 3 2" xfId="24477" xr:uid="{4E8D8AEB-75A1-4259-B4EF-B47DD400C46B}"/>
    <cellStyle name="Comma 4 2 4 5 3 3" xfId="15178" xr:uid="{4BAFF75B-84E8-467D-A1FD-7140C3268236}"/>
    <cellStyle name="Comma 4 2 4 5 4" xfId="20260" xr:uid="{61BCEE97-3E3C-4785-BC50-100AFCC55FCC}"/>
    <cellStyle name="Comma 4 2 4 5 5" xfId="10961" xr:uid="{98B2562C-345C-4B0B-A8CD-51299F7D8063}"/>
    <cellStyle name="Comma 4 2 4 6" xfId="1959" xr:uid="{00000000-0005-0000-0000-0000D9080000}"/>
    <cellStyle name="Comma 4 2 4 6 2" xfId="4188" xr:uid="{00000000-0005-0000-0000-0000DA080000}"/>
    <cellStyle name="Comma 4 2 4 6 2 2" xfId="8410" xr:uid="{00000000-0005-0000-0000-0000DB080000}"/>
    <cellStyle name="Comma 4 2 4 6 2 2 2" xfId="27035" xr:uid="{44B8087E-DC46-45F6-B6F1-88C48AFC22FF}"/>
    <cellStyle name="Comma 4 2 4 6 2 2 3" xfId="17736" xr:uid="{8054F048-E8A2-4294-BE42-994896B6467E}"/>
    <cellStyle name="Comma 4 2 4 6 2 3" xfId="22818" xr:uid="{E4B4A42A-50B8-44EA-BCCE-99AEE26C892F}"/>
    <cellStyle name="Comma 4 2 4 6 2 4" xfId="13519" xr:uid="{0FEFA7A4-9760-451E-944F-5DCCA0CD8372}"/>
    <cellStyle name="Comma 4 2 4 6 3" xfId="6265" xr:uid="{00000000-0005-0000-0000-0000DC080000}"/>
    <cellStyle name="Comma 4 2 4 6 3 2" xfId="24890" xr:uid="{ADF1ED02-CE78-48DA-A32F-3530AC4A3489}"/>
    <cellStyle name="Comma 4 2 4 6 3 3" xfId="15591" xr:uid="{17E20261-8AA2-4AF7-AE25-F250BAB0C2F9}"/>
    <cellStyle name="Comma 4 2 4 6 4" xfId="20673" xr:uid="{9C8D5515-AF9A-493E-B7FB-F900EB2E5FE4}"/>
    <cellStyle name="Comma 4 2 4 6 5" xfId="11374" xr:uid="{CD0C2F9C-7524-4AE9-B3F8-22AFFDB41C29}"/>
    <cellStyle name="Comma 4 2 4 7" xfId="2394" xr:uid="{00000000-0005-0000-0000-0000DD080000}"/>
    <cellStyle name="Comma 4 2 4 7 2" xfId="6678" xr:uid="{00000000-0005-0000-0000-0000DE080000}"/>
    <cellStyle name="Comma 4 2 4 7 2 2" xfId="25303" xr:uid="{CF04F33C-0FFE-4D78-A6FC-1020F5DBB127}"/>
    <cellStyle name="Comma 4 2 4 7 2 3" xfId="16004" xr:uid="{8B0D24C8-1D18-4B6C-B979-8076497FB26A}"/>
    <cellStyle name="Comma 4 2 4 7 3" xfId="21086" xr:uid="{52EC642A-B981-41C1-B3DE-C8A271B8AB67}"/>
    <cellStyle name="Comma 4 2 4 7 4" xfId="11787" xr:uid="{DDB627EA-07A3-478B-8257-3136AE65CB08}"/>
    <cellStyle name="Comma 4 2 4 8" xfId="2369" xr:uid="{00000000-0005-0000-0000-0000DF080000}"/>
    <cellStyle name="Comma 4 2 4 9" xfId="2772" xr:uid="{00000000-0005-0000-0000-0000E0080000}"/>
    <cellStyle name="Comma 4 2 4 9 2" xfId="6995" xr:uid="{00000000-0005-0000-0000-0000E1080000}"/>
    <cellStyle name="Comma 4 2 4 9 2 2" xfId="25620" xr:uid="{75BA2A4D-7708-4B9D-ADE4-7A407F4CD0CF}"/>
    <cellStyle name="Comma 4 2 4 9 2 3" xfId="16321" xr:uid="{8AFFD12B-159E-4EC5-9FB8-13407D1CF5EC}"/>
    <cellStyle name="Comma 4 2 4 9 3" xfId="21403" xr:uid="{0921E1A5-F236-4DFD-946F-DD98CA78619B}"/>
    <cellStyle name="Comma 4 2 4 9 4" xfId="12104" xr:uid="{C5335383-D1B9-4147-B514-0ADA1F2E2424}"/>
    <cellStyle name="Comma 4 2 5" xfId="142" xr:uid="{00000000-0005-0000-0000-0000E2080000}"/>
    <cellStyle name="Comma 4 2 5 10" xfId="8974" xr:uid="{86B0C89A-8A2D-4755-B15D-84E412E1D380}"/>
    <cellStyle name="Comma 4 2 5 10 2" xfId="27597" xr:uid="{00516A4B-6FD7-4AE2-AD57-1EDFCDDA7E4D}"/>
    <cellStyle name="Comma 4 2 5 10 3" xfId="18298" xr:uid="{F2931C4B-63E2-433F-A36A-7C11861302A2}"/>
    <cellStyle name="Comma 4 2 5 11" xfId="19022" xr:uid="{912AD5CB-A32C-4192-A31D-CB6D6823CDB8}"/>
    <cellStyle name="Comma 4 2 5 12" xfId="9723" xr:uid="{FFD1E75F-50DF-4F05-BFB6-E46F8ED26644}"/>
    <cellStyle name="Comma 4 2 5 2" xfId="680" xr:uid="{00000000-0005-0000-0000-0000E3080000}"/>
    <cellStyle name="Comma 4 2 5 2 2" xfId="2951" xr:uid="{00000000-0005-0000-0000-0000E4080000}"/>
    <cellStyle name="Comma 4 2 5 2 2 2" xfId="7173" xr:uid="{00000000-0005-0000-0000-0000E5080000}"/>
    <cellStyle name="Comma 4 2 5 2 2 2 2" xfId="25798" xr:uid="{FFCA6D11-A7C8-4AC8-8E41-A5CC56015C29}"/>
    <cellStyle name="Comma 4 2 5 2 2 2 3" xfId="16499" xr:uid="{3440CBB7-4434-4313-BDAD-93D4F91FD142}"/>
    <cellStyle name="Comma 4 2 5 2 2 3" xfId="21581" xr:uid="{1A0E7999-6DF9-4A94-BB90-8B23D0BDCF72}"/>
    <cellStyle name="Comma 4 2 5 2 2 4" xfId="12282" xr:uid="{F43F0507-341B-4D0B-B7BC-E7F3B83FFF61}"/>
    <cellStyle name="Comma 4 2 5 2 3" xfId="5028" xr:uid="{00000000-0005-0000-0000-0000E6080000}"/>
    <cellStyle name="Comma 4 2 5 2 3 2" xfId="23653" xr:uid="{AE4E7805-C3A0-43EE-B116-2F4F079AE94F}"/>
    <cellStyle name="Comma 4 2 5 2 3 3" xfId="14354" xr:uid="{DB30C717-1825-4F33-9561-E4CA1AC6CC8C}"/>
    <cellStyle name="Comma 4 2 5 2 4" xfId="9399" xr:uid="{1B388BC7-1FC6-4DC3-B345-755F61B57864}"/>
    <cellStyle name="Comma 4 2 5 2 4 2" xfId="28013" xr:uid="{AFFA9E00-F385-4E8F-AAF9-E5B13833BF1C}"/>
    <cellStyle name="Comma 4 2 5 2 4 3" xfId="18714" xr:uid="{A7932D99-EF2E-45A2-8B4B-2171470C81D1}"/>
    <cellStyle name="Comma 4 2 5 2 5" xfId="19436" xr:uid="{0886A1FD-1DD7-4081-869C-57A02703E875}"/>
    <cellStyle name="Comma 4 2 5 2 6" xfId="10137" xr:uid="{F13D62A8-FF02-4EF7-87C9-57E0A4DD7D28}"/>
    <cellStyle name="Comma 4 2 5 3" xfId="1133" xr:uid="{00000000-0005-0000-0000-0000E7080000}"/>
    <cellStyle name="Comma 4 2 5 3 2" xfId="3364" xr:uid="{00000000-0005-0000-0000-0000E8080000}"/>
    <cellStyle name="Comma 4 2 5 3 2 2" xfId="7586" xr:uid="{00000000-0005-0000-0000-0000E9080000}"/>
    <cellStyle name="Comma 4 2 5 3 2 2 2" xfId="26211" xr:uid="{7A392D7B-44F1-423C-B966-AC33E26A7103}"/>
    <cellStyle name="Comma 4 2 5 3 2 2 3" xfId="16912" xr:uid="{6466F3DA-3DD1-4F9A-8CB1-21EB2561E9DB}"/>
    <cellStyle name="Comma 4 2 5 3 2 3" xfId="21994" xr:uid="{19C92533-2469-4060-AFF4-4962FFF31AE3}"/>
    <cellStyle name="Comma 4 2 5 3 2 4" xfId="12695" xr:uid="{3A9C59C8-3A72-41DD-8F41-7AF2AA58876D}"/>
    <cellStyle name="Comma 4 2 5 3 3" xfId="5441" xr:uid="{00000000-0005-0000-0000-0000EA080000}"/>
    <cellStyle name="Comma 4 2 5 3 3 2" xfId="24066" xr:uid="{E2100A3F-054C-4896-B2D5-FF426833D6B8}"/>
    <cellStyle name="Comma 4 2 5 3 3 3" xfId="14767" xr:uid="{40541DED-00D2-4737-AFA8-88212977D807}"/>
    <cellStyle name="Comma 4 2 5 3 4" xfId="19849" xr:uid="{53A5F71D-1996-4EA4-8818-859595A4B782}"/>
    <cellStyle name="Comma 4 2 5 3 5" xfId="10550" xr:uid="{E1D7EA0C-0465-4959-8A09-EAC65EE44506}"/>
    <cellStyle name="Comma 4 2 5 4" xfId="1547" xr:uid="{00000000-0005-0000-0000-0000EB080000}"/>
    <cellStyle name="Comma 4 2 5 4 2" xfId="3777" xr:uid="{00000000-0005-0000-0000-0000EC080000}"/>
    <cellStyle name="Comma 4 2 5 4 2 2" xfId="7999" xr:uid="{00000000-0005-0000-0000-0000ED080000}"/>
    <cellStyle name="Comma 4 2 5 4 2 2 2" xfId="26624" xr:uid="{EB69A8DD-BFFD-4EB0-B136-A356E883F131}"/>
    <cellStyle name="Comma 4 2 5 4 2 2 3" xfId="17325" xr:uid="{6D37B97D-76DA-4882-B881-22DD03B30B36}"/>
    <cellStyle name="Comma 4 2 5 4 2 3" xfId="22407" xr:uid="{657D6D9D-4E5F-4930-B01B-B17FD3BEDA21}"/>
    <cellStyle name="Comma 4 2 5 4 2 4" xfId="13108" xr:uid="{EF28108B-8721-4054-8C19-4F84B878E80E}"/>
    <cellStyle name="Comma 4 2 5 4 3" xfId="5854" xr:uid="{00000000-0005-0000-0000-0000EE080000}"/>
    <cellStyle name="Comma 4 2 5 4 3 2" xfId="24479" xr:uid="{576FCA44-DEF5-4129-92BA-07F8825C42BF}"/>
    <cellStyle name="Comma 4 2 5 4 3 3" xfId="15180" xr:uid="{CFE1C15C-5EAC-4A5E-B4A0-BD00081D837C}"/>
    <cellStyle name="Comma 4 2 5 4 4" xfId="20262" xr:uid="{87266D51-D0DC-4A00-8971-F068CA8D0107}"/>
    <cellStyle name="Comma 4 2 5 4 5" xfId="10963" xr:uid="{2715C673-A807-4F63-AFA4-2872AD3F881E}"/>
    <cellStyle name="Comma 4 2 5 5" xfId="1961" xr:uid="{00000000-0005-0000-0000-0000EF080000}"/>
    <cellStyle name="Comma 4 2 5 5 2" xfId="4190" xr:uid="{00000000-0005-0000-0000-0000F0080000}"/>
    <cellStyle name="Comma 4 2 5 5 2 2" xfId="8412" xr:uid="{00000000-0005-0000-0000-0000F1080000}"/>
    <cellStyle name="Comma 4 2 5 5 2 2 2" xfId="27037" xr:uid="{387AE89D-BF05-4F44-BD32-2845B0B38CA0}"/>
    <cellStyle name="Comma 4 2 5 5 2 2 3" xfId="17738" xr:uid="{0CA628DF-AC2B-44D7-B07E-E8210792EDC3}"/>
    <cellStyle name="Comma 4 2 5 5 2 3" xfId="22820" xr:uid="{F6926AF2-B24A-4663-9E31-E63622EAE4E3}"/>
    <cellStyle name="Comma 4 2 5 5 2 4" xfId="13521" xr:uid="{4C46DF6D-264B-4C4B-BD6B-AFE140CF2CAC}"/>
    <cellStyle name="Comma 4 2 5 5 3" xfId="6267" xr:uid="{00000000-0005-0000-0000-0000F2080000}"/>
    <cellStyle name="Comma 4 2 5 5 3 2" xfId="24892" xr:uid="{561A01BB-34B7-4669-8570-3FBD1A88BC9C}"/>
    <cellStyle name="Comma 4 2 5 5 3 3" xfId="15593" xr:uid="{0B5BFEC1-C479-4B9C-96F9-CA1594945A8F}"/>
    <cellStyle name="Comma 4 2 5 5 4" xfId="20675" xr:uid="{508026F6-037F-41CC-BD91-005A88C0CA4D}"/>
    <cellStyle name="Comma 4 2 5 5 5" xfId="11376" xr:uid="{32CDFB4A-4B3A-4458-886F-0932084012CB}"/>
    <cellStyle name="Comma 4 2 5 6" xfId="2396" xr:uid="{00000000-0005-0000-0000-0000F3080000}"/>
    <cellStyle name="Comma 4 2 5 6 2" xfId="6680" xr:uid="{00000000-0005-0000-0000-0000F4080000}"/>
    <cellStyle name="Comma 4 2 5 6 2 2" xfId="25305" xr:uid="{E369B40F-02FE-4DB9-B723-662EFA404674}"/>
    <cellStyle name="Comma 4 2 5 6 2 3" xfId="16006" xr:uid="{E34E7E5B-9472-4EA1-ACB9-DBC34B82E474}"/>
    <cellStyle name="Comma 4 2 5 6 3" xfId="21088" xr:uid="{60423F04-14E8-4570-ABFF-853CE56F1CC5}"/>
    <cellStyle name="Comma 4 2 5 6 4" xfId="11789" xr:uid="{3886BE88-F921-4FCF-8ED8-0F640A52FCEC}"/>
    <cellStyle name="Comma 4 2 5 7" xfId="2367" xr:uid="{00000000-0005-0000-0000-0000F5080000}"/>
    <cellStyle name="Comma 4 2 5 8" xfId="2774" xr:uid="{00000000-0005-0000-0000-0000F6080000}"/>
    <cellStyle name="Comma 4 2 5 8 2" xfId="6997" xr:uid="{00000000-0005-0000-0000-0000F7080000}"/>
    <cellStyle name="Comma 4 2 5 8 2 2" xfId="25622" xr:uid="{63F93808-2CE6-4099-91FA-10382066FD8F}"/>
    <cellStyle name="Comma 4 2 5 8 2 3" xfId="16323" xr:uid="{C5A30D10-7C41-47C9-9D19-433E52028CE0}"/>
    <cellStyle name="Comma 4 2 5 8 3" xfId="21405" xr:uid="{F33B980E-0FB8-4ED9-BF0F-401903ABFCD3}"/>
    <cellStyle name="Comma 4 2 5 8 4" xfId="12106" xr:uid="{166A20AC-3185-4E2E-B2E3-D175E5F9A6C1}"/>
    <cellStyle name="Comma 4 2 5 9" xfId="4614" xr:uid="{00000000-0005-0000-0000-0000F8080000}"/>
    <cellStyle name="Comma 4 2 5 9 2" xfId="23239" xr:uid="{03C48468-6FC2-4002-AABF-319CAEF4F4D8}"/>
    <cellStyle name="Comma 4 2 5 9 3" xfId="13940" xr:uid="{DA23FE62-3393-4E58-977D-CDB9F1EBEEBC}"/>
    <cellStyle name="Comma 4 2 6" xfId="143" xr:uid="{00000000-0005-0000-0000-0000F9080000}"/>
    <cellStyle name="Comma 4 2 6 10" xfId="9177" xr:uid="{A20A3B72-7630-464F-8E57-DA2B9D6E44FB}"/>
    <cellStyle name="Comma 4 2 6 10 2" xfId="27794" xr:uid="{416762F5-F459-4391-A5EE-68491AE4C1EF}"/>
    <cellStyle name="Comma 4 2 6 10 3" xfId="18495" xr:uid="{6F1F538B-01AE-4053-B3A0-B4C08BEE9325}"/>
    <cellStyle name="Comma 4 2 6 11" xfId="19023" xr:uid="{134346D2-58B5-4418-80B1-C80D323EE6A7}"/>
    <cellStyle name="Comma 4 2 6 12" xfId="9724" xr:uid="{F6F65C6B-BF18-4EBF-A8BB-92F5653F1A4F}"/>
    <cellStyle name="Comma 4 2 6 2" xfId="681" xr:uid="{00000000-0005-0000-0000-0000FA080000}"/>
    <cellStyle name="Comma 4 2 6 2 2" xfId="2952" xr:uid="{00000000-0005-0000-0000-0000FB080000}"/>
    <cellStyle name="Comma 4 2 6 2 2 2" xfId="7174" xr:uid="{00000000-0005-0000-0000-0000FC080000}"/>
    <cellStyle name="Comma 4 2 6 2 2 2 2" xfId="25799" xr:uid="{27DF22D3-545D-475F-9BEE-4FE78E74FCF0}"/>
    <cellStyle name="Comma 4 2 6 2 2 2 3" xfId="16500" xr:uid="{7950D9F6-9B43-441D-A966-8165FDD13642}"/>
    <cellStyle name="Comma 4 2 6 2 2 3" xfId="21582" xr:uid="{5EE9C649-D57D-4DC6-A121-7439587D69A4}"/>
    <cellStyle name="Comma 4 2 6 2 2 4" xfId="12283" xr:uid="{0CC788CF-EBAB-49EB-9498-DCCFC1587334}"/>
    <cellStyle name="Comma 4 2 6 2 3" xfId="5029" xr:uid="{00000000-0005-0000-0000-0000FD080000}"/>
    <cellStyle name="Comma 4 2 6 2 3 2" xfId="23654" xr:uid="{6463BA9A-41F6-45E1-A086-1D389B112B42}"/>
    <cellStyle name="Comma 4 2 6 2 3 3" xfId="14355" xr:uid="{21F87448-A6AB-473C-B153-2300B4B4FDF8}"/>
    <cellStyle name="Comma 4 2 6 2 4" xfId="9594" xr:uid="{CCB8D3FE-19FC-4F7F-9966-44FD23A1A32A}"/>
    <cellStyle name="Comma 4 2 6 2 4 2" xfId="28197" xr:uid="{651B21D1-601C-4C18-B5D1-62605B31E04F}"/>
    <cellStyle name="Comma 4 2 6 2 4 3" xfId="18898" xr:uid="{181AE488-9975-4BF6-803F-FE49756D246F}"/>
    <cellStyle name="Comma 4 2 6 2 5" xfId="19437" xr:uid="{F257C49D-F728-4BBB-83FC-4984A04D0954}"/>
    <cellStyle name="Comma 4 2 6 2 6" xfId="10138" xr:uid="{6FA5ED02-B7C8-45B7-92E7-9BADF5EC47B5}"/>
    <cellStyle name="Comma 4 2 6 3" xfId="1134" xr:uid="{00000000-0005-0000-0000-0000FE080000}"/>
    <cellStyle name="Comma 4 2 6 3 2" xfId="3365" xr:uid="{00000000-0005-0000-0000-0000FF080000}"/>
    <cellStyle name="Comma 4 2 6 3 2 2" xfId="7587" xr:uid="{00000000-0005-0000-0000-000000090000}"/>
    <cellStyle name="Comma 4 2 6 3 2 2 2" xfId="26212" xr:uid="{3271BB26-CB50-48EC-815D-B153C0EDA6CE}"/>
    <cellStyle name="Comma 4 2 6 3 2 2 3" xfId="16913" xr:uid="{6EEFFF0C-CF6A-40D0-80EB-D3963E61D874}"/>
    <cellStyle name="Comma 4 2 6 3 2 3" xfId="21995" xr:uid="{0999E357-7084-445E-BD2E-CF19E774DAE3}"/>
    <cellStyle name="Comma 4 2 6 3 2 4" xfId="12696" xr:uid="{F5D7F2EF-94C5-4535-82FF-EC671FA1D97B}"/>
    <cellStyle name="Comma 4 2 6 3 3" xfId="5442" xr:uid="{00000000-0005-0000-0000-000001090000}"/>
    <cellStyle name="Comma 4 2 6 3 3 2" xfId="24067" xr:uid="{B0B1A2D2-9E2F-436A-9D0C-B9A111485872}"/>
    <cellStyle name="Comma 4 2 6 3 3 3" xfId="14768" xr:uid="{C65A75F4-DF50-46FE-BCB7-07A533BF746D}"/>
    <cellStyle name="Comma 4 2 6 3 4" xfId="19850" xr:uid="{421AE94C-6097-47F1-B359-F4221DBC07B3}"/>
    <cellStyle name="Comma 4 2 6 3 5" xfId="10551" xr:uid="{42FF758C-74A9-48C0-9297-1E0C5A79787B}"/>
    <cellStyle name="Comma 4 2 6 4" xfId="1548" xr:uid="{00000000-0005-0000-0000-000002090000}"/>
    <cellStyle name="Comma 4 2 6 4 2" xfId="3778" xr:uid="{00000000-0005-0000-0000-000003090000}"/>
    <cellStyle name="Comma 4 2 6 4 2 2" xfId="8000" xr:uid="{00000000-0005-0000-0000-000004090000}"/>
    <cellStyle name="Comma 4 2 6 4 2 2 2" xfId="26625" xr:uid="{14068AF1-F452-403A-8655-E8D28BBAF976}"/>
    <cellStyle name="Comma 4 2 6 4 2 2 3" xfId="17326" xr:uid="{01E695ED-47E2-4254-A0BC-14D5A2B268FA}"/>
    <cellStyle name="Comma 4 2 6 4 2 3" xfId="22408" xr:uid="{464FCEAC-2A23-43D9-A003-14B67D516D3B}"/>
    <cellStyle name="Comma 4 2 6 4 2 4" xfId="13109" xr:uid="{971B4FA2-B73A-4E2A-AC08-C955CC39306A}"/>
    <cellStyle name="Comma 4 2 6 4 3" xfId="5855" xr:uid="{00000000-0005-0000-0000-000005090000}"/>
    <cellStyle name="Comma 4 2 6 4 3 2" xfId="24480" xr:uid="{3CFFE3F6-5DAA-431C-B5B4-CBFE93FECBE3}"/>
    <cellStyle name="Comma 4 2 6 4 3 3" xfId="15181" xr:uid="{D2C3FC07-DC0B-4876-8481-5F0F01A417F3}"/>
    <cellStyle name="Comma 4 2 6 4 4" xfId="20263" xr:uid="{2421984B-ECAD-43DF-8D7C-677BA3EE04EC}"/>
    <cellStyle name="Comma 4 2 6 4 5" xfId="10964" xr:uid="{61374E86-9CD5-4853-91A8-5290A2271DBF}"/>
    <cellStyle name="Comma 4 2 6 5" xfId="1962" xr:uid="{00000000-0005-0000-0000-000006090000}"/>
    <cellStyle name="Comma 4 2 6 5 2" xfId="4191" xr:uid="{00000000-0005-0000-0000-000007090000}"/>
    <cellStyle name="Comma 4 2 6 5 2 2" xfId="8413" xr:uid="{00000000-0005-0000-0000-000008090000}"/>
    <cellStyle name="Comma 4 2 6 5 2 2 2" xfId="27038" xr:uid="{645D42B5-6CB5-4C6B-BC5F-15C9460A4CA3}"/>
    <cellStyle name="Comma 4 2 6 5 2 2 3" xfId="17739" xr:uid="{4EC45EB5-0A00-4F0D-88DB-B666C8EDE798}"/>
    <cellStyle name="Comma 4 2 6 5 2 3" xfId="22821" xr:uid="{E0E47055-66A0-4795-94B7-FA3784345333}"/>
    <cellStyle name="Comma 4 2 6 5 2 4" xfId="13522" xr:uid="{2D08683C-9DA6-490F-9F5F-1E3B9EF95EB1}"/>
    <cellStyle name="Comma 4 2 6 5 3" xfId="6268" xr:uid="{00000000-0005-0000-0000-000009090000}"/>
    <cellStyle name="Comma 4 2 6 5 3 2" xfId="24893" xr:uid="{D2A9A510-2D12-40A3-B4E2-A86E1DC68F28}"/>
    <cellStyle name="Comma 4 2 6 5 3 3" xfId="15594" xr:uid="{4E9DAFA2-AC9C-4D19-BFE8-7AC8D1CF12AB}"/>
    <cellStyle name="Comma 4 2 6 5 4" xfId="20676" xr:uid="{DFB9CA08-5CAE-4EE6-8185-8248B98D8EB6}"/>
    <cellStyle name="Comma 4 2 6 5 5" xfId="11377" xr:uid="{8B4695AD-9C9B-4949-8033-FC3B776C6ECF}"/>
    <cellStyle name="Comma 4 2 6 6" xfId="2397" xr:uid="{00000000-0005-0000-0000-00000A090000}"/>
    <cellStyle name="Comma 4 2 6 6 2" xfId="6681" xr:uid="{00000000-0005-0000-0000-00000B090000}"/>
    <cellStyle name="Comma 4 2 6 6 2 2" xfId="25306" xr:uid="{3A54B5CA-0314-4E49-9A1B-6390ABEDE549}"/>
    <cellStyle name="Comma 4 2 6 6 2 3" xfId="16007" xr:uid="{123AA848-A425-4B18-B28E-CE5656B712BA}"/>
    <cellStyle name="Comma 4 2 6 6 3" xfId="21089" xr:uid="{522E039E-B3E8-4C31-808B-B6366217F6BD}"/>
    <cellStyle name="Comma 4 2 6 6 4" xfId="11790" xr:uid="{2060C998-CB27-4AAC-8998-359FB742EACD}"/>
    <cellStyle name="Comma 4 2 6 7" xfId="2366" xr:uid="{00000000-0005-0000-0000-00000C090000}"/>
    <cellStyle name="Comma 4 2 6 8" xfId="2775" xr:uid="{00000000-0005-0000-0000-00000D090000}"/>
    <cellStyle name="Comma 4 2 6 8 2" xfId="6998" xr:uid="{00000000-0005-0000-0000-00000E090000}"/>
    <cellStyle name="Comma 4 2 6 8 2 2" xfId="25623" xr:uid="{EC0EECF7-F7C8-47AD-AEA5-03705E2A5EA4}"/>
    <cellStyle name="Comma 4 2 6 8 2 3" xfId="16324" xr:uid="{7B650C78-0C4A-4D73-A0F5-9FCB91198024}"/>
    <cellStyle name="Comma 4 2 6 8 3" xfId="21406" xr:uid="{E7F8E849-3A00-482F-AB93-40584CF22BB3}"/>
    <cellStyle name="Comma 4 2 6 8 4" xfId="12107" xr:uid="{54090018-32CD-40A9-955B-E09D60501EC6}"/>
    <cellStyle name="Comma 4 2 6 9" xfId="4615" xr:uid="{00000000-0005-0000-0000-00000F090000}"/>
    <cellStyle name="Comma 4 2 6 9 2" xfId="23240" xr:uid="{6CB1024B-F18F-4F90-BAB8-2ED1ED9ED9A8}"/>
    <cellStyle name="Comma 4 2 6 9 3" xfId="13941" xr:uid="{AFD4D798-35F7-46DC-9E5E-9E4714121F42}"/>
    <cellStyle name="Comma 4 2 7" xfId="9190" xr:uid="{C8B7F6BD-E2DD-41C7-A6AF-A5C7B900A7ED}"/>
    <cellStyle name="Comma 4 2 8" xfId="8755" xr:uid="{40286204-C766-4116-8542-387551AD6364}"/>
    <cellStyle name="Comma 4 2 8 2" xfId="27378" xr:uid="{F09D9982-7989-478E-B42F-AD54F06D3C47}"/>
    <cellStyle name="Comma 4 2 8 3" xfId="18079" xr:uid="{9847BCE8-1A55-4352-8A0C-6D153E7892F9}"/>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0 2 2" xfId="25624" xr:uid="{17359A4E-4A62-4A8F-9FC3-250407E04488}"/>
    <cellStyle name="Comma 4 3 2 10 2 3" xfId="16325" xr:uid="{AFF67B3A-1F8A-4259-9531-5574373E0E74}"/>
    <cellStyle name="Comma 4 3 2 10 3" xfId="21407" xr:uid="{1269494E-F498-4DAB-9572-8F93A545CC1D}"/>
    <cellStyle name="Comma 4 3 2 10 4" xfId="12108" xr:uid="{69DD9713-B820-4EBE-B879-F9ED641BC18C}"/>
    <cellStyle name="Comma 4 3 2 11" xfId="4616" xr:uid="{00000000-0005-0000-0000-000014090000}"/>
    <cellStyle name="Comma 4 3 2 11 2" xfId="23241" xr:uid="{58AF17D5-A39D-4B47-A849-FB51825C70F3}"/>
    <cellStyle name="Comma 4 3 2 11 3" xfId="13942" xr:uid="{C80C92B4-3CC9-4352-94AA-936A7EE38C78}"/>
    <cellStyle name="Comma 4 3 2 12" xfId="8807" xr:uid="{5C5EF314-D0DB-425B-AE7D-D52FEEE90EC1}"/>
    <cellStyle name="Comma 4 3 2 12 2" xfId="27430" xr:uid="{9853A4B6-C5DD-474E-A727-BD10AA87D102}"/>
    <cellStyle name="Comma 4 3 2 12 3" xfId="18131" xr:uid="{17D2BBD7-608C-416A-B923-FE7B7965FFA4}"/>
    <cellStyle name="Comma 4 3 2 13" xfId="19024" xr:uid="{4BC77D7E-44F5-4D2F-A693-0588A540D58B}"/>
    <cellStyle name="Comma 4 3 2 14" xfId="9725" xr:uid="{0A3D4FC1-5EAA-4594-8EB3-8CCF303D24BE}"/>
    <cellStyle name="Comma 4 3 2 2" xfId="146" xr:uid="{00000000-0005-0000-0000-000015090000}"/>
    <cellStyle name="Comma 4 3 2 2 10" xfId="4617" xr:uid="{00000000-0005-0000-0000-000016090000}"/>
    <cellStyle name="Comma 4 3 2 2 10 2" xfId="23242" xr:uid="{3645C87B-C4E8-4CF1-8EA9-A49FFEEDB5B0}"/>
    <cellStyle name="Comma 4 3 2 2 10 3" xfId="13943" xr:uid="{A6E421F6-8930-4EAE-B46D-DA467A6443DC}"/>
    <cellStyle name="Comma 4 3 2 2 11" xfId="8910" xr:uid="{15019DD0-71A0-438D-B796-68DE42B22692}"/>
    <cellStyle name="Comma 4 3 2 2 11 2" xfId="27533" xr:uid="{17C7D680-B29D-43FF-8039-7FC155941405}"/>
    <cellStyle name="Comma 4 3 2 2 11 3" xfId="18234" xr:uid="{2DB365C7-BA87-45CC-987B-B48F7F3D5E97}"/>
    <cellStyle name="Comma 4 3 2 2 12" xfId="19025" xr:uid="{B31AB7D1-4A35-48E2-808C-CC099641DEFE}"/>
    <cellStyle name="Comma 4 3 2 2 13" xfId="9726" xr:uid="{92239AE1-021E-4D24-8EFF-D4DFE824485C}"/>
    <cellStyle name="Comma 4 3 2 2 2" xfId="147" xr:uid="{00000000-0005-0000-0000-000017090000}"/>
    <cellStyle name="Comma 4 3 2 2 2 10" xfId="9117" xr:uid="{1409F531-DBF2-41E0-9C74-F9317358BA15}"/>
    <cellStyle name="Comma 4 3 2 2 2 10 2" xfId="27740" xr:uid="{5DF959EE-6A3A-4BF9-BF1F-1E5863AC2DD2}"/>
    <cellStyle name="Comma 4 3 2 2 2 10 3" xfId="18441" xr:uid="{F60D024B-9678-4D50-BB46-AE9FAD189E75}"/>
    <cellStyle name="Comma 4 3 2 2 2 11" xfId="19026" xr:uid="{886D4539-B8FA-40FA-95B4-AD90FE513677}"/>
    <cellStyle name="Comma 4 3 2 2 2 12" xfId="9727" xr:uid="{143938E3-E060-48D2-9D9B-861CBD40604C}"/>
    <cellStyle name="Comma 4 3 2 2 2 2" xfId="684" xr:uid="{00000000-0005-0000-0000-000018090000}"/>
    <cellStyle name="Comma 4 3 2 2 2 2 2" xfId="2955" xr:uid="{00000000-0005-0000-0000-000019090000}"/>
    <cellStyle name="Comma 4 3 2 2 2 2 2 2" xfId="7177" xr:uid="{00000000-0005-0000-0000-00001A090000}"/>
    <cellStyle name="Comma 4 3 2 2 2 2 2 2 2" xfId="25802" xr:uid="{B8C2F59D-E22F-4946-A00C-A400719C00B8}"/>
    <cellStyle name="Comma 4 3 2 2 2 2 2 2 3" xfId="16503" xr:uid="{D83366FB-5F6A-40BF-9908-B31FBB34278A}"/>
    <cellStyle name="Comma 4 3 2 2 2 2 2 3" xfId="21585" xr:uid="{B6260D6F-18BB-4412-8331-02A9DEB3E9C5}"/>
    <cellStyle name="Comma 4 3 2 2 2 2 2 4" xfId="12286" xr:uid="{DD7DFFF8-F733-4F1B-81B0-A7DBA36DCEE8}"/>
    <cellStyle name="Comma 4 3 2 2 2 2 3" xfId="5032" xr:uid="{00000000-0005-0000-0000-00001B090000}"/>
    <cellStyle name="Comma 4 3 2 2 2 2 3 2" xfId="23657" xr:uid="{A62540CC-2471-4250-B29B-495551B75A63}"/>
    <cellStyle name="Comma 4 3 2 2 2 2 3 3" xfId="14358" xr:uid="{D6BA60B3-4A38-4936-AEC8-538CDB973A84}"/>
    <cellStyle name="Comma 4 3 2 2 2 2 4" xfId="9542" xr:uid="{26CD77CC-F017-4839-8245-BBF245D45E53}"/>
    <cellStyle name="Comma 4 3 2 2 2 2 4 2" xfId="28156" xr:uid="{D79D8CAE-EE02-4C87-9739-2924F793F9D3}"/>
    <cellStyle name="Comma 4 3 2 2 2 2 4 3" xfId="18857" xr:uid="{9F119E9C-D4F1-4B2C-8DDA-4E9ED3717292}"/>
    <cellStyle name="Comma 4 3 2 2 2 2 5" xfId="19440" xr:uid="{D89A3DE1-1C5D-4A88-8E3C-13DE95A3D56C}"/>
    <cellStyle name="Comma 4 3 2 2 2 2 6" xfId="10141" xr:uid="{AE0237E1-0874-4841-A7CF-529F1546CF61}"/>
    <cellStyle name="Comma 4 3 2 2 2 3" xfId="1137" xr:uid="{00000000-0005-0000-0000-00001C090000}"/>
    <cellStyle name="Comma 4 3 2 2 2 3 2" xfId="3368" xr:uid="{00000000-0005-0000-0000-00001D090000}"/>
    <cellStyle name="Comma 4 3 2 2 2 3 2 2" xfId="7590" xr:uid="{00000000-0005-0000-0000-00001E090000}"/>
    <cellStyle name="Comma 4 3 2 2 2 3 2 2 2" xfId="26215" xr:uid="{F291AB07-0B6D-47F8-8B5D-4A83BE579B1D}"/>
    <cellStyle name="Comma 4 3 2 2 2 3 2 2 3" xfId="16916" xr:uid="{000DDBFA-84B3-4BB0-B550-39D6AC988A7A}"/>
    <cellStyle name="Comma 4 3 2 2 2 3 2 3" xfId="21998" xr:uid="{CE29845E-2FDF-4F42-8A74-CE7E63559257}"/>
    <cellStyle name="Comma 4 3 2 2 2 3 2 4" xfId="12699" xr:uid="{C6E3ADE9-8388-48DE-9DDE-77AA32C9DC94}"/>
    <cellStyle name="Comma 4 3 2 2 2 3 3" xfId="5445" xr:uid="{00000000-0005-0000-0000-00001F090000}"/>
    <cellStyle name="Comma 4 3 2 2 2 3 3 2" xfId="24070" xr:uid="{0187CC17-474C-43F0-9E84-C260332FB47F}"/>
    <cellStyle name="Comma 4 3 2 2 2 3 3 3" xfId="14771" xr:uid="{A0207F8D-E6EE-4EB8-9179-ECB0E00E0D93}"/>
    <cellStyle name="Comma 4 3 2 2 2 3 4" xfId="19853" xr:uid="{6221FBEB-2B0E-49C7-9259-B5885F90E74F}"/>
    <cellStyle name="Comma 4 3 2 2 2 3 5" xfId="10554" xr:uid="{1C6E45F5-A67D-48C4-BBA1-F31F580E631B}"/>
    <cellStyle name="Comma 4 3 2 2 2 4" xfId="1551" xr:uid="{00000000-0005-0000-0000-000020090000}"/>
    <cellStyle name="Comma 4 3 2 2 2 4 2" xfId="3781" xr:uid="{00000000-0005-0000-0000-000021090000}"/>
    <cellStyle name="Comma 4 3 2 2 2 4 2 2" xfId="8003" xr:uid="{00000000-0005-0000-0000-000022090000}"/>
    <cellStyle name="Comma 4 3 2 2 2 4 2 2 2" xfId="26628" xr:uid="{CE3A9B44-3D40-408C-81F4-86C68E2404B9}"/>
    <cellStyle name="Comma 4 3 2 2 2 4 2 2 3" xfId="17329" xr:uid="{DDDB3553-6465-47C3-A6E2-B4C7582E2622}"/>
    <cellStyle name="Comma 4 3 2 2 2 4 2 3" xfId="22411" xr:uid="{6308A5A3-72E4-42EE-9ECA-87DA2F2ED161}"/>
    <cellStyle name="Comma 4 3 2 2 2 4 2 4" xfId="13112" xr:uid="{EF3E4114-12E8-4484-B9B7-40D4C9D3FB69}"/>
    <cellStyle name="Comma 4 3 2 2 2 4 3" xfId="5858" xr:uid="{00000000-0005-0000-0000-000023090000}"/>
    <cellStyle name="Comma 4 3 2 2 2 4 3 2" xfId="24483" xr:uid="{1FD52184-CC67-4A9D-9A1F-04AD7452F1F1}"/>
    <cellStyle name="Comma 4 3 2 2 2 4 3 3" xfId="15184" xr:uid="{D0781E84-94BA-4028-AF00-DE80AF549BE8}"/>
    <cellStyle name="Comma 4 3 2 2 2 4 4" xfId="20266" xr:uid="{DFD4A992-230A-4B77-91F9-0250A75B9AD1}"/>
    <cellStyle name="Comma 4 3 2 2 2 4 5" xfId="10967" xr:uid="{41A6949C-76E7-464A-9A1F-DFCAB90B94F5}"/>
    <cellStyle name="Comma 4 3 2 2 2 5" xfId="1965" xr:uid="{00000000-0005-0000-0000-000024090000}"/>
    <cellStyle name="Comma 4 3 2 2 2 5 2" xfId="4194" xr:uid="{00000000-0005-0000-0000-000025090000}"/>
    <cellStyle name="Comma 4 3 2 2 2 5 2 2" xfId="8416" xr:uid="{00000000-0005-0000-0000-000026090000}"/>
    <cellStyle name="Comma 4 3 2 2 2 5 2 2 2" xfId="27041" xr:uid="{05EDDFD0-C3D7-4FDB-95CB-6A77CDE000AE}"/>
    <cellStyle name="Comma 4 3 2 2 2 5 2 2 3" xfId="17742" xr:uid="{F85481E0-D2D8-4F24-9926-020BDD811A4D}"/>
    <cellStyle name="Comma 4 3 2 2 2 5 2 3" xfId="22824" xr:uid="{CBAB1A08-F780-496A-9B80-BA161EC5F5B8}"/>
    <cellStyle name="Comma 4 3 2 2 2 5 2 4" xfId="13525" xr:uid="{6BD2B25C-DF24-4EC2-87ED-F486CE199E0F}"/>
    <cellStyle name="Comma 4 3 2 2 2 5 3" xfId="6271" xr:uid="{00000000-0005-0000-0000-000027090000}"/>
    <cellStyle name="Comma 4 3 2 2 2 5 3 2" xfId="24896" xr:uid="{8C92E706-0EB4-4074-A2E3-39215D5D5C6B}"/>
    <cellStyle name="Comma 4 3 2 2 2 5 3 3" xfId="15597" xr:uid="{4263B5C8-2F70-4F29-8EF6-406C437F159E}"/>
    <cellStyle name="Comma 4 3 2 2 2 5 4" xfId="20679" xr:uid="{63CE1D2B-F4E6-4E90-8CA6-0D1F94365F1D}"/>
    <cellStyle name="Comma 4 3 2 2 2 5 5" xfId="11380" xr:uid="{08EB4568-439F-4958-8E63-F0BDFBBC4D24}"/>
    <cellStyle name="Comma 4 3 2 2 2 6" xfId="2400" xr:uid="{00000000-0005-0000-0000-000028090000}"/>
    <cellStyle name="Comma 4 3 2 2 2 6 2" xfId="6684" xr:uid="{00000000-0005-0000-0000-000029090000}"/>
    <cellStyle name="Comma 4 3 2 2 2 6 2 2" xfId="25309" xr:uid="{10CC1973-7737-4D45-BA7B-B44ECDE7AC73}"/>
    <cellStyle name="Comma 4 3 2 2 2 6 2 3" xfId="16010" xr:uid="{C703C6AD-B50E-4618-A645-3E9C8E335E0D}"/>
    <cellStyle name="Comma 4 3 2 2 2 6 3" xfId="21092" xr:uid="{6ABDB582-8A54-4767-8EDD-FF8A6E8AC5BD}"/>
    <cellStyle name="Comma 4 3 2 2 2 6 4" xfId="11793" xr:uid="{02ED1ED4-1A7E-424A-B884-B6261551B6E1}"/>
    <cellStyle name="Comma 4 3 2 2 2 7" xfId="2363" xr:uid="{00000000-0005-0000-0000-00002A090000}"/>
    <cellStyle name="Comma 4 3 2 2 2 8" xfId="2778" xr:uid="{00000000-0005-0000-0000-00002B090000}"/>
    <cellStyle name="Comma 4 3 2 2 2 8 2" xfId="7001" xr:uid="{00000000-0005-0000-0000-00002C090000}"/>
    <cellStyle name="Comma 4 3 2 2 2 8 2 2" xfId="25626" xr:uid="{10DC894F-34E5-4224-8C70-6CEC43F1D3AC}"/>
    <cellStyle name="Comma 4 3 2 2 2 8 2 3" xfId="16327" xr:uid="{CBA7A029-83EA-4C3D-81C5-9E4D4421C4DD}"/>
    <cellStyle name="Comma 4 3 2 2 2 8 3" xfId="21409" xr:uid="{676BBFD9-F956-4BE1-96F7-0B9992104A27}"/>
    <cellStyle name="Comma 4 3 2 2 2 8 4" xfId="12110" xr:uid="{244895B6-411F-491D-941E-9319D0B93A94}"/>
    <cellStyle name="Comma 4 3 2 2 2 9" xfId="4618" xr:uid="{00000000-0005-0000-0000-00002D090000}"/>
    <cellStyle name="Comma 4 3 2 2 2 9 2" xfId="23243" xr:uid="{57FC0330-2E5C-46DC-8CD3-CDE6E697B0AD}"/>
    <cellStyle name="Comma 4 3 2 2 2 9 3" xfId="13944" xr:uid="{4EE07544-460B-423C-9A2F-294FD3C8A156}"/>
    <cellStyle name="Comma 4 3 2 2 3" xfId="683" xr:uid="{00000000-0005-0000-0000-00002E090000}"/>
    <cellStyle name="Comma 4 3 2 2 3 2" xfId="2954" xr:uid="{00000000-0005-0000-0000-00002F090000}"/>
    <cellStyle name="Comma 4 3 2 2 3 2 2" xfId="7176" xr:uid="{00000000-0005-0000-0000-000030090000}"/>
    <cellStyle name="Comma 4 3 2 2 3 2 2 2" xfId="25801" xr:uid="{29D28B2E-9AF8-4BC5-BB3D-6B810818B9E8}"/>
    <cellStyle name="Comma 4 3 2 2 3 2 2 3" xfId="16502" xr:uid="{091EBEA0-3179-45AE-B06A-E8BACAB0C9BB}"/>
    <cellStyle name="Comma 4 3 2 2 3 2 3" xfId="21584" xr:uid="{68BA8FBF-6F90-424A-9E04-5AC3674CEA68}"/>
    <cellStyle name="Comma 4 3 2 2 3 2 4" xfId="12285" xr:uid="{47480DF9-0A12-4A5E-893F-A9712788D890}"/>
    <cellStyle name="Comma 4 3 2 2 3 3" xfId="5031" xr:uid="{00000000-0005-0000-0000-000031090000}"/>
    <cellStyle name="Comma 4 3 2 2 3 3 2" xfId="23656" xr:uid="{34B805AA-D429-4F57-BCDE-BCF785D68730}"/>
    <cellStyle name="Comma 4 3 2 2 3 3 3" xfId="14357" xr:uid="{71C37B1B-4BED-40B4-B310-E3F68F759E18}"/>
    <cellStyle name="Comma 4 3 2 2 3 4" xfId="9335" xr:uid="{BACD532B-C811-4076-B107-03E74D1B7113}"/>
    <cellStyle name="Comma 4 3 2 2 3 4 2" xfId="27949" xr:uid="{62C80D9A-B0FF-4681-95B9-E39835F0AFA3}"/>
    <cellStyle name="Comma 4 3 2 2 3 4 3" xfId="18650" xr:uid="{9823DF08-DD34-46CB-907D-7EC895F8E6D7}"/>
    <cellStyle name="Comma 4 3 2 2 3 5" xfId="19439" xr:uid="{7017D3C9-8B52-4210-A955-CCB7DFBB4760}"/>
    <cellStyle name="Comma 4 3 2 2 3 6" xfId="10140" xr:uid="{285092D3-D789-4B07-A0C2-5EF4DC5848E9}"/>
    <cellStyle name="Comma 4 3 2 2 4" xfId="1136" xr:uid="{00000000-0005-0000-0000-000032090000}"/>
    <cellStyle name="Comma 4 3 2 2 4 2" xfId="3367" xr:uid="{00000000-0005-0000-0000-000033090000}"/>
    <cellStyle name="Comma 4 3 2 2 4 2 2" xfId="7589" xr:uid="{00000000-0005-0000-0000-000034090000}"/>
    <cellStyle name="Comma 4 3 2 2 4 2 2 2" xfId="26214" xr:uid="{17F0A194-11E8-4592-BB59-FCD0F90B9086}"/>
    <cellStyle name="Comma 4 3 2 2 4 2 2 3" xfId="16915" xr:uid="{F05B5B3C-8E7B-428A-B900-9C885835E6B8}"/>
    <cellStyle name="Comma 4 3 2 2 4 2 3" xfId="21997" xr:uid="{9EE9BC6D-3117-40CD-BE25-78B0103AB604}"/>
    <cellStyle name="Comma 4 3 2 2 4 2 4" xfId="12698" xr:uid="{B38DB9F3-FA06-4149-A842-68F3B32AAE4C}"/>
    <cellStyle name="Comma 4 3 2 2 4 3" xfId="5444" xr:uid="{00000000-0005-0000-0000-000035090000}"/>
    <cellStyle name="Comma 4 3 2 2 4 3 2" xfId="24069" xr:uid="{2E8E8FEF-EE82-4762-9A81-6212393C3A37}"/>
    <cellStyle name="Comma 4 3 2 2 4 3 3" xfId="14770" xr:uid="{05C510C0-27A7-4B94-A0D1-118AE83DB9D2}"/>
    <cellStyle name="Comma 4 3 2 2 4 4" xfId="19852" xr:uid="{21CFCF94-9501-4AD3-9C2C-0CFA81BBE393}"/>
    <cellStyle name="Comma 4 3 2 2 4 5" xfId="10553" xr:uid="{9809523B-2437-4A9C-835C-320DE287A72A}"/>
    <cellStyle name="Comma 4 3 2 2 5" xfId="1550" xr:uid="{00000000-0005-0000-0000-000036090000}"/>
    <cellStyle name="Comma 4 3 2 2 5 2" xfId="3780" xr:uid="{00000000-0005-0000-0000-000037090000}"/>
    <cellStyle name="Comma 4 3 2 2 5 2 2" xfId="8002" xr:uid="{00000000-0005-0000-0000-000038090000}"/>
    <cellStyle name="Comma 4 3 2 2 5 2 2 2" xfId="26627" xr:uid="{C4F94D0F-4FA2-418B-ADBB-9EA6FD5E6842}"/>
    <cellStyle name="Comma 4 3 2 2 5 2 2 3" xfId="17328" xr:uid="{A8F0C9BA-078A-4A4E-88E4-7AB8014E3A75}"/>
    <cellStyle name="Comma 4 3 2 2 5 2 3" xfId="22410" xr:uid="{9A63E9A9-2E23-4A3B-B1B6-26E063DFBDAA}"/>
    <cellStyle name="Comma 4 3 2 2 5 2 4" xfId="13111" xr:uid="{C1576F12-4BC0-4B0E-9210-5C3D82E011B0}"/>
    <cellStyle name="Comma 4 3 2 2 5 3" xfId="5857" xr:uid="{00000000-0005-0000-0000-000039090000}"/>
    <cellStyle name="Comma 4 3 2 2 5 3 2" xfId="24482" xr:uid="{19D31AC7-7E94-4D90-8794-0E77689CDC27}"/>
    <cellStyle name="Comma 4 3 2 2 5 3 3" xfId="15183" xr:uid="{A12D2B6C-27E0-45DF-BE9D-37335004BE0F}"/>
    <cellStyle name="Comma 4 3 2 2 5 4" xfId="20265" xr:uid="{8396424F-B147-4D97-9BD3-C799C733D60C}"/>
    <cellStyle name="Comma 4 3 2 2 5 5" xfId="10966" xr:uid="{DCF645FF-6300-4D96-8A4F-72D7ACF048C4}"/>
    <cellStyle name="Comma 4 3 2 2 6" xfId="1964" xr:uid="{00000000-0005-0000-0000-00003A090000}"/>
    <cellStyle name="Comma 4 3 2 2 6 2" xfId="4193" xr:uid="{00000000-0005-0000-0000-00003B090000}"/>
    <cellStyle name="Comma 4 3 2 2 6 2 2" xfId="8415" xr:uid="{00000000-0005-0000-0000-00003C090000}"/>
    <cellStyle name="Comma 4 3 2 2 6 2 2 2" xfId="27040" xr:uid="{076B10DD-03C9-4FD3-BFAE-A666BD746ADD}"/>
    <cellStyle name="Comma 4 3 2 2 6 2 2 3" xfId="17741" xr:uid="{04DA0BB7-2B6E-43FA-92FA-035AD2F4F7F2}"/>
    <cellStyle name="Comma 4 3 2 2 6 2 3" xfId="22823" xr:uid="{29E17973-97EA-46F0-95D4-F2425031F7E3}"/>
    <cellStyle name="Comma 4 3 2 2 6 2 4" xfId="13524" xr:uid="{B71563C6-1790-4DA8-95C5-9164DD7D86E8}"/>
    <cellStyle name="Comma 4 3 2 2 6 3" xfId="6270" xr:uid="{00000000-0005-0000-0000-00003D090000}"/>
    <cellStyle name="Comma 4 3 2 2 6 3 2" xfId="24895" xr:uid="{38BCEB0E-F454-4BF1-B889-B6D5E7C42229}"/>
    <cellStyle name="Comma 4 3 2 2 6 3 3" xfId="15596" xr:uid="{12E6BFA1-5E12-42BD-97B2-DD881AF9418A}"/>
    <cellStyle name="Comma 4 3 2 2 6 4" xfId="20678" xr:uid="{495DB575-B33E-4585-9798-3CE72FEFB6EC}"/>
    <cellStyle name="Comma 4 3 2 2 6 5" xfId="11379" xr:uid="{17C740FA-BD0F-4A79-A031-86C897952B01}"/>
    <cellStyle name="Comma 4 3 2 2 7" xfId="2399" xr:uid="{00000000-0005-0000-0000-00003E090000}"/>
    <cellStyle name="Comma 4 3 2 2 7 2" xfId="6683" xr:uid="{00000000-0005-0000-0000-00003F090000}"/>
    <cellStyle name="Comma 4 3 2 2 7 2 2" xfId="25308" xr:uid="{5DC7641E-082A-4B3A-BBEA-AAA26750BB89}"/>
    <cellStyle name="Comma 4 3 2 2 7 2 3" xfId="16009" xr:uid="{2FE35051-169D-40A0-BF6A-3F605356026F}"/>
    <cellStyle name="Comma 4 3 2 2 7 3" xfId="21091" xr:uid="{92AFEECB-2C0B-449D-9F5F-D18341934480}"/>
    <cellStyle name="Comma 4 3 2 2 7 4" xfId="11792" xr:uid="{AC75584B-7BB2-4EBE-9D33-B04ED4AFEABF}"/>
    <cellStyle name="Comma 4 3 2 2 8" xfId="2364" xr:uid="{00000000-0005-0000-0000-000040090000}"/>
    <cellStyle name="Comma 4 3 2 2 9" xfId="2777" xr:uid="{00000000-0005-0000-0000-000041090000}"/>
    <cellStyle name="Comma 4 3 2 2 9 2" xfId="7000" xr:uid="{00000000-0005-0000-0000-000042090000}"/>
    <cellStyle name="Comma 4 3 2 2 9 2 2" xfId="25625" xr:uid="{1D4D393F-62BD-44C9-B369-F636A801CFBA}"/>
    <cellStyle name="Comma 4 3 2 2 9 2 3" xfId="16326" xr:uid="{8F7B78FF-39D8-4A82-B999-8D69A22692B5}"/>
    <cellStyle name="Comma 4 3 2 2 9 3" xfId="21408" xr:uid="{CE5FD015-9696-4558-AF90-95204A0EACB1}"/>
    <cellStyle name="Comma 4 3 2 2 9 4" xfId="12109" xr:uid="{3A59B3F6-E5FC-4D49-AC6D-34D7DF1E7444}"/>
    <cellStyle name="Comma 4 3 2 3" xfId="148" xr:uid="{00000000-0005-0000-0000-000043090000}"/>
    <cellStyle name="Comma 4 3 2 3 10" xfId="9014" xr:uid="{46568903-2C47-4BC3-8E78-5A47F62B319C}"/>
    <cellStyle name="Comma 4 3 2 3 10 2" xfId="27637" xr:uid="{1069147D-67BB-45FA-828D-DEA8134C5F63}"/>
    <cellStyle name="Comma 4 3 2 3 10 3" xfId="18338" xr:uid="{F8447A9E-18F4-4D2F-A56E-E0A47EFF46B7}"/>
    <cellStyle name="Comma 4 3 2 3 11" xfId="19027" xr:uid="{10C284A1-2955-4C35-8340-E0E10628F299}"/>
    <cellStyle name="Comma 4 3 2 3 12" xfId="9728" xr:uid="{A98A96F2-97E9-4BCB-839A-F518CD38CC5B}"/>
    <cellStyle name="Comma 4 3 2 3 2" xfId="685" xr:uid="{00000000-0005-0000-0000-000044090000}"/>
    <cellStyle name="Comma 4 3 2 3 2 2" xfId="2956" xr:uid="{00000000-0005-0000-0000-000045090000}"/>
    <cellStyle name="Comma 4 3 2 3 2 2 2" xfId="7178" xr:uid="{00000000-0005-0000-0000-000046090000}"/>
    <cellStyle name="Comma 4 3 2 3 2 2 2 2" xfId="25803" xr:uid="{BC2E59A4-33A6-4EC2-9F4F-791E5A1AC3C2}"/>
    <cellStyle name="Comma 4 3 2 3 2 2 2 3" xfId="16504" xr:uid="{AAC575AC-A3DC-46AD-BC4F-62B6E667EA0B}"/>
    <cellStyle name="Comma 4 3 2 3 2 2 3" xfId="21586" xr:uid="{32595BB6-B82B-419B-90E3-6609CAAE8E80}"/>
    <cellStyle name="Comma 4 3 2 3 2 2 4" xfId="12287" xr:uid="{143572DD-8366-4DB6-8C5E-847FDF591EF1}"/>
    <cellStyle name="Comma 4 3 2 3 2 3" xfId="5033" xr:uid="{00000000-0005-0000-0000-000047090000}"/>
    <cellStyle name="Comma 4 3 2 3 2 3 2" xfId="23658" xr:uid="{A0C347A2-8004-4B61-945F-5FA564565A71}"/>
    <cellStyle name="Comma 4 3 2 3 2 3 3" xfId="14359" xr:uid="{63556C57-4E38-446A-B07E-32E06206B236}"/>
    <cellStyle name="Comma 4 3 2 3 2 4" xfId="9439" xr:uid="{2FD116B5-6902-4630-AFC5-CC8B06C5F457}"/>
    <cellStyle name="Comma 4 3 2 3 2 4 2" xfId="28053" xr:uid="{ECB4FADC-52EB-4A7D-BA86-7041FEC021B9}"/>
    <cellStyle name="Comma 4 3 2 3 2 4 3" xfId="18754" xr:uid="{66C6440A-8DB3-49A9-8697-8B90F85DB552}"/>
    <cellStyle name="Comma 4 3 2 3 2 5" xfId="19441" xr:uid="{E7639E88-DF9C-4C9B-A704-C2639CA33FA2}"/>
    <cellStyle name="Comma 4 3 2 3 2 6" xfId="10142" xr:uid="{F15FA9D6-4A93-4105-9C41-4FDA5DBBA69B}"/>
    <cellStyle name="Comma 4 3 2 3 3" xfId="1138" xr:uid="{00000000-0005-0000-0000-000048090000}"/>
    <cellStyle name="Comma 4 3 2 3 3 2" xfId="3369" xr:uid="{00000000-0005-0000-0000-000049090000}"/>
    <cellStyle name="Comma 4 3 2 3 3 2 2" xfId="7591" xr:uid="{00000000-0005-0000-0000-00004A090000}"/>
    <cellStyle name="Comma 4 3 2 3 3 2 2 2" xfId="26216" xr:uid="{1C88E50D-CEBD-4B83-AB3E-90E848E3DF1E}"/>
    <cellStyle name="Comma 4 3 2 3 3 2 2 3" xfId="16917" xr:uid="{7BC55697-6776-4A36-A5AF-17E1FA31B217}"/>
    <cellStyle name="Comma 4 3 2 3 3 2 3" xfId="21999" xr:uid="{15AE9770-A023-4711-85BA-42496442AEBE}"/>
    <cellStyle name="Comma 4 3 2 3 3 2 4" xfId="12700" xr:uid="{D217C52D-67F1-4C02-96DB-67DFE99C271E}"/>
    <cellStyle name="Comma 4 3 2 3 3 3" xfId="5446" xr:uid="{00000000-0005-0000-0000-00004B090000}"/>
    <cellStyle name="Comma 4 3 2 3 3 3 2" xfId="24071" xr:uid="{DE3ACDC3-4FD9-470A-93D6-51B6E682189D}"/>
    <cellStyle name="Comma 4 3 2 3 3 3 3" xfId="14772" xr:uid="{E933ED5F-2A17-4A65-97F9-46789B87C88F}"/>
    <cellStyle name="Comma 4 3 2 3 3 4" xfId="19854" xr:uid="{7BB1ED47-8EF5-4DA1-8D59-AEBC180D9E14}"/>
    <cellStyle name="Comma 4 3 2 3 3 5" xfId="10555" xr:uid="{CEE7F6EE-17EC-49F8-A44F-D8363692E5DB}"/>
    <cellStyle name="Comma 4 3 2 3 4" xfId="1552" xr:uid="{00000000-0005-0000-0000-00004C090000}"/>
    <cellStyle name="Comma 4 3 2 3 4 2" xfId="3782" xr:uid="{00000000-0005-0000-0000-00004D090000}"/>
    <cellStyle name="Comma 4 3 2 3 4 2 2" xfId="8004" xr:uid="{00000000-0005-0000-0000-00004E090000}"/>
    <cellStyle name="Comma 4 3 2 3 4 2 2 2" xfId="26629" xr:uid="{2D55BEB6-A8E7-4548-9806-A0FDAEA2C4DD}"/>
    <cellStyle name="Comma 4 3 2 3 4 2 2 3" xfId="17330" xr:uid="{1151128D-75EC-475A-8DEE-C7E23251A19C}"/>
    <cellStyle name="Comma 4 3 2 3 4 2 3" xfId="22412" xr:uid="{81F74B3C-E4DF-4564-98B3-FF1D8A3231E4}"/>
    <cellStyle name="Comma 4 3 2 3 4 2 4" xfId="13113" xr:uid="{8F68FCAD-86DF-4805-8098-AA8A36EF3625}"/>
    <cellStyle name="Comma 4 3 2 3 4 3" xfId="5859" xr:uid="{00000000-0005-0000-0000-00004F090000}"/>
    <cellStyle name="Comma 4 3 2 3 4 3 2" xfId="24484" xr:uid="{7C9D81A8-16EE-4A6F-B4EC-E910E44B06ED}"/>
    <cellStyle name="Comma 4 3 2 3 4 3 3" xfId="15185" xr:uid="{A9E66AA6-6409-4F13-8FE2-21B3AA542F34}"/>
    <cellStyle name="Comma 4 3 2 3 4 4" xfId="20267" xr:uid="{485D988E-9796-4434-83E9-BC32308A7F35}"/>
    <cellStyle name="Comma 4 3 2 3 4 5" xfId="10968" xr:uid="{C5180624-43EF-48B9-A9CE-20197D7C920E}"/>
    <cellStyle name="Comma 4 3 2 3 5" xfId="1966" xr:uid="{00000000-0005-0000-0000-000050090000}"/>
    <cellStyle name="Comma 4 3 2 3 5 2" xfId="4195" xr:uid="{00000000-0005-0000-0000-000051090000}"/>
    <cellStyle name="Comma 4 3 2 3 5 2 2" xfId="8417" xr:uid="{00000000-0005-0000-0000-000052090000}"/>
    <cellStyle name="Comma 4 3 2 3 5 2 2 2" xfId="27042" xr:uid="{567E8CD4-7E1E-4077-BD38-761F9754B9AB}"/>
    <cellStyle name="Comma 4 3 2 3 5 2 2 3" xfId="17743" xr:uid="{07F666E5-AC80-47DA-B9E9-6797041E38B9}"/>
    <cellStyle name="Comma 4 3 2 3 5 2 3" xfId="22825" xr:uid="{1899A922-C0BD-47CB-91B1-486021A3B057}"/>
    <cellStyle name="Comma 4 3 2 3 5 2 4" xfId="13526" xr:uid="{712D1D20-2193-4CA8-AF67-2B73A43D18C7}"/>
    <cellStyle name="Comma 4 3 2 3 5 3" xfId="6272" xr:uid="{00000000-0005-0000-0000-000053090000}"/>
    <cellStyle name="Comma 4 3 2 3 5 3 2" xfId="24897" xr:uid="{85335618-5450-465C-8424-4277D083E458}"/>
    <cellStyle name="Comma 4 3 2 3 5 3 3" xfId="15598" xr:uid="{591D5236-6A38-411D-BED7-2D0B32DA757C}"/>
    <cellStyle name="Comma 4 3 2 3 5 4" xfId="20680" xr:uid="{9DFB77A4-E257-4A46-9893-7D9B80D4C6BE}"/>
    <cellStyle name="Comma 4 3 2 3 5 5" xfId="11381" xr:uid="{FD485AD4-EF19-4DF9-BEFC-53A055B2FBE3}"/>
    <cellStyle name="Comma 4 3 2 3 6" xfId="2401" xr:uid="{00000000-0005-0000-0000-000054090000}"/>
    <cellStyle name="Comma 4 3 2 3 6 2" xfId="6685" xr:uid="{00000000-0005-0000-0000-000055090000}"/>
    <cellStyle name="Comma 4 3 2 3 6 2 2" xfId="25310" xr:uid="{2937CA0C-A3C1-4498-B39E-ABC4500C5529}"/>
    <cellStyle name="Comma 4 3 2 3 6 2 3" xfId="16011" xr:uid="{578D9ECE-2E94-4331-B80B-7483908112BA}"/>
    <cellStyle name="Comma 4 3 2 3 6 3" xfId="21093" xr:uid="{F79372E5-5AA9-4637-BBCB-1A3D146C8BFA}"/>
    <cellStyle name="Comma 4 3 2 3 6 4" xfId="11794" xr:uid="{A54D31B7-1282-4524-8F20-3E341FC61776}"/>
    <cellStyle name="Comma 4 3 2 3 7" xfId="2362" xr:uid="{00000000-0005-0000-0000-000056090000}"/>
    <cellStyle name="Comma 4 3 2 3 8" xfId="2779" xr:uid="{00000000-0005-0000-0000-000057090000}"/>
    <cellStyle name="Comma 4 3 2 3 8 2" xfId="7002" xr:uid="{00000000-0005-0000-0000-000058090000}"/>
    <cellStyle name="Comma 4 3 2 3 8 2 2" xfId="25627" xr:uid="{B1E76C9E-44F4-4594-800D-5A7D835FC912}"/>
    <cellStyle name="Comma 4 3 2 3 8 2 3" xfId="16328" xr:uid="{57806544-302D-4017-8B3A-00DCDDE2CF97}"/>
    <cellStyle name="Comma 4 3 2 3 8 3" xfId="21410" xr:uid="{4427432B-2312-44C3-8077-27F232249825}"/>
    <cellStyle name="Comma 4 3 2 3 8 4" xfId="12111" xr:uid="{09B89671-B155-4426-9FE9-87B65EDDDEDB}"/>
    <cellStyle name="Comma 4 3 2 3 9" xfId="4619" xr:uid="{00000000-0005-0000-0000-000059090000}"/>
    <cellStyle name="Comma 4 3 2 3 9 2" xfId="23244" xr:uid="{FB89B9F3-8DB7-4CA7-AC68-A7448DA120DA}"/>
    <cellStyle name="Comma 4 3 2 3 9 3" xfId="13945" xr:uid="{EF037BE0-48AE-4C3F-855A-C2B275A17885}"/>
    <cellStyle name="Comma 4 3 2 4" xfId="682" xr:uid="{00000000-0005-0000-0000-00005A090000}"/>
    <cellStyle name="Comma 4 3 2 4 2" xfId="2953" xr:uid="{00000000-0005-0000-0000-00005B090000}"/>
    <cellStyle name="Comma 4 3 2 4 2 2" xfId="7175" xr:uid="{00000000-0005-0000-0000-00005C090000}"/>
    <cellStyle name="Comma 4 3 2 4 2 2 2" xfId="25800" xr:uid="{C0E718F4-E3B7-48B6-B095-8934D915A2EC}"/>
    <cellStyle name="Comma 4 3 2 4 2 2 3" xfId="16501" xr:uid="{4A292137-DC36-4D79-8178-FBE16EEFEBBF}"/>
    <cellStyle name="Comma 4 3 2 4 2 3" xfId="21583" xr:uid="{7DE1A58A-0974-40DB-94FF-B8A01B6579A5}"/>
    <cellStyle name="Comma 4 3 2 4 2 4" xfId="12284" xr:uid="{16062F7C-CC9D-4706-A2FE-0C1EFECA7770}"/>
    <cellStyle name="Comma 4 3 2 4 3" xfId="5030" xr:uid="{00000000-0005-0000-0000-00005D090000}"/>
    <cellStyle name="Comma 4 3 2 4 3 2" xfId="23655" xr:uid="{F8266F4F-3B07-418A-9D8F-3C51228D729C}"/>
    <cellStyle name="Comma 4 3 2 4 3 3" xfId="14356" xr:uid="{1F318FB6-F16D-4346-B0CC-81FC65B01556}"/>
    <cellStyle name="Comma 4 3 2 4 4" xfId="9232" xr:uid="{8193451B-D8F0-40BD-91ED-34E7041117F6}"/>
    <cellStyle name="Comma 4 3 2 4 4 2" xfId="27846" xr:uid="{27EB4E25-831F-4BD8-B297-0C928A91C6F7}"/>
    <cellStyle name="Comma 4 3 2 4 4 3" xfId="18547" xr:uid="{716D08D1-411D-48F2-8BFA-542233BA7F56}"/>
    <cellStyle name="Comma 4 3 2 4 5" xfId="19438" xr:uid="{883184AB-17EF-4AC9-8F82-80BD83B47CCC}"/>
    <cellStyle name="Comma 4 3 2 4 6" xfId="10139" xr:uid="{E65F0CC7-C392-4064-B81A-34309296803A}"/>
    <cellStyle name="Comma 4 3 2 5" xfId="1135" xr:uid="{00000000-0005-0000-0000-00005E090000}"/>
    <cellStyle name="Comma 4 3 2 5 2" xfId="3366" xr:uid="{00000000-0005-0000-0000-00005F090000}"/>
    <cellStyle name="Comma 4 3 2 5 2 2" xfId="7588" xr:uid="{00000000-0005-0000-0000-000060090000}"/>
    <cellStyle name="Comma 4 3 2 5 2 2 2" xfId="26213" xr:uid="{15E19D4F-D3AD-4938-BC8E-DCEDE2486361}"/>
    <cellStyle name="Comma 4 3 2 5 2 2 3" xfId="16914" xr:uid="{6D09D092-8E54-4362-88C0-576D8CE0C1DC}"/>
    <cellStyle name="Comma 4 3 2 5 2 3" xfId="21996" xr:uid="{806B2A97-E066-4680-B953-CFDBEF21C6D5}"/>
    <cellStyle name="Comma 4 3 2 5 2 4" xfId="12697" xr:uid="{ED737820-79F8-4C73-B5DF-BDFB709C2368}"/>
    <cellStyle name="Comma 4 3 2 5 3" xfId="5443" xr:uid="{00000000-0005-0000-0000-000061090000}"/>
    <cellStyle name="Comma 4 3 2 5 3 2" xfId="24068" xr:uid="{8561723E-99D6-4D68-BA0F-D1AD74270039}"/>
    <cellStyle name="Comma 4 3 2 5 3 3" xfId="14769" xr:uid="{CBA32F4B-4811-4AF3-8DE6-49DB79243741}"/>
    <cellStyle name="Comma 4 3 2 5 4" xfId="19851" xr:uid="{B5194E69-8DF3-4102-94C3-EC11C60BD32A}"/>
    <cellStyle name="Comma 4 3 2 5 5" xfId="10552" xr:uid="{1F2EDDB9-BA5D-4B83-A211-121457787846}"/>
    <cellStyle name="Comma 4 3 2 6" xfId="1549" xr:uid="{00000000-0005-0000-0000-000062090000}"/>
    <cellStyle name="Comma 4 3 2 6 2" xfId="3779" xr:uid="{00000000-0005-0000-0000-000063090000}"/>
    <cellStyle name="Comma 4 3 2 6 2 2" xfId="8001" xr:uid="{00000000-0005-0000-0000-000064090000}"/>
    <cellStyle name="Comma 4 3 2 6 2 2 2" xfId="26626" xr:uid="{D1EDE204-419E-4537-B418-AF17FF855482}"/>
    <cellStyle name="Comma 4 3 2 6 2 2 3" xfId="17327" xr:uid="{78278210-FAD9-469A-B9B0-2818B3870D2A}"/>
    <cellStyle name="Comma 4 3 2 6 2 3" xfId="22409" xr:uid="{BD5CA244-DB98-4BAD-9214-ED37FC944EF9}"/>
    <cellStyle name="Comma 4 3 2 6 2 4" xfId="13110" xr:uid="{FBBFD75E-BC4F-4D5D-923C-9C2D8A041A76}"/>
    <cellStyle name="Comma 4 3 2 6 3" xfId="5856" xr:uid="{00000000-0005-0000-0000-000065090000}"/>
    <cellStyle name="Comma 4 3 2 6 3 2" xfId="24481" xr:uid="{6309B41D-85A8-4F28-B54E-7C9B3D8A7B08}"/>
    <cellStyle name="Comma 4 3 2 6 3 3" xfId="15182" xr:uid="{8EE347A2-602F-411F-AA4C-6C96486CC754}"/>
    <cellStyle name="Comma 4 3 2 6 4" xfId="20264" xr:uid="{6950498C-FCF2-4924-8FBE-7363DDCBABEB}"/>
    <cellStyle name="Comma 4 3 2 6 5" xfId="10965" xr:uid="{E69CA7B7-7E89-4208-9F8C-232F7E6CB613}"/>
    <cellStyle name="Comma 4 3 2 7" xfId="1963" xr:uid="{00000000-0005-0000-0000-000066090000}"/>
    <cellStyle name="Comma 4 3 2 7 2" xfId="4192" xr:uid="{00000000-0005-0000-0000-000067090000}"/>
    <cellStyle name="Comma 4 3 2 7 2 2" xfId="8414" xr:uid="{00000000-0005-0000-0000-000068090000}"/>
    <cellStyle name="Comma 4 3 2 7 2 2 2" xfId="27039" xr:uid="{B0035861-8999-4EEF-861A-E57D6811C115}"/>
    <cellStyle name="Comma 4 3 2 7 2 2 3" xfId="17740" xr:uid="{818E5F8E-578F-4614-B022-716FB0DA50C0}"/>
    <cellStyle name="Comma 4 3 2 7 2 3" xfId="22822" xr:uid="{BBA64A8F-259E-4E4A-85C2-575E4A548D0C}"/>
    <cellStyle name="Comma 4 3 2 7 2 4" xfId="13523" xr:uid="{C5FE20E0-A049-4DAD-9718-4CE1D470F3CB}"/>
    <cellStyle name="Comma 4 3 2 7 3" xfId="6269" xr:uid="{00000000-0005-0000-0000-000069090000}"/>
    <cellStyle name="Comma 4 3 2 7 3 2" xfId="24894" xr:uid="{98C9F94F-7815-414D-A645-F041DC22E55F}"/>
    <cellStyle name="Comma 4 3 2 7 3 3" xfId="15595" xr:uid="{18B542BE-B8ED-4DDD-A7E3-B46B33FBFF8D}"/>
    <cellStyle name="Comma 4 3 2 7 4" xfId="20677" xr:uid="{A3967295-020D-4B2E-9917-DA56BA8E44C5}"/>
    <cellStyle name="Comma 4 3 2 7 5" xfId="11378" xr:uid="{4DE4A3B4-8741-4514-8A3C-F6E239226A25}"/>
    <cellStyle name="Comma 4 3 2 8" xfId="2398" xr:uid="{00000000-0005-0000-0000-00006A090000}"/>
    <cellStyle name="Comma 4 3 2 8 2" xfId="6682" xr:uid="{00000000-0005-0000-0000-00006B090000}"/>
    <cellStyle name="Comma 4 3 2 8 2 2" xfId="25307" xr:uid="{6DDB303D-241D-41BC-90CA-D4A4DEAD579A}"/>
    <cellStyle name="Comma 4 3 2 8 2 3" xfId="16008" xr:uid="{8024DFC0-8F63-4446-8C29-E751D2C9457F}"/>
    <cellStyle name="Comma 4 3 2 8 3" xfId="21090" xr:uid="{5883A5AA-C8C6-4AA4-8640-50CE6AF213A2}"/>
    <cellStyle name="Comma 4 3 2 8 4" xfId="11791" xr:uid="{50F6B377-2E66-474D-A6A9-6252E74924D6}"/>
    <cellStyle name="Comma 4 3 2 9" xfId="2365" xr:uid="{00000000-0005-0000-0000-00006C090000}"/>
    <cellStyle name="Comma 4 3 3" xfId="149" xr:uid="{00000000-0005-0000-0000-00006D090000}"/>
    <cellStyle name="Comma 4 3 3 10" xfId="4620" xr:uid="{00000000-0005-0000-0000-00006E090000}"/>
    <cellStyle name="Comma 4 3 3 10 2" xfId="23245" xr:uid="{1856A2E2-C018-4BCC-A891-86F0DDBE9A9A}"/>
    <cellStyle name="Comma 4 3 3 10 3" xfId="13946" xr:uid="{A7D836E8-957C-42E4-98C1-27F491CCE571}"/>
    <cellStyle name="Comma 4 3 3 11" xfId="8881" xr:uid="{ACA3BC7C-CED7-49C2-9DC3-E2A3989962E9}"/>
    <cellStyle name="Comma 4 3 3 11 2" xfId="27504" xr:uid="{1D38EFEE-E4B6-43D7-915B-984FBD3AE2AB}"/>
    <cellStyle name="Comma 4 3 3 11 3" xfId="18205" xr:uid="{EF2476E4-0A85-474B-9A3F-DC1FAF6E9148}"/>
    <cellStyle name="Comma 4 3 3 12" xfId="19028" xr:uid="{8E4E0B90-A303-4DCB-82AA-77EC3EA687F6}"/>
    <cellStyle name="Comma 4 3 3 13" xfId="9729" xr:uid="{7C9FBA82-63B4-4F35-86EF-B4738149E615}"/>
    <cellStyle name="Comma 4 3 3 2" xfId="150" xr:uid="{00000000-0005-0000-0000-00006F090000}"/>
    <cellStyle name="Comma 4 3 3 2 10" xfId="9088" xr:uid="{D40CFC42-DEA3-4A4C-8532-2B6CFC29229D}"/>
    <cellStyle name="Comma 4 3 3 2 10 2" xfId="27711" xr:uid="{0E5300F6-078E-43D7-B20F-6D3D9FAE888A}"/>
    <cellStyle name="Comma 4 3 3 2 10 3" xfId="18412" xr:uid="{5FCFD94F-1F86-476D-BCE8-FBC873150820}"/>
    <cellStyle name="Comma 4 3 3 2 11" xfId="19029" xr:uid="{4AD4C5A1-4F14-4132-972F-4EC8CBB2FE0A}"/>
    <cellStyle name="Comma 4 3 3 2 12" xfId="9730" xr:uid="{66F642A0-1E7E-4AE5-85C0-8316DA5A221F}"/>
    <cellStyle name="Comma 4 3 3 2 2" xfId="687" xr:uid="{00000000-0005-0000-0000-000070090000}"/>
    <cellStyle name="Comma 4 3 3 2 2 2" xfId="2958" xr:uid="{00000000-0005-0000-0000-000071090000}"/>
    <cellStyle name="Comma 4 3 3 2 2 2 2" xfId="7180" xr:uid="{00000000-0005-0000-0000-000072090000}"/>
    <cellStyle name="Comma 4 3 3 2 2 2 2 2" xfId="25805" xr:uid="{8607BD71-0EA5-47B3-91B4-32BDA4DDCB95}"/>
    <cellStyle name="Comma 4 3 3 2 2 2 2 3" xfId="16506" xr:uid="{C1D9563E-B19F-48C0-8D09-E234EF7E737F}"/>
    <cellStyle name="Comma 4 3 3 2 2 2 3" xfId="21588" xr:uid="{32639503-AB3F-416B-91A2-2F3F98C83A90}"/>
    <cellStyle name="Comma 4 3 3 2 2 2 4" xfId="12289" xr:uid="{D37463E4-BBEA-4285-8863-E1318361BE59}"/>
    <cellStyle name="Comma 4 3 3 2 2 3" xfId="5035" xr:uid="{00000000-0005-0000-0000-000073090000}"/>
    <cellStyle name="Comma 4 3 3 2 2 3 2" xfId="23660" xr:uid="{1557DE0A-B5F2-4D5A-9D1C-2FF582A29663}"/>
    <cellStyle name="Comma 4 3 3 2 2 3 3" xfId="14361" xr:uid="{8ECCFFDF-B0DE-4B49-823A-1E0915F959A9}"/>
    <cellStyle name="Comma 4 3 3 2 2 4" xfId="9513" xr:uid="{986E0DAD-8ABC-4DAC-9C56-EF87B6B3B829}"/>
    <cellStyle name="Comma 4 3 3 2 2 4 2" xfId="28127" xr:uid="{B35C4601-0724-472F-AB1E-CB007E4FEDD9}"/>
    <cellStyle name="Comma 4 3 3 2 2 4 3" xfId="18828" xr:uid="{3C7A0A54-64A1-4EC5-BA03-8223A7DD541A}"/>
    <cellStyle name="Comma 4 3 3 2 2 5" xfId="19443" xr:uid="{BAE7BE61-EB96-470F-8AC7-61F247883A7C}"/>
    <cellStyle name="Comma 4 3 3 2 2 6" xfId="10144" xr:uid="{9AD0E0CB-3165-411E-9FF0-6F80181DEFA0}"/>
    <cellStyle name="Comma 4 3 3 2 3" xfId="1140" xr:uid="{00000000-0005-0000-0000-000074090000}"/>
    <cellStyle name="Comma 4 3 3 2 3 2" xfId="3371" xr:uid="{00000000-0005-0000-0000-000075090000}"/>
    <cellStyle name="Comma 4 3 3 2 3 2 2" xfId="7593" xr:uid="{00000000-0005-0000-0000-000076090000}"/>
    <cellStyle name="Comma 4 3 3 2 3 2 2 2" xfId="26218" xr:uid="{6F60BF72-342A-4F21-8CD9-D52E36419E0D}"/>
    <cellStyle name="Comma 4 3 3 2 3 2 2 3" xfId="16919" xr:uid="{4CA0E2DE-DEAF-45BC-8454-1DA8D3AD1C80}"/>
    <cellStyle name="Comma 4 3 3 2 3 2 3" xfId="22001" xr:uid="{452FA77D-4226-412D-AAB0-C42220F745F8}"/>
    <cellStyle name="Comma 4 3 3 2 3 2 4" xfId="12702" xr:uid="{3DACAAD1-7B9D-4337-86A9-6CCB7798FBCA}"/>
    <cellStyle name="Comma 4 3 3 2 3 3" xfId="5448" xr:uid="{00000000-0005-0000-0000-000077090000}"/>
    <cellStyle name="Comma 4 3 3 2 3 3 2" xfId="24073" xr:uid="{4B68F085-8774-4349-AFE2-C63BF7D5C416}"/>
    <cellStyle name="Comma 4 3 3 2 3 3 3" xfId="14774" xr:uid="{98342806-F208-44C4-A739-E18299F48752}"/>
    <cellStyle name="Comma 4 3 3 2 3 4" xfId="19856" xr:uid="{9084476D-FFFF-401E-BABA-16A8F104DC16}"/>
    <cellStyle name="Comma 4 3 3 2 3 5" xfId="10557" xr:uid="{EED04E0E-680E-4350-8335-035C686B0744}"/>
    <cellStyle name="Comma 4 3 3 2 4" xfId="1554" xr:uid="{00000000-0005-0000-0000-000078090000}"/>
    <cellStyle name="Comma 4 3 3 2 4 2" xfId="3784" xr:uid="{00000000-0005-0000-0000-000079090000}"/>
    <cellStyle name="Comma 4 3 3 2 4 2 2" xfId="8006" xr:uid="{00000000-0005-0000-0000-00007A090000}"/>
    <cellStyle name="Comma 4 3 3 2 4 2 2 2" xfId="26631" xr:uid="{ED6D651C-EE01-4308-9146-B90897894F43}"/>
    <cellStyle name="Comma 4 3 3 2 4 2 2 3" xfId="17332" xr:uid="{6A50B78F-F723-4429-9D00-778DA0AB04FB}"/>
    <cellStyle name="Comma 4 3 3 2 4 2 3" xfId="22414" xr:uid="{39076E63-0847-420D-8F28-346EA1EB06EF}"/>
    <cellStyle name="Comma 4 3 3 2 4 2 4" xfId="13115" xr:uid="{A3098D86-F866-401E-99A3-8E835FA71CF1}"/>
    <cellStyle name="Comma 4 3 3 2 4 3" xfId="5861" xr:uid="{00000000-0005-0000-0000-00007B090000}"/>
    <cellStyle name="Comma 4 3 3 2 4 3 2" xfId="24486" xr:uid="{2D7BEB56-83D1-40A9-A2A5-932F72026800}"/>
    <cellStyle name="Comma 4 3 3 2 4 3 3" xfId="15187" xr:uid="{6812C20F-492B-4985-9076-F4CD1F15AA09}"/>
    <cellStyle name="Comma 4 3 3 2 4 4" xfId="20269" xr:uid="{664CEBC5-C5FE-4E5A-887D-F6C1458AE44F}"/>
    <cellStyle name="Comma 4 3 3 2 4 5" xfId="10970" xr:uid="{8A2F6CBB-631C-46DD-82D5-CE1DC6DC3571}"/>
    <cellStyle name="Comma 4 3 3 2 5" xfId="1968" xr:uid="{00000000-0005-0000-0000-00007C090000}"/>
    <cellStyle name="Comma 4 3 3 2 5 2" xfId="4197" xr:uid="{00000000-0005-0000-0000-00007D090000}"/>
    <cellStyle name="Comma 4 3 3 2 5 2 2" xfId="8419" xr:uid="{00000000-0005-0000-0000-00007E090000}"/>
    <cellStyle name="Comma 4 3 3 2 5 2 2 2" xfId="27044" xr:uid="{273765F8-1D78-4D47-8F05-013E2BCBE030}"/>
    <cellStyle name="Comma 4 3 3 2 5 2 2 3" xfId="17745" xr:uid="{8B408FE9-64A4-4642-A72B-3EC59F8C8F1F}"/>
    <cellStyle name="Comma 4 3 3 2 5 2 3" xfId="22827" xr:uid="{BCADC2FC-F4C8-4D94-8680-7CEE9EF84A95}"/>
    <cellStyle name="Comma 4 3 3 2 5 2 4" xfId="13528" xr:uid="{5B7AC6B5-951A-4557-B6F9-BCE065D4D10E}"/>
    <cellStyle name="Comma 4 3 3 2 5 3" xfId="6274" xr:uid="{00000000-0005-0000-0000-00007F090000}"/>
    <cellStyle name="Comma 4 3 3 2 5 3 2" xfId="24899" xr:uid="{8348BD44-0813-49D0-8A9F-6124940FF8F3}"/>
    <cellStyle name="Comma 4 3 3 2 5 3 3" xfId="15600" xr:uid="{24029406-C88A-4E73-93C2-5807C8193E34}"/>
    <cellStyle name="Comma 4 3 3 2 5 4" xfId="20682" xr:uid="{A17C342A-D29A-4885-B790-5F2FDF408ABE}"/>
    <cellStyle name="Comma 4 3 3 2 5 5" xfId="11383" xr:uid="{910A62B6-FEE7-450F-B3FD-4DB36479167B}"/>
    <cellStyle name="Comma 4 3 3 2 6" xfId="2403" xr:uid="{00000000-0005-0000-0000-000080090000}"/>
    <cellStyle name="Comma 4 3 3 2 6 2" xfId="6687" xr:uid="{00000000-0005-0000-0000-000081090000}"/>
    <cellStyle name="Comma 4 3 3 2 6 2 2" xfId="25312" xr:uid="{E6857153-D3C9-4B25-A944-6B154242C058}"/>
    <cellStyle name="Comma 4 3 3 2 6 2 3" xfId="16013" xr:uid="{E51D76E1-5358-4ED4-9F57-B9267E725DE4}"/>
    <cellStyle name="Comma 4 3 3 2 6 3" xfId="21095" xr:uid="{F9B3E6DE-CF62-4E6B-B047-2B725834108E}"/>
    <cellStyle name="Comma 4 3 3 2 6 4" xfId="11796" xr:uid="{46906375-8F7E-4AC8-843D-08B8FB53D194}"/>
    <cellStyle name="Comma 4 3 3 2 7" xfId="2360" xr:uid="{00000000-0005-0000-0000-000082090000}"/>
    <cellStyle name="Comma 4 3 3 2 8" xfId="2781" xr:uid="{00000000-0005-0000-0000-000083090000}"/>
    <cellStyle name="Comma 4 3 3 2 8 2" xfId="7004" xr:uid="{00000000-0005-0000-0000-000084090000}"/>
    <cellStyle name="Comma 4 3 3 2 8 2 2" xfId="25629" xr:uid="{C1807B24-3E76-4EA7-9526-BAD95EE2D3B6}"/>
    <cellStyle name="Comma 4 3 3 2 8 2 3" xfId="16330" xr:uid="{B241CB05-44BD-443F-A926-A25563AF2842}"/>
    <cellStyle name="Comma 4 3 3 2 8 3" xfId="21412" xr:uid="{AAAD0CCE-FA47-4FEC-8A1F-1B1652D6FEE8}"/>
    <cellStyle name="Comma 4 3 3 2 8 4" xfId="12113" xr:uid="{BCADDB2F-4F2C-4168-A3C3-DC36763D6E75}"/>
    <cellStyle name="Comma 4 3 3 2 9" xfId="4621" xr:uid="{00000000-0005-0000-0000-000085090000}"/>
    <cellStyle name="Comma 4 3 3 2 9 2" xfId="23246" xr:uid="{C10600B5-9D47-4E90-A2A5-8D365274082B}"/>
    <cellStyle name="Comma 4 3 3 2 9 3" xfId="13947" xr:uid="{6DDD52DE-67A3-4334-A598-D6EE6CBB8803}"/>
    <cellStyle name="Comma 4 3 3 3" xfId="686" xr:uid="{00000000-0005-0000-0000-000086090000}"/>
    <cellStyle name="Comma 4 3 3 3 2" xfId="2957" xr:uid="{00000000-0005-0000-0000-000087090000}"/>
    <cellStyle name="Comma 4 3 3 3 2 2" xfId="7179" xr:uid="{00000000-0005-0000-0000-000088090000}"/>
    <cellStyle name="Comma 4 3 3 3 2 2 2" xfId="25804" xr:uid="{71D067D3-9EE1-4786-8AF7-635EC01DBB28}"/>
    <cellStyle name="Comma 4 3 3 3 2 2 3" xfId="16505" xr:uid="{40FFDBA6-BB24-494E-9E72-C12C36CA810A}"/>
    <cellStyle name="Comma 4 3 3 3 2 3" xfId="21587" xr:uid="{F45D7FAD-E58F-4715-BAF3-9E7B44D37254}"/>
    <cellStyle name="Comma 4 3 3 3 2 4" xfId="12288" xr:uid="{069E6ACC-532C-40BF-8D1F-76D990BE124F}"/>
    <cellStyle name="Comma 4 3 3 3 3" xfId="5034" xr:uid="{00000000-0005-0000-0000-000089090000}"/>
    <cellStyle name="Comma 4 3 3 3 3 2" xfId="23659" xr:uid="{E514C7E4-B602-494D-80BC-2D21BA81BA77}"/>
    <cellStyle name="Comma 4 3 3 3 3 3" xfId="14360" xr:uid="{EA61C1A7-D136-4963-9169-F91B319C44F3}"/>
    <cellStyle name="Comma 4 3 3 3 4" xfId="9306" xr:uid="{6AC2749B-EC1D-4760-AD4B-F36381A669B6}"/>
    <cellStyle name="Comma 4 3 3 3 4 2" xfId="27920" xr:uid="{750A0496-3CC6-4610-BC3E-55CC341201C1}"/>
    <cellStyle name="Comma 4 3 3 3 4 3" xfId="18621" xr:uid="{4503B4AC-C3BA-4687-820B-656AEE4CA16F}"/>
    <cellStyle name="Comma 4 3 3 3 5" xfId="19442" xr:uid="{F1CC7944-919B-41C0-8DA9-E3A17EE5FBD9}"/>
    <cellStyle name="Comma 4 3 3 3 6" xfId="10143" xr:uid="{4ACC6F5B-C701-4936-B749-50362B6F01EE}"/>
    <cellStyle name="Comma 4 3 3 4" xfId="1139" xr:uid="{00000000-0005-0000-0000-00008A090000}"/>
    <cellStyle name="Comma 4 3 3 4 2" xfId="3370" xr:uid="{00000000-0005-0000-0000-00008B090000}"/>
    <cellStyle name="Comma 4 3 3 4 2 2" xfId="7592" xr:uid="{00000000-0005-0000-0000-00008C090000}"/>
    <cellStyle name="Comma 4 3 3 4 2 2 2" xfId="26217" xr:uid="{B6FA604A-952C-40F1-B60D-D8B8290D95C0}"/>
    <cellStyle name="Comma 4 3 3 4 2 2 3" xfId="16918" xr:uid="{8B341E53-899A-4DE9-B720-09AAFEDC631A}"/>
    <cellStyle name="Comma 4 3 3 4 2 3" xfId="22000" xr:uid="{474A48CF-E661-49D2-8F1D-55D23CA63B95}"/>
    <cellStyle name="Comma 4 3 3 4 2 4" xfId="12701" xr:uid="{3B59B04A-9927-4F72-A3A9-B98F4B149F24}"/>
    <cellStyle name="Comma 4 3 3 4 3" xfId="5447" xr:uid="{00000000-0005-0000-0000-00008D090000}"/>
    <cellStyle name="Comma 4 3 3 4 3 2" xfId="24072" xr:uid="{58C24019-B303-41C0-BDD5-F6F6433F0D4C}"/>
    <cellStyle name="Comma 4 3 3 4 3 3" xfId="14773" xr:uid="{6D0BBB30-67D5-4341-9173-F06EAE3D2115}"/>
    <cellStyle name="Comma 4 3 3 4 4" xfId="19855" xr:uid="{AE25900C-8FEA-44AB-BCB9-1B4DC45463DF}"/>
    <cellStyle name="Comma 4 3 3 4 5" xfId="10556" xr:uid="{0CA22C50-D764-4729-B157-E86A6F2273CD}"/>
    <cellStyle name="Comma 4 3 3 5" xfId="1553" xr:uid="{00000000-0005-0000-0000-00008E090000}"/>
    <cellStyle name="Comma 4 3 3 5 2" xfId="3783" xr:uid="{00000000-0005-0000-0000-00008F090000}"/>
    <cellStyle name="Comma 4 3 3 5 2 2" xfId="8005" xr:uid="{00000000-0005-0000-0000-000090090000}"/>
    <cellStyle name="Comma 4 3 3 5 2 2 2" xfId="26630" xr:uid="{CED31118-219A-46D8-BF89-7B748140B3AB}"/>
    <cellStyle name="Comma 4 3 3 5 2 2 3" xfId="17331" xr:uid="{6B4FC3C9-8E19-4862-BA55-EE0B9DE2B24F}"/>
    <cellStyle name="Comma 4 3 3 5 2 3" xfId="22413" xr:uid="{EDD19387-E916-44A7-93DE-D9F88CF8B3AC}"/>
    <cellStyle name="Comma 4 3 3 5 2 4" xfId="13114" xr:uid="{3F394475-804F-4FA7-84F3-C4FF1ED49219}"/>
    <cellStyle name="Comma 4 3 3 5 3" xfId="5860" xr:uid="{00000000-0005-0000-0000-000091090000}"/>
    <cellStyle name="Comma 4 3 3 5 3 2" xfId="24485" xr:uid="{375B35E6-596E-4313-B569-DAB5B6E30052}"/>
    <cellStyle name="Comma 4 3 3 5 3 3" xfId="15186" xr:uid="{F910069F-5E4E-4566-B20A-A12A825DE3A1}"/>
    <cellStyle name="Comma 4 3 3 5 4" xfId="20268" xr:uid="{45291CBD-6BB8-43D4-B8EA-A1527E2BC62C}"/>
    <cellStyle name="Comma 4 3 3 5 5" xfId="10969" xr:uid="{87A25B34-4797-4F61-B752-8F1471C83C85}"/>
    <cellStyle name="Comma 4 3 3 6" xfId="1967" xr:uid="{00000000-0005-0000-0000-000092090000}"/>
    <cellStyle name="Comma 4 3 3 6 2" xfId="4196" xr:uid="{00000000-0005-0000-0000-000093090000}"/>
    <cellStyle name="Comma 4 3 3 6 2 2" xfId="8418" xr:uid="{00000000-0005-0000-0000-000094090000}"/>
    <cellStyle name="Comma 4 3 3 6 2 2 2" xfId="27043" xr:uid="{E8BF8373-AC79-41D7-A58D-560C6FC15E37}"/>
    <cellStyle name="Comma 4 3 3 6 2 2 3" xfId="17744" xr:uid="{4EC448AD-5626-4747-8375-CA31C5FE3389}"/>
    <cellStyle name="Comma 4 3 3 6 2 3" xfId="22826" xr:uid="{10A14374-0952-42A0-A802-76EFA1AC61C9}"/>
    <cellStyle name="Comma 4 3 3 6 2 4" xfId="13527" xr:uid="{3BA7DAB5-5E91-4593-AF65-61E08BDB0C22}"/>
    <cellStyle name="Comma 4 3 3 6 3" xfId="6273" xr:uid="{00000000-0005-0000-0000-000095090000}"/>
    <cellStyle name="Comma 4 3 3 6 3 2" xfId="24898" xr:uid="{D8519799-258A-40FB-9F80-A8A4DF86D37D}"/>
    <cellStyle name="Comma 4 3 3 6 3 3" xfId="15599" xr:uid="{AFD37E25-F0D1-4156-8AA8-E0F30231870F}"/>
    <cellStyle name="Comma 4 3 3 6 4" xfId="20681" xr:uid="{B5FA7240-5359-42C2-BA3B-CC1C6766BA37}"/>
    <cellStyle name="Comma 4 3 3 6 5" xfId="11382" xr:uid="{09E77F65-65B9-47ED-BE94-E3735F43EAB4}"/>
    <cellStyle name="Comma 4 3 3 7" xfId="2402" xr:uid="{00000000-0005-0000-0000-000096090000}"/>
    <cellStyle name="Comma 4 3 3 7 2" xfId="6686" xr:uid="{00000000-0005-0000-0000-000097090000}"/>
    <cellStyle name="Comma 4 3 3 7 2 2" xfId="25311" xr:uid="{2A1A2E1B-24E5-4203-9B27-A9E4064BA0B2}"/>
    <cellStyle name="Comma 4 3 3 7 2 3" xfId="16012" xr:uid="{FA5FC0AE-658F-4AF0-A335-32868DA85E0A}"/>
    <cellStyle name="Comma 4 3 3 7 3" xfId="21094" xr:uid="{24191F42-6930-42C2-859C-E1C6E31BB050}"/>
    <cellStyle name="Comma 4 3 3 7 4" xfId="11795" xr:uid="{6DBB6B5D-9E51-411E-A5C2-145A37122AB8}"/>
    <cellStyle name="Comma 4 3 3 8" xfId="2361" xr:uid="{00000000-0005-0000-0000-000098090000}"/>
    <cellStyle name="Comma 4 3 3 9" xfId="2780" xr:uid="{00000000-0005-0000-0000-000099090000}"/>
    <cellStyle name="Comma 4 3 3 9 2" xfId="7003" xr:uid="{00000000-0005-0000-0000-00009A090000}"/>
    <cellStyle name="Comma 4 3 3 9 2 2" xfId="25628" xr:uid="{7A373AB2-068A-4BF6-BED4-1D9E91DEF9CB}"/>
    <cellStyle name="Comma 4 3 3 9 2 3" xfId="16329" xr:uid="{63F83193-8E1C-425D-897C-CB632EAD134C}"/>
    <cellStyle name="Comma 4 3 3 9 3" xfId="21411" xr:uid="{42DFB3CF-DC55-41D8-A545-0D21106541DD}"/>
    <cellStyle name="Comma 4 3 3 9 4" xfId="12112" xr:uid="{AAA8FDD2-E254-4744-98AF-22F8584BBA3A}"/>
    <cellStyle name="Comma 4 3 4" xfId="151" xr:uid="{00000000-0005-0000-0000-00009B090000}"/>
    <cellStyle name="Comma 4 3 4 10" xfId="8985" xr:uid="{E965CEC1-A932-4F91-9E18-794CBF7DC7FC}"/>
    <cellStyle name="Comma 4 3 4 10 2" xfId="27608" xr:uid="{F44C434B-9FB4-4D88-9E09-E12CE4ADAE15}"/>
    <cellStyle name="Comma 4 3 4 10 3" xfId="18309" xr:uid="{871A0328-33DB-45C5-B8F6-CCFD9E31D922}"/>
    <cellStyle name="Comma 4 3 4 11" xfId="19030" xr:uid="{A0A2A971-FF3B-4538-A74E-2F8B14C9AA06}"/>
    <cellStyle name="Comma 4 3 4 12" xfId="9731" xr:uid="{0AE53951-ABB1-46EF-877D-DA0ADA2C1358}"/>
    <cellStyle name="Comma 4 3 4 2" xfId="688" xr:uid="{00000000-0005-0000-0000-00009C090000}"/>
    <cellStyle name="Comma 4 3 4 2 2" xfId="2959" xr:uid="{00000000-0005-0000-0000-00009D090000}"/>
    <cellStyle name="Comma 4 3 4 2 2 2" xfId="7181" xr:uid="{00000000-0005-0000-0000-00009E090000}"/>
    <cellStyle name="Comma 4 3 4 2 2 2 2" xfId="25806" xr:uid="{C8D6BC92-2726-48C1-B5A1-13A8B3862E8B}"/>
    <cellStyle name="Comma 4 3 4 2 2 2 3" xfId="16507" xr:uid="{65A10C68-C457-4BDE-A217-6518A28F49FC}"/>
    <cellStyle name="Comma 4 3 4 2 2 3" xfId="21589" xr:uid="{0E541BCC-1804-48DB-93ED-AC235E611162}"/>
    <cellStyle name="Comma 4 3 4 2 2 4" xfId="12290" xr:uid="{B634802A-0C5A-4200-8248-E297A533D277}"/>
    <cellStyle name="Comma 4 3 4 2 3" xfId="5036" xr:uid="{00000000-0005-0000-0000-00009F090000}"/>
    <cellStyle name="Comma 4 3 4 2 3 2" xfId="23661" xr:uid="{6B28ADB8-4620-4C38-82FE-9B0C547E8DA9}"/>
    <cellStyle name="Comma 4 3 4 2 3 3" xfId="14362" xr:uid="{1830BA59-160B-4554-B15C-EE4DD80FE145}"/>
    <cellStyle name="Comma 4 3 4 2 4" xfId="9410" xr:uid="{54DEC146-6204-4AAF-A15F-BAC0A12B5984}"/>
    <cellStyle name="Comma 4 3 4 2 4 2" xfId="28024" xr:uid="{AEC54A67-8DE6-44C8-928E-E77ECE3769CB}"/>
    <cellStyle name="Comma 4 3 4 2 4 3" xfId="18725" xr:uid="{C46F636C-3160-429E-AC5F-9EBA18D91031}"/>
    <cellStyle name="Comma 4 3 4 2 5" xfId="19444" xr:uid="{C413B7C5-4152-44BD-B2F0-9E936F23A028}"/>
    <cellStyle name="Comma 4 3 4 2 6" xfId="10145" xr:uid="{F7BE8043-087B-4FCA-8563-19A2225C339D}"/>
    <cellStyle name="Comma 4 3 4 3" xfId="1141" xr:uid="{00000000-0005-0000-0000-0000A0090000}"/>
    <cellStyle name="Comma 4 3 4 3 2" xfId="3372" xr:uid="{00000000-0005-0000-0000-0000A1090000}"/>
    <cellStyle name="Comma 4 3 4 3 2 2" xfId="7594" xr:uid="{00000000-0005-0000-0000-0000A2090000}"/>
    <cellStyle name="Comma 4 3 4 3 2 2 2" xfId="26219" xr:uid="{7EE401DF-72A4-4061-B239-513AB5F4FFFB}"/>
    <cellStyle name="Comma 4 3 4 3 2 2 3" xfId="16920" xr:uid="{9544E438-DA4E-4405-A8EE-C17070A79435}"/>
    <cellStyle name="Comma 4 3 4 3 2 3" xfId="22002" xr:uid="{CF75FEC2-9277-4655-84C9-EC496E4C4E4F}"/>
    <cellStyle name="Comma 4 3 4 3 2 4" xfId="12703" xr:uid="{4E500DEA-0315-46CD-B40E-DAB4662C5511}"/>
    <cellStyle name="Comma 4 3 4 3 3" xfId="5449" xr:uid="{00000000-0005-0000-0000-0000A3090000}"/>
    <cellStyle name="Comma 4 3 4 3 3 2" xfId="24074" xr:uid="{3CE84BF4-6312-4AA7-AF51-820841AF4A3C}"/>
    <cellStyle name="Comma 4 3 4 3 3 3" xfId="14775" xr:uid="{94D2A531-65E9-4EDF-876D-DCB1790604A8}"/>
    <cellStyle name="Comma 4 3 4 3 4" xfId="19857" xr:uid="{F64E07DA-9E27-4274-A4A7-9D2F832EEEA5}"/>
    <cellStyle name="Comma 4 3 4 3 5" xfId="10558" xr:uid="{160CF8E5-D40B-4A3F-81B7-16610141FBAD}"/>
    <cellStyle name="Comma 4 3 4 4" xfId="1555" xr:uid="{00000000-0005-0000-0000-0000A4090000}"/>
    <cellStyle name="Comma 4 3 4 4 2" xfId="3785" xr:uid="{00000000-0005-0000-0000-0000A5090000}"/>
    <cellStyle name="Comma 4 3 4 4 2 2" xfId="8007" xr:uid="{00000000-0005-0000-0000-0000A6090000}"/>
    <cellStyle name="Comma 4 3 4 4 2 2 2" xfId="26632" xr:uid="{4541D23E-E7DD-450B-A767-EE2C5B57EB0B}"/>
    <cellStyle name="Comma 4 3 4 4 2 2 3" xfId="17333" xr:uid="{AABA5D0B-306B-49F6-985B-4E611A749E91}"/>
    <cellStyle name="Comma 4 3 4 4 2 3" xfId="22415" xr:uid="{B06171B3-DDF8-4E10-95B0-DAB206BA6179}"/>
    <cellStyle name="Comma 4 3 4 4 2 4" xfId="13116" xr:uid="{AA7E9C64-405D-4213-AC81-21A014F1A903}"/>
    <cellStyle name="Comma 4 3 4 4 3" xfId="5862" xr:uid="{00000000-0005-0000-0000-0000A7090000}"/>
    <cellStyle name="Comma 4 3 4 4 3 2" xfId="24487" xr:uid="{005DAEC8-BA7A-4F67-BC30-FCFA1BA31174}"/>
    <cellStyle name="Comma 4 3 4 4 3 3" xfId="15188" xr:uid="{803652C4-0672-4742-A48F-B2EB5DD7D80D}"/>
    <cellStyle name="Comma 4 3 4 4 4" xfId="20270" xr:uid="{42376C1B-381E-4770-A048-6096FA74EF5B}"/>
    <cellStyle name="Comma 4 3 4 4 5" xfId="10971" xr:uid="{C6156E78-1613-4DAA-A339-8C19F0594A26}"/>
    <cellStyle name="Comma 4 3 4 5" xfId="1969" xr:uid="{00000000-0005-0000-0000-0000A8090000}"/>
    <cellStyle name="Comma 4 3 4 5 2" xfId="4198" xr:uid="{00000000-0005-0000-0000-0000A9090000}"/>
    <cellStyle name="Comma 4 3 4 5 2 2" xfId="8420" xr:uid="{00000000-0005-0000-0000-0000AA090000}"/>
    <cellStyle name="Comma 4 3 4 5 2 2 2" xfId="27045" xr:uid="{676DEF3C-B44A-49DE-A84A-4A81D7AAC5EC}"/>
    <cellStyle name="Comma 4 3 4 5 2 2 3" xfId="17746" xr:uid="{F29D8730-23D2-4C9A-A11F-40472E5EB44D}"/>
    <cellStyle name="Comma 4 3 4 5 2 3" xfId="22828" xr:uid="{6250A952-C318-4581-A99F-6EA94C27FE91}"/>
    <cellStyle name="Comma 4 3 4 5 2 4" xfId="13529" xr:uid="{2916B775-18A6-48D5-9D8C-DB996788B4C6}"/>
    <cellStyle name="Comma 4 3 4 5 3" xfId="6275" xr:uid="{00000000-0005-0000-0000-0000AB090000}"/>
    <cellStyle name="Comma 4 3 4 5 3 2" xfId="24900" xr:uid="{FC699994-B7B1-4DC4-BD2F-3FE11CB70199}"/>
    <cellStyle name="Comma 4 3 4 5 3 3" xfId="15601" xr:uid="{42C917D1-3AB3-4132-858F-98545F0E6283}"/>
    <cellStyle name="Comma 4 3 4 5 4" xfId="20683" xr:uid="{ACCB1C45-F25F-4600-9DE3-C2F44F370C41}"/>
    <cellStyle name="Comma 4 3 4 5 5" xfId="11384" xr:uid="{A21BA8B7-AE46-4AC9-AF0B-61A0923B8DF8}"/>
    <cellStyle name="Comma 4 3 4 6" xfId="2404" xr:uid="{00000000-0005-0000-0000-0000AC090000}"/>
    <cellStyle name="Comma 4 3 4 6 2" xfId="6688" xr:uid="{00000000-0005-0000-0000-0000AD090000}"/>
    <cellStyle name="Comma 4 3 4 6 2 2" xfId="25313" xr:uid="{49B3794E-F948-44E9-98FE-99A80EB28D2F}"/>
    <cellStyle name="Comma 4 3 4 6 2 3" xfId="16014" xr:uid="{E7B82F28-EF7C-4860-B310-D6EBFBA99D27}"/>
    <cellStyle name="Comma 4 3 4 6 3" xfId="21096" xr:uid="{2BF0F2B9-9F87-4A31-A365-B4048DC08177}"/>
    <cellStyle name="Comma 4 3 4 6 4" xfId="11797" xr:uid="{210166A3-2588-464E-9B3B-6AC5B6D835C4}"/>
    <cellStyle name="Comma 4 3 4 7" xfId="2700" xr:uid="{00000000-0005-0000-0000-0000AE090000}"/>
    <cellStyle name="Comma 4 3 4 8" xfId="2782" xr:uid="{00000000-0005-0000-0000-0000AF090000}"/>
    <cellStyle name="Comma 4 3 4 8 2" xfId="7005" xr:uid="{00000000-0005-0000-0000-0000B0090000}"/>
    <cellStyle name="Comma 4 3 4 8 2 2" xfId="25630" xr:uid="{E117E4A3-6557-455B-B952-6F91A90264D5}"/>
    <cellStyle name="Comma 4 3 4 8 2 3" xfId="16331" xr:uid="{AF592EA5-624F-4A87-BE59-C14368524C94}"/>
    <cellStyle name="Comma 4 3 4 8 3" xfId="21413" xr:uid="{24C48ACF-3606-46A0-8E34-A53B8D7E51AD}"/>
    <cellStyle name="Comma 4 3 4 8 4" xfId="12114" xr:uid="{AAD8198D-2CFA-46D3-A31D-7B90E9A28147}"/>
    <cellStyle name="Comma 4 3 4 9" xfId="4622" xr:uid="{00000000-0005-0000-0000-0000B1090000}"/>
    <cellStyle name="Comma 4 3 4 9 2" xfId="23247" xr:uid="{CA853E1B-3DF5-4489-BF8B-ACFF92C7687C}"/>
    <cellStyle name="Comma 4 3 4 9 3" xfId="13948" xr:uid="{8DE9F215-3F3C-452B-90A3-E95CA3D83FF5}"/>
    <cellStyle name="Comma 4 3 5" xfId="152" xr:uid="{00000000-0005-0000-0000-0000B2090000}"/>
    <cellStyle name="Comma 4 3 5 10" xfId="9202" xr:uid="{BF5456DA-E11C-47BD-8210-21F45D9E5F79}"/>
    <cellStyle name="Comma 4 3 5 10 2" xfId="27817" xr:uid="{4614324E-CC6D-4AD2-9C88-71A07E864247}"/>
    <cellStyle name="Comma 4 3 5 10 3" xfId="18518" xr:uid="{7E909902-215A-49CB-8789-DCA6C3B8AA61}"/>
    <cellStyle name="Comma 4 3 5 11" xfId="19031" xr:uid="{A5776A29-60DE-47C8-A95E-0381EE6306DA}"/>
    <cellStyle name="Comma 4 3 5 12" xfId="9732" xr:uid="{4C8F56CF-911F-4245-9946-FA8F9E50363E}"/>
    <cellStyle name="Comma 4 3 5 2" xfId="689" xr:uid="{00000000-0005-0000-0000-0000B3090000}"/>
    <cellStyle name="Comma 4 3 5 2 2" xfId="2960" xr:uid="{00000000-0005-0000-0000-0000B4090000}"/>
    <cellStyle name="Comma 4 3 5 2 2 2" xfId="7182" xr:uid="{00000000-0005-0000-0000-0000B5090000}"/>
    <cellStyle name="Comma 4 3 5 2 2 2 2" xfId="25807" xr:uid="{77B33A4C-DB3F-49E6-BCCF-C157840C868D}"/>
    <cellStyle name="Comma 4 3 5 2 2 2 3" xfId="16508" xr:uid="{BF372310-E178-46B4-B75F-6EF830BB5192}"/>
    <cellStyle name="Comma 4 3 5 2 2 3" xfId="21590" xr:uid="{D85D3E61-54C6-4192-8939-45309825CE8A}"/>
    <cellStyle name="Comma 4 3 5 2 2 4" xfId="12291" xr:uid="{426007E1-DBE4-4988-A53C-91B4EAB345B7}"/>
    <cellStyle name="Comma 4 3 5 2 3" xfId="5037" xr:uid="{00000000-0005-0000-0000-0000B6090000}"/>
    <cellStyle name="Comma 4 3 5 2 3 2" xfId="23662" xr:uid="{A885F50E-BBFB-4756-8941-CA77E671FE78}"/>
    <cellStyle name="Comma 4 3 5 2 3 3" xfId="14363" xr:uid="{6E5394E7-C860-4874-B0C3-0F2E16EB330C}"/>
    <cellStyle name="Comma 4 3 5 2 4" xfId="9595" xr:uid="{3E6BF710-D2EA-4AFB-83F1-C6BF1C2192FF}"/>
    <cellStyle name="Comma 4 3 5 2 4 2" xfId="28198" xr:uid="{D98A5D1D-16C7-4CDB-BA33-73CF49666826}"/>
    <cellStyle name="Comma 4 3 5 2 4 3" xfId="18899" xr:uid="{91190B0C-6D57-4ABE-9E14-92A85FD7CE15}"/>
    <cellStyle name="Comma 4 3 5 2 5" xfId="19445" xr:uid="{4B460C47-61D4-44CC-80D2-8B83E97A5D7C}"/>
    <cellStyle name="Comma 4 3 5 2 6" xfId="10146" xr:uid="{68FFCBE9-F809-48B5-A2E9-73DD1E36CC4C}"/>
    <cellStyle name="Comma 4 3 5 3" xfId="1142" xr:uid="{00000000-0005-0000-0000-0000B7090000}"/>
    <cellStyle name="Comma 4 3 5 3 2" xfId="3373" xr:uid="{00000000-0005-0000-0000-0000B8090000}"/>
    <cellStyle name="Comma 4 3 5 3 2 2" xfId="7595" xr:uid="{00000000-0005-0000-0000-0000B9090000}"/>
    <cellStyle name="Comma 4 3 5 3 2 2 2" xfId="26220" xr:uid="{39E69B9C-A028-4AB3-9A3D-0FF18A0F3B9E}"/>
    <cellStyle name="Comma 4 3 5 3 2 2 3" xfId="16921" xr:uid="{EF610990-164E-4E7E-989A-F8A2AF4E0B43}"/>
    <cellStyle name="Comma 4 3 5 3 2 3" xfId="22003" xr:uid="{6E5DF592-5F5E-4D6D-8BB2-411BCC33AB17}"/>
    <cellStyle name="Comma 4 3 5 3 2 4" xfId="12704" xr:uid="{96789433-D4AC-486B-9E7D-8F88341CB69C}"/>
    <cellStyle name="Comma 4 3 5 3 3" xfId="5450" xr:uid="{00000000-0005-0000-0000-0000BA090000}"/>
    <cellStyle name="Comma 4 3 5 3 3 2" xfId="24075" xr:uid="{79497C0F-A26D-437F-B1A8-6332289829D2}"/>
    <cellStyle name="Comma 4 3 5 3 3 3" xfId="14776" xr:uid="{E2DFF2D6-2127-44F2-BC74-47017B786294}"/>
    <cellStyle name="Comma 4 3 5 3 4" xfId="19858" xr:uid="{E136D11B-0EFF-445F-8F1E-566ABD08714F}"/>
    <cellStyle name="Comma 4 3 5 3 5" xfId="10559" xr:uid="{C8D0527E-F22C-45B0-B20D-2BEA47246013}"/>
    <cellStyle name="Comma 4 3 5 4" xfId="1556" xr:uid="{00000000-0005-0000-0000-0000BB090000}"/>
    <cellStyle name="Comma 4 3 5 4 2" xfId="3786" xr:uid="{00000000-0005-0000-0000-0000BC090000}"/>
    <cellStyle name="Comma 4 3 5 4 2 2" xfId="8008" xr:uid="{00000000-0005-0000-0000-0000BD090000}"/>
    <cellStyle name="Comma 4 3 5 4 2 2 2" xfId="26633" xr:uid="{136BEBC7-8344-42F7-B015-4C7BB221FEC6}"/>
    <cellStyle name="Comma 4 3 5 4 2 2 3" xfId="17334" xr:uid="{09D6A5F2-9F03-4CD6-BEB0-0F5EA3DD17F2}"/>
    <cellStyle name="Comma 4 3 5 4 2 3" xfId="22416" xr:uid="{51B69A10-2B81-4F3A-B264-D6BF3F708460}"/>
    <cellStyle name="Comma 4 3 5 4 2 4" xfId="13117" xr:uid="{C2CB3900-A371-4051-8928-F37EB11F3C21}"/>
    <cellStyle name="Comma 4 3 5 4 3" xfId="5863" xr:uid="{00000000-0005-0000-0000-0000BE090000}"/>
    <cellStyle name="Comma 4 3 5 4 3 2" xfId="24488" xr:uid="{A0A26C61-BBF7-4F80-AFA7-ED0D9C482243}"/>
    <cellStyle name="Comma 4 3 5 4 3 3" xfId="15189" xr:uid="{8F810BA8-C25E-44A4-8AB4-A3821A2DF7E4}"/>
    <cellStyle name="Comma 4 3 5 4 4" xfId="20271" xr:uid="{EA1E1A4F-72B2-47CE-B683-A934DB953399}"/>
    <cellStyle name="Comma 4 3 5 4 5" xfId="10972" xr:uid="{0391B4E4-BA2A-4DBF-BB94-9C1A46C4B9A7}"/>
    <cellStyle name="Comma 4 3 5 5" xfId="1970" xr:uid="{00000000-0005-0000-0000-0000BF090000}"/>
    <cellStyle name="Comma 4 3 5 5 2" xfId="4199" xr:uid="{00000000-0005-0000-0000-0000C0090000}"/>
    <cellStyle name="Comma 4 3 5 5 2 2" xfId="8421" xr:uid="{00000000-0005-0000-0000-0000C1090000}"/>
    <cellStyle name="Comma 4 3 5 5 2 2 2" xfId="27046" xr:uid="{7FFD9F41-FE54-4F00-A011-B045733D52B3}"/>
    <cellStyle name="Comma 4 3 5 5 2 2 3" xfId="17747" xr:uid="{0FB3AEBF-4CB4-41D3-A883-0C18BE8B8CAF}"/>
    <cellStyle name="Comma 4 3 5 5 2 3" xfId="22829" xr:uid="{B9992B9E-371C-4C6E-8A32-1FC90F3EA100}"/>
    <cellStyle name="Comma 4 3 5 5 2 4" xfId="13530" xr:uid="{54649CF7-C8F9-47A1-8A7D-92F6231A9B1B}"/>
    <cellStyle name="Comma 4 3 5 5 3" xfId="6276" xr:uid="{00000000-0005-0000-0000-0000C2090000}"/>
    <cellStyle name="Comma 4 3 5 5 3 2" xfId="24901" xr:uid="{746CAD72-6ED0-4BFC-8704-DA43C8C5703A}"/>
    <cellStyle name="Comma 4 3 5 5 3 3" xfId="15602" xr:uid="{F6D150B3-CF5C-4B49-A63C-5F1BFDF30AA8}"/>
    <cellStyle name="Comma 4 3 5 5 4" xfId="20684" xr:uid="{05E73CED-6EDC-4CB3-BA9C-863CDEAFC311}"/>
    <cellStyle name="Comma 4 3 5 5 5" xfId="11385" xr:uid="{0DCD053E-572B-4179-A864-811367028374}"/>
    <cellStyle name="Comma 4 3 5 6" xfId="2405" xr:uid="{00000000-0005-0000-0000-0000C3090000}"/>
    <cellStyle name="Comma 4 3 5 6 2" xfId="6689" xr:uid="{00000000-0005-0000-0000-0000C4090000}"/>
    <cellStyle name="Comma 4 3 5 6 2 2" xfId="25314" xr:uid="{77941252-DB51-4534-9D56-97BA12AB49F1}"/>
    <cellStyle name="Comma 4 3 5 6 2 3" xfId="16015" xr:uid="{351CE5B6-CF69-4BDD-96CA-30C874AE4E73}"/>
    <cellStyle name="Comma 4 3 5 6 3" xfId="21097" xr:uid="{D15F86A2-8E32-45E0-B6D5-3D8136847B83}"/>
    <cellStyle name="Comma 4 3 5 6 4" xfId="11798" xr:uid="{1F025ECB-FE22-4C9C-B358-17E885E855A0}"/>
    <cellStyle name="Comma 4 3 5 7" xfId="2701" xr:uid="{00000000-0005-0000-0000-0000C5090000}"/>
    <cellStyle name="Comma 4 3 5 8" xfId="2783" xr:uid="{00000000-0005-0000-0000-0000C6090000}"/>
    <cellStyle name="Comma 4 3 5 8 2" xfId="7006" xr:uid="{00000000-0005-0000-0000-0000C7090000}"/>
    <cellStyle name="Comma 4 3 5 8 2 2" xfId="25631" xr:uid="{73903C6A-F52B-4C3B-BDF7-8F396C42204E}"/>
    <cellStyle name="Comma 4 3 5 8 2 3" xfId="16332" xr:uid="{84C7E0FC-3528-4F1C-838B-715EAF3C5BC5}"/>
    <cellStyle name="Comma 4 3 5 8 3" xfId="21414" xr:uid="{5A16389D-81BA-4DDE-ACCE-E539B69A438C}"/>
    <cellStyle name="Comma 4 3 5 8 4" xfId="12115" xr:uid="{61687ECD-A2B1-43FB-99B8-95ADA575995A}"/>
    <cellStyle name="Comma 4 3 5 9" xfId="4623" xr:uid="{00000000-0005-0000-0000-0000C8090000}"/>
    <cellStyle name="Comma 4 3 5 9 2" xfId="23248" xr:uid="{49559B3D-FA74-490D-939F-0F051FF3FDBE}"/>
    <cellStyle name="Comma 4 3 5 9 3" xfId="13949" xr:uid="{83EB057B-531C-46D3-9787-696A4732A3C0}"/>
    <cellStyle name="Comma 4 3 6" xfId="9582" xr:uid="{F1B74700-6F25-44D3-B4B6-1EFC63A6078B}"/>
    <cellStyle name="Comma 4 3 7" xfId="8778" xr:uid="{01CB0168-3495-42C5-9A13-F25D4D0EF35E}"/>
    <cellStyle name="Comma 4 3 7 2" xfId="27401" xr:uid="{C8EFAC4E-1D09-4CDF-A9C7-C185F74B8E18}"/>
    <cellStyle name="Comma 4 3 7 3" xfId="18102" xr:uid="{D3A4EA96-D758-4438-9F76-D023B79D1B81}"/>
    <cellStyle name="Comma 4 4" xfId="153" xr:uid="{00000000-0005-0000-0000-0000C9090000}"/>
    <cellStyle name="Comma 4 4 10" xfId="2784" xr:uid="{00000000-0005-0000-0000-0000CA090000}"/>
    <cellStyle name="Comma 4 4 10 2" xfId="7007" xr:uid="{00000000-0005-0000-0000-0000CB090000}"/>
    <cellStyle name="Comma 4 4 10 2 2" xfId="25632" xr:uid="{D2675E0E-5A6A-434B-BC0A-1DAC0E0F91BD}"/>
    <cellStyle name="Comma 4 4 10 2 3" xfId="16333" xr:uid="{1DD20CA1-F3A8-483B-9A2B-371EEADFE3C0}"/>
    <cellStyle name="Comma 4 4 10 3" xfId="21415" xr:uid="{CF3D4F96-690E-44FB-AEA6-66C59A0F1C79}"/>
    <cellStyle name="Comma 4 4 10 4" xfId="12116" xr:uid="{51475279-92EE-4EB1-BB78-6675FA774462}"/>
    <cellStyle name="Comma 4 4 11" xfId="4624" xr:uid="{00000000-0005-0000-0000-0000CC090000}"/>
    <cellStyle name="Comma 4 4 11 2" xfId="23249" xr:uid="{5131DE0D-C41D-4A65-823B-7306F6D0408E}"/>
    <cellStyle name="Comma 4 4 11 3" xfId="13950" xr:uid="{9E7EC43D-435A-4BE7-9F3F-82F1776D52EC}"/>
    <cellStyle name="Comma 4 4 12" xfId="8804" xr:uid="{A2BB6322-7771-45CD-845C-77E2FE03AC7A}"/>
    <cellStyle name="Comma 4 4 12 2" xfId="27427" xr:uid="{0E3EE9EB-77EB-4E41-8EA7-4F9553FA88FB}"/>
    <cellStyle name="Comma 4 4 12 3" xfId="18128" xr:uid="{CD4C90B2-E440-495E-B251-E92D0B7B6985}"/>
    <cellStyle name="Comma 4 4 13" xfId="19032" xr:uid="{489E782D-7388-4DE1-9745-C91829657479}"/>
    <cellStyle name="Comma 4 4 14" xfId="9733" xr:uid="{9FB239AC-BBC6-4AA8-B8FC-337F30BFC5EE}"/>
    <cellStyle name="Comma 4 4 2" xfId="154" xr:uid="{00000000-0005-0000-0000-0000CD090000}"/>
    <cellStyle name="Comma 4 4 2 10" xfId="4625" xr:uid="{00000000-0005-0000-0000-0000CE090000}"/>
    <cellStyle name="Comma 4 4 2 10 2" xfId="23250" xr:uid="{31EBAB47-8B13-4C80-B274-1F98FD25E1AE}"/>
    <cellStyle name="Comma 4 4 2 10 3" xfId="13951" xr:uid="{F9A82A5B-8989-4F85-9552-5ACC53B2DEF8}"/>
    <cellStyle name="Comma 4 4 2 11" xfId="8907" xr:uid="{F9F87618-3BA1-4211-A686-62CF5BBA5770}"/>
    <cellStyle name="Comma 4 4 2 11 2" xfId="27530" xr:uid="{675600A0-ED40-48BD-BE6E-BB67DE31B862}"/>
    <cellStyle name="Comma 4 4 2 11 3" xfId="18231" xr:uid="{3566BAC2-6FBC-4A9E-B400-8F90E4E1A3B2}"/>
    <cellStyle name="Comma 4 4 2 12" xfId="19033" xr:uid="{E9E03003-77A4-4763-B930-51C83E8FF383}"/>
    <cellStyle name="Comma 4 4 2 13" xfId="9734" xr:uid="{83B00DBA-4E54-43F0-AF88-4EC62AB079ED}"/>
    <cellStyle name="Comma 4 4 2 2" xfId="155" xr:uid="{00000000-0005-0000-0000-0000CF090000}"/>
    <cellStyle name="Comma 4 4 2 2 10" xfId="9114" xr:uid="{871FAC03-A44E-4C24-806C-3CC0605FD124}"/>
    <cellStyle name="Comma 4 4 2 2 10 2" xfId="27737" xr:uid="{CD4F6221-479E-4279-8584-1C67EFB0C5AA}"/>
    <cellStyle name="Comma 4 4 2 2 10 3" xfId="18438" xr:uid="{C8BE64C2-3C6B-45E4-BC85-5B89E4F8FD70}"/>
    <cellStyle name="Comma 4 4 2 2 11" xfId="19034" xr:uid="{3C9CA969-BF3C-4E40-A60A-08DDF645E1AA}"/>
    <cellStyle name="Comma 4 4 2 2 12" xfId="9735" xr:uid="{6F31C960-18DC-46BE-BE90-31E870D05E4D}"/>
    <cellStyle name="Comma 4 4 2 2 2" xfId="692" xr:uid="{00000000-0005-0000-0000-0000D0090000}"/>
    <cellStyle name="Comma 4 4 2 2 2 2" xfId="2963" xr:uid="{00000000-0005-0000-0000-0000D1090000}"/>
    <cellStyle name="Comma 4 4 2 2 2 2 2" xfId="7185" xr:uid="{00000000-0005-0000-0000-0000D2090000}"/>
    <cellStyle name="Comma 4 4 2 2 2 2 2 2" xfId="25810" xr:uid="{1958C96A-8C31-49E6-BA13-586C8A847FDD}"/>
    <cellStyle name="Comma 4 4 2 2 2 2 2 3" xfId="16511" xr:uid="{CE051CF1-BAB5-4852-A960-E8ED5DE34877}"/>
    <cellStyle name="Comma 4 4 2 2 2 2 3" xfId="21593" xr:uid="{02DB5391-BFF1-420A-9C02-43603C6E4ABD}"/>
    <cellStyle name="Comma 4 4 2 2 2 2 4" xfId="12294" xr:uid="{EA048AF8-6CDE-44AF-83F6-37F1F9823608}"/>
    <cellStyle name="Comma 4 4 2 2 2 3" xfId="5040" xr:uid="{00000000-0005-0000-0000-0000D3090000}"/>
    <cellStyle name="Comma 4 4 2 2 2 3 2" xfId="23665" xr:uid="{90BA5C05-12BA-46FD-B1E5-D6FA5D2A6857}"/>
    <cellStyle name="Comma 4 4 2 2 2 3 3" xfId="14366" xr:uid="{F4DB3FEA-C578-4359-96D0-91DF973FCB01}"/>
    <cellStyle name="Comma 4 4 2 2 2 4" xfId="9539" xr:uid="{6209A471-8158-46C6-9ADA-C828BB6621B2}"/>
    <cellStyle name="Comma 4 4 2 2 2 4 2" xfId="28153" xr:uid="{1B261BED-2468-47D8-9088-EC929259F743}"/>
    <cellStyle name="Comma 4 4 2 2 2 4 3" xfId="18854" xr:uid="{BE410FD6-FCF7-450B-B0D3-05CA2967028D}"/>
    <cellStyle name="Comma 4 4 2 2 2 5" xfId="19448" xr:uid="{8ED964E2-A915-46E2-9947-3EB4293B422F}"/>
    <cellStyle name="Comma 4 4 2 2 2 6" xfId="10149" xr:uid="{1F34328C-E7D5-4FD6-AD39-49B9654FDE65}"/>
    <cellStyle name="Comma 4 4 2 2 3" xfId="1145" xr:uid="{00000000-0005-0000-0000-0000D4090000}"/>
    <cellStyle name="Comma 4 4 2 2 3 2" xfId="3376" xr:uid="{00000000-0005-0000-0000-0000D5090000}"/>
    <cellStyle name="Comma 4 4 2 2 3 2 2" xfId="7598" xr:uid="{00000000-0005-0000-0000-0000D6090000}"/>
    <cellStyle name="Comma 4 4 2 2 3 2 2 2" xfId="26223" xr:uid="{ACD7C351-C827-4D0E-93D1-914B562F12EF}"/>
    <cellStyle name="Comma 4 4 2 2 3 2 2 3" xfId="16924" xr:uid="{A5B99E8F-2E0C-44E3-A53A-9F52F6863BB3}"/>
    <cellStyle name="Comma 4 4 2 2 3 2 3" xfId="22006" xr:uid="{543D4189-5754-453E-8BF6-E807C4444009}"/>
    <cellStyle name="Comma 4 4 2 2 3 2 4" xfId="12707" xr:uid="{BFA5248C-F243-4299-93D8-E8F3B7610062}"/>
    <cellStyle name="Comma 4 4 2 2 3 3" xfId="5453" xr:uid="{00000000-0005-0000-0000-0000D7090000}"/>
    <cellStyle name="Comma 4 4 2 2 3 3 2" xfId="24078" xr:uid="{85E2E28F-F188-4A42-A1B5-CF9C84975B04}"/>
    <cellStyle name="Comma 4 4 2 2 3 3 3" xfId="14779" xr:uid="{D5EE2D85-676A-43BE-8CA3-6F37C257ED4F}"/>
    <cellStyle name="Comma 4 4 2 2 3 4" xfId="19861" xr:uid="{69C5DE51-84EE-4A95-B1C5-67839E08DCF0}"/>
    <cellStyle name="Comma 4 4 2 2 3 5" xfId="10562" xr:uid="{BFF0337A-317F-4537-8C61-F684575B8257}"/>
    <cellStyle name="Comma 4 4 2 2 4" xfId="1559" xr:uid="{00000000-0005-0000-0000-0000D8090000}"/>
    <cellStyle name="Comma 4 4 2 2 4 2" xfId="3789" xr:uid="{00000000-0005-0000-0000-0000D9090000}"/>
    <cellStyle name="Comma 4 4 2 2 4 2 2" xfId="8011" xr:uid="{00000000-0005-0000-0000-0000DA090000}"/>
    <cellStyle name="Comma 4 4 2 2 4 2 2 2" xfId="26636" xr:uid="{9A9B7FF0-4546-4CB0-973E-DBA29089282E}"/>
    <cellStyle name="Comma 4 4 2 2 4 2 2 3" xfId="17337" xr:uid="{76FB0CA8-7A39-4A2D-93A0-E1E35E0DF9DB}"/>
    <cellStyle name="Comma 4 4 2 2 4 2 3" xfId="22419" xr:uid="{5AC2A101-AAE8-43DE-B1CD-C26555FEED5D}"/>
    <cellStyle name="Comma 4 4 2 2 4 2 4" xfId="13120" xr:uid="{2950622B-E953-49FB-87DF-3A0E252BB370}"/>
    <cellStyle name="Comma 4 4 2 2 4 3" xfId="5866" xr:uid="{00000000-0005-0000-0000-0000DB090000}"/>
    <cellStyle name="Comma 4 4 2 2 4 3 2" xfId="24491" xr:uid="{A6513DC1-57C5-4D2F-A063-84F395F8B008}"/>
    <cellStyle name="Comma 4 4 2 2 4 3 3" xfId="15192" xr:uid="{71E40CDF-4DB7-41B0-8129-71CA670A43BC}"/>
    <cellStyle name="Comma 4 4 2 2 4 4" xfId="20274" xr:uid="{C376BCBA-8998-4629-BA1B-7338ED38E722}"/>
    <cellStyle name="Comma 4 4 2 2 4 5" xfId="10975" xr:uid="{031E91BE-ED8D-4ADF-923F-711086C136B3}"/>
    <cellStyle name="Comma 4 4 2 2 5" xfId="1973" xr:uid="{00000000-0005-0000-0000-0000DC090000}"/>
    <cellStyle name="Comma 4 4 2 2 5 2" xfId="4202" xr:uid="{00000000-0005-0000-0000-0000DD090000}"/>
    <cellStyle name="Comma 4 4 2 2 5 2 2" xfId="8424" xr:uid="{00000000-0005-0000-0000-0000DE090000}"/>
    <cellStyle name="Comma 4 4 2 2 5 2 2 2" xfId="27049" xr:uid="{CEFBD708-F024-4401-A64F-F313439426AD}"/>
    <cellStyle name="Comma 4 4 2 2 5 2 2 3" xfId="17750" xr:uid="{D57CAA27-7774-49FD-8DA4-CFFE26111C90}"/>
    <cellStyle name="Comma 4 4 2 2 5 2 3" xfId="22832" xr:uid="{86530C26-473D-498C-8DB5-B65B5F8B04B6}"/>
    <cellStyle name="Comma 4 4 2 2 5 2 4" xfId="13533" xr:uid="{9BE8085F-85C4-4296-B911-5FBF06D8D6AE}"/>
    <cellStyle name="Comma 4 4 2 2 5 3" xfId="6279" xr:uid="{00000000-0005-0000-0000-0000DF090000}"/>
    <cellStyle name="Comma 4 4 2 2 5 3 2" xfId="24904" xr:uid="{BBED1BB2-5D59-44EF-AB72-6011D1D75010}"/>
    <cellStyle name="Comma 4 4 2 2 5 3 3" xfId="15605" xr:uid="{522B8DE9-2100-4154-A715-FD686CCE91A6}"/>
    <cellStyle name="Comma 4 4 2 2 5 4" xfId="20687" xr:uid="{3E570674-7D77-4C6B-82D6-560BD9ED1885}"/>
    <cellStyle name="Comma 4 4 2 2 5 5" xfId="11388" xr:uid="{EAF95AB0-1FF7-4550-A4E5-14F88C97D1E1}"/>
    <cellStyle name="Comma 4 4 2 2 6" xfId="2408" xr:uid="{00000000-0005-0000-0000-0000E0090000}"/>
    <cellStyle name="Comma 4 4 2 2 6 2" xfId="6692" xr:uid="{00000000-0005-0000-0000-0000E1090000}"/>
    <cellStyle name="Comma 4 4 2 2 6 2 2" xfId="25317" xr:uid="{510D0AB4-797F-4490-8984-FAD59FB9E000}"/>
    <cellStyle name="Comma 4 4 2 2 6 2 3" xfId="16018" xr:uid="{424BF2A8-CBB8-463C-A6A1-AC89BB1E15C0}"/>
    <cellStyle name="Comma 4 4 2 2 6 3" xfId="21100" xr:uid="{E27DF769-8B8A-436C-8D95-DDE73E35BD9B}"/>
    <cellStyle name="Comma 4 4 2 2 6 4" xfId="11801" xr:uid="{75589750-527E-40A6-9866-596AF83EA509}"/>
    <cellStyle name="Comma 4 4 2 2 7" xfId="2704" xr:uid="{00000000-0005-0000-0000-0000E2090000}"/>
    <cellStyle name="Comma 4 4 2 2 8" xfId="2786" xr:uid="{00000000-0005-0000-0000-0000E3090000}"/>
    <cellStyle name="Comma 4 4 2 2 8 2" xfId="7009" xr:uid="{00000000-0005-0000-0000-0000E4090000}"/>
    <cellStyle name="Comma 4 4 2 2 8 2 2" xfId="25634" xr:uid="{2D2570DE-32F2-4F2B-9B8D-10D077747D63}"/>
    <cellStyle name="Comma 4 4 2 2 8 2 3" xfId="16335" xr:uid="{428EE2E3-CDE9-4070-94A9-8E0E6E4F0F68}"/>
    <cellStyle name="Comma 4 4 2 2 8 3" xfId="21417" xr:uid="{E0CCAC1C-81FB-421D-87A5-A8B9B437AB7B}"/>
    <cellStyle name="Comma 4 4 2 2 8 4" xfId="12118" xr:uid="{3D78F3FD-737D-4E70-93BD-38150FB86944}"/>
    <cellStyle name="Comma 4 4 2 2 9" xfId="4626" xr:uid="{00000000-0005-0000-0000-0000E5090000}"/>
    <cellStyle name="Comma 4 4 2 2 9 2" xfId="23251" xr:uid="{C62D40F4-742B-4D1A-9D00-BE8BF8247C16}"/>
    <cellStyle name="Comma 4 4 2 2 9 3" xfId="13952" xr:uid="{B4EA0E61-2B11-411E-B8B5-5F54A0D9FF8A}"/>
    <cellStyle name="Comma 4 4 2 3" xfId="691" xr:uid="{00000000-0005-0000-0000-0000E6090000}"/>
    <cellStyle name="Comma 4 4 2 3 2" xfId="2962" xr:uid="{00000000-0005-0000-0000-0000E7090000}"/>
    <cellStyle name="Comma 4 4 2 3 2 2" xfId="7184" xr:uid="{00000000-0005-0000-0000-0000E8090000}"/>
    <cellStyle name="Comma 4 4 2 3 2 2 2" xfId="25809" xr:uid="{842708C9-A01D-4AD8-80A6-635DF85706CA}"/>
    <cellStyle name="Comma 4 4 2 3 2 2 3" xfId="16510" xr:uid="{B4512A7F-5245-4616-B9CD-FF72F564CAAD}"/>
    <cellStyle name="Comma 4 4 2 3 2 3" xfId="21592" xr:uid="{354D304E-C549-4FAD-B610-B2D7F4F27E2E}"/>
    <cellStyle name="Comma 4 4 2 3 2 4" xfId="12293" xr:uid="{8CA124D6-4D36-4254-8696-D4EEA97E5EA6}"/>
    <cellStyle name="Comma 4 4 2 3 3" xfId="5039" xr:uid="{00000000-0005-0000-0000-0000E9090000}"/>
    <cellStyle name="Comma 4 4 2 3 3 2" xfId="23664" xr:uid="{D02DD628-A20B-4EF7-823E-3C15D4C8DB58}"/>
    <cellStyle name="Comma 4 4 2 3 3 3" xfId="14365" xr:uid="{AF284CFF-7C1C-4D5C-A1B7-E26E1831F1C3}"/>
    <cellStyle name="Comma 4 4 2 3 4" xfId="9332" xr:uid="{00F59ECD-64D7-476B-90FD-CD86F054AE4D}"/>
    <cellStyle name="Comma 4 4 2 3 4 2" xfId="27946" xr:uid="{1CA63D99-1386-4E65-934C-8ED898AA108C}"/>
    <cellStyle name="Comma 4 4 2 3 4 3" xfId="18647" xr:uid="{E2BB8EF0-6132-4D84-85CC-7CAA5373D1EC}"/>
    <cellStyle name="Comma 4 4 2 3 5" xfId="19447" xr:uid="{0841E6C8-DB1F-4D85-BAA0-C211CBDE23D4}"/>
    <cellStyle name="Comma 4 4 2 3 6" xfId="10148" xr:uid="{90644127-3105-4BDC-9161-0921CBDCBA3F}"/>
    <cellStyle name="Comma 4 4 2 4" xfId="1144" xr:uid="{00000000-0005-0000-0000-0000EA090000}"/>
    <cellStyle name="Comma 4 4 2 4 2" xfId="3375" xr:uid="{00000000-0005-0000-0000-0000EB090000}"/>
    <cellStyle name="Comma 4 4 2 4 2 2" xfId="7597" xr:uid="{00000000-0005-0000-0000-0000EC090000}"/>
    <cellStyle name="Comma 4 4 2 4 2 2 2" xfId="26222" xr:uid="{0DCE4D81-391E-4E63-A805-BE95DC84196A}"/>
    <cellStyle name="Comma 4 4 2 4 2 2 3" xfId="16923" xr:uid="{B44D59A9-87B3-462E-9A85-B3CB5FE81905}"/>
    <cellStyle name="Comma 4 4 2 4 2 3" xfId="22005" xr:uid="{260FE315-52C2-4998-BE72-2478ED59BE57}"/>
    <cellStyle name="Comma 4 4 2 4 2 4" xfId="12706" xr:uid="{4CBE56C8-BBC9-439A-93D0-9FBCCD538365}"/>
    <cellStyle name="Comma 4 4 2 4 3" xfId="5452" xr:uid="{00000000-0005-0000-0000-0000ED090000}"/>
    <cellStyle name="Comma 4 4 2 4 3 2" xfId="24077" xr:uid="{C2F39877-B6C7-4F92-9F13-E537CE845AC6}"/>
    <cellStyle name="Comma 4 4 2 4 3 3" xfId="14778" xr:uid="{8CFA355A-1081-48E5-86FE-4277058A8484}"/>
    <cellStyle name="Comma 4 4 2 4 4" xfId="19860" xr:uid="{5D254C7D-959D-4771-A01C-54AE84766C67}"/>
    <cellStyle name="Comma 4 4 2 4 5" xfId="10561" xr:uid="{FCF6D363-774A-4655-B398-1E8C9CF84057}"/>
    <cellStyle name="Comma 4 4 2 5" xfId="1558" xr:uid="{00000000-0005-0000-0000-0000EE090000}"/>
    <cellStyle name="Comma 4 4 2 5 2" xfId="3788" xr:uid="{00000000-0005-0000-0000-0000EF090000}"/>
    <cellStyle name="Comma 4 4 2 5 2 2" xfId="8010" xr:uid="{00000000-0005-0000-0000-0000F0090000}"/>
    <cellStyle name="Comma 4 4 2 5 2 2 2" xfId="26635" xr:uid="{E7A112AB-FE0D-4654-9D6C-E85EEC9CEC15}"/>
    <cellStyle name="Comma 4 4 2 5 2 2 3" xfId="17336" xr:uid="{A6800643-9CA9-4688-A371-79764FFFB509}"/>
    <cellStyle name="Comma 4 4 2 5 2 3" xfId="22418" xr:uid="{358223D9-0614-4C73-A2A1-B7854F7EB8E5}"/>
    <cellStyle name="Comma 4 4 2 5 2 4" xfId="13119" xr:uid="{6C2CD27B-C695-4DC5-9A9F-C0A0E7691BBE}"/>
    <cellStyle name="Comma 4 4 2 5 3" xfId="5865" xr:uid="{00000000-0005-0000-0000-0000F1090000}"/>
    <cellStyle name="Comma 4 4 2 5 3 2" xfId="24490" xr:uid="{FCCE0735-844A-46B0-B28C-F5DC7E0BB286}"/>
    <cellStyle name="Comma 4 4 2 5 3 3" xfId="15191" xr:uid="{C6249A67-3B38-4F2B-AB90-CC4083899B6C}"/>
    <cellStyle name="Comma 4 4 2 5 4" xfId="20273" xr:uid="{0B5487BA-EA03-4870-A56F-D329ED056E7E}"/>
    <cellStyle name="Comma 4 4 2 5 5" xfId="10974" xr:uid="{51CE6DA1-DCC4-451A-843F-E5982C43FED5}"/>
    <cellStyle name="Comma 4 4 2 6" xfId="1972" xr:uid="{00000000-0005-0000-0000-0000F2090000}"/>
    <cellStyle name="Comma 4 4 2 6 2" xfId="4201" xr:uid="{00000000-0005-0000-0000-0000F3090000}"/>
    <cellStyle name="Comma 4 4 2 6 2 2" xfId="8423" xr:uid="{00000000-0005-0000-0000-0000F4090000}"/>
    <cellStyle name="Comma 4 4 2 6 2 2 2" xfId="27048" xr:uid="{EEEA3565-DE63-405B-94AD-4937A763BFBA}"/>
    <cellStyle name="Comma 4 4 2 6 2 2 3" xfId="17749" xr:uid="{34F40EE5-B12A-4150-A58D-036CC05B983F}"/>
    <cellStyle name="Comma 4 4 2 6 2 3" xfId="22831" xr:uid="{185E705F-DCB5-4677-B500-D052DA3E64C2}"/>
    <cellStyle name="Comma 4 4 2 6 2 4" xfId="13532" xr:uid="{C90CDE2B-4D40-48B8-AF24-D23D4BD1C92D}"/>
    <cellStyle name="Comma 4 4 2 6 3" xfId="6278" xr:uid="{00000000-0005-0000-0000-0000F5090000}"/>
    <cellStyle name="Comma 4 4 2 6 3 2" xfId="24903" xr:uid="{7E9AC766-9826-4897-8546-E78B5EBF1722}"/>
    <cellStyle name="Comma 4 4 2 6 3 3" xfId="15604" xr:uid="{106D7703-5AE1-4461-ABDE-F9CF394B0C2A}"/>
    <cellStyle name="Comma 4 4 2 6 4" xfId="20686" xr:uid="{1A401976-430E-4B17-A5CB-275111E4AA53}"/>
    <cellStyle name="Comma 4 4 2 6 5" xfId="11387" xr:uid="{C111D68B-FFD2-4B8D-AAE8-0814E2B237A3}"/>
    <cellStyle name="Comma 4 4 2 7" xfId="2407" xr:uid="{00000000-0005-0000-0000-0000F6090000}"/>
    <cellStyle name="Comma 4 4 2 7 2" xfId="6691" xr:uid="{00000000-0005-0000-0000-0000F7090000}"/>
    <cellStyle name="Comma 4 4 2 7 2 2" xfId="25316" xr:uid="{11E7467B-DE94-4F3B-BA83-B4750D67F6AD}"/>
    <cellStyle name="Comma 4 4 2 7 2 3" xfId="16017" xr:uid="{C28876A0-E332-4248-BED9-BFD65B859367}"/>
    <cellStyle name="Comma 4 4 2 7 3" xfId="21099" xr:uid="{23C607BE-F8E0-415A-9B05-11E3E3913D1D}"/>
    <cellStyle name="Comma 4 4 2 7 4" xfId="11800" xr:uid="{E878AED2-EF97-4A2A-8960-CA2D6106848A}"/>
    <cellStyle name="Comma 4 4 2 8" xfId="2703" xr:uid="{00000000-0005-0000-0000-0000F8090000}"/>
    <cellStyle name="Comma 4 4 2 9" xfId="2785" xr:uid="{00000000-0005-0000-0000-0000F9090000}"/>
    <cellStyle name="Comma 4 4 2 9 2" xfId="7008" xr:uid="{00000000-0005-0000-0000-0000FA090000}"/>
    <cellStyle name="Comma 4 4 2 9 2 2" xfId="25633" xr:uid="{7DBCE51B-3292-46CA-BD48-8C227A483433}"/>
    <cellStyle name="Comma 4 4 2 9 2 3" xfId="16334" xr:uid="{7B8346C6-5B00-465B-B3B6-FD6A1329E0C2}"/>
    <cellStyle name="Comma 4 4 2 9 3" xfId="21416" xr:uid="{A6FEC978-AC86-484D-B0BC-0AF0B773437F}"/>
    <cellStyle name="Comma 4 4 2 9 4" xfId="12117" xr:uid="{40E936A3-75DA-4EFC-A283-72F9A3D2E5FD}"/>
    <cellStyle name="Comma 4 4 3" xfId="156" xr:uid="{00000000-0005-0000-0000-0000FB090000}"/>
    <cellStyle name="Comma 4 4 3 10" xfId="9011" xr:uid="{31ED03AD-AB12-49AF-9AD4-B783F0BF7322}"/>
    <cellStyle name="Comma 4 4 3 10 2" xfId="27634" xr:uid="{5758AA0A-AA48-43B9-8793-3E43C158172D}"/>
    <cellStyle name="Comma 4 4 3 10 3" xfId="18335" xr:uid="{1DAF5B15-305F-4C10-83F8-DB50B4ADCA57}"/>
    <cellStyle name="Comma 4 4 3 11" xfId="19035" xr:uid="{7BB39E68-CD98-49F4-8C74-0EB94123ACA6}"/>
    <cellStyle name="Comma 4 4 3 12" xfId="9736" xr:uid="{BE4D4B1C-A14B-40C8-8477-B14DA6AA0D4B}"/>
    <cellStyle name="Comma 4 4 3 2" xfId="693" xr:uid="{00000000-0005-0000-0000-0000FC090000}"/>
    <cellStyle name="Comma 4 4 3 2 2" xfId="2964" xr:uid="{00000000-0005-0000-0000-0000FD090000}"/>
    <cellStyle name="Comma 4 4 3 2 2 2" xfId="7186" xr:uid="{00000000-0005-0000-0000-0000FE090000}"/>
    <cellStyle name="Comma 4 4 3 2 2 2 2" xfId="25811" xr:uid="{9FC40166-2080-487A-841B-455C4C180384}"/>
    <cellStyle name="Comma 4 4 3 2 2 2 3" xfId="16512" xr:uid="{8C09F489-6A2E-40AA-B3F5-D65483E4F52C}"/>
    <cellStyle name="Comma 4 4 3 2 2 3" xfId="21594" xr:uid="{3BD2D0AD-58DE-44CE-AD58-43E3B3E87FA8}"/>
    <cellStyle name="Comma 4 4 3 2 2 4" xfId="12295" xr:uid="{6DC6E29E-A58C-4910-92A7-31ACE443AE91}"/>
    <cellStyle name="Comma 4 4 3 2 3" xfId="5041" xr:uid="{00000000-0005-0000-0000-0000FF090000}"/>
    <cellStyle name="Comma 4 4 3 2 3 2" xfId="23666" xr:uid="{21E6478F-9252-488A-BAAF-4A4EDD128B26}"/>
    <cellStyle name="Comma 4 4 3 2 3 3" xfId="14367" xr:uid="{67CC2CC1-E52A-433D-BA5A-642374B40EC3}"/>
    <cellStyle name="Comma 4 4 3 2 4" xfId="9436" xr:uid="{5B7DDC25-9095-4E8E-BD31-668F46BBD33F}"/>
    <cellStyle name="Comma 4 4 3 2 4 2" xfId="28050" xr:uid="{6C6ABCFF-FEE3-486E-BCE0-DD3E5D5BEE47}"/>
    <cellStyle name="Comma 4 4 3 2 4 3" xfId="18751" xr:uid="{6D3A11A8-DF69-4FF0-BB1F-0F0181AC54A2}"/>
    <cellStyle name="Comma 4 4 3 2 5" xfId="19449" xr:uid="{19FA6C17-F16F-4746-A5EA-65F2DDD2159F}"/>
    <cellStyle name="Comma 4 4 3 2 6" xfId="10150" xr:uid="{6632C0D9-ED07-41C9-BACC-3F6E58C97E87}"/>
    <cellStyle name="Comma 4 4 3 3" xfId="1146" xr:uid="{00000000-0005-0000-0000-0000000A0000}"/>
    <cellStyle name="Comma 4 4 3 3 2" xfId="3377" xr:uid="{00000000-0005-0000-0000-0000010A0000}"/>
    <cellStyle name="Comma 4 4 3 3 2 2" xfId="7599" xr:uid="{00000000-0005-0000-0000-0000020A0000}"/>
    <cellStyle name="Comma 4 4 3 3 2 2 2" xfId="26224" xr:uid="{C46DADD2-3132-42EF-ADB2-737AFABE0270}"/>
    <cellStyle name="Comma 4 4 3 3 2 2 3" xfId="16925" xr:uid="{112DDABE-7DCC-4EB6-AA58-A7833D0533C9}"/>
    <cellStyle name="Comma 4 4 3 3 2 3" xfId="22007" xr:uid="{2AA94345-6B4D-4464-B956-1B59DC35A40F}"/>
    <cellStyle name="Comma 4 4 3 3 2 4" xfId="12708" xr:uid="{8AD4B1BB-7544-4AA6-B605-97476200A9E0}"/>
    <cellStyle name="Comma 4 4 3 3 3" xfId="5454" xr:uid="{00000000-0005-0000-0000-0000030A0000}"/>
    <cellStyle name="Comma 4 4 3 3 3 2" xfId="24079" xr:uid="{A2B531DA-9221-45F4-A734-74FF6C4E0B10}"/>
    <cellStyle name="Comma 4 4 3 3 3 3" xfId="14780" xr:uid="{7370A45B-FF27-43CA-942F-6BD5074F647E}"/>
    <cellStyle name="Comma 4 4 3 3 4" xfId="19862" xr:uid="{DFA02FD8-B6F6-414E-AC27-A8298BE268AD}"/>
    <cellStyle name="Comma 4 4 3 3 5" xfId="10563" xr:uid="{CD359525-2C43-4597-BB86-5161D7A0E641}"/>
    <cellStyle name="Comma 4 4 3 4" xfId="1560" xr:uid="{00000000-0005-0000-0000-0000040A0000}"/>
    <cellStyle name="Comma 4 4 3 4 2" xfId="3790" xr:uid="{00000000-0005-0000-0000-0000050A0000}"/>
    <cellStyle name="Comma 4 4 3 4 2 2" xfId="8012" xr:uid="{00000000-0005-0000-0000-0000060A0000}"/>
    <cellStyle name="Comma 4 4 3 4 2 2 2" xfId="26637" xr:uid="{699ABFF1-65DA-4032-8171-A85ACB2E5F67}"/>
    <cellStyle name="Comma 4 4 3 4 2 2 3" xfId="17338" xr:uid="{C99B5F14-399F-4421-934E-E1164273711D}"/>
    <cellStyle name="Comma 4 4 3 4 2 3" xfId="22420" xr:uid="{35A4344D-8AB4-47F0-97EF-12C514861295}"/>
    <cellStyle name="Comma 4 4 3 4 2 4" xfId="13121" xr:uid="{75D291C3-A5E8-4278-9B56-A113B2F42D70}"/>
    <cellStyle name="Comma 4 4 3 4 3" xfId="5867" xr:uid="{00000000-0005-0000-0000-0000070A0000}"/>
    <cellStyle name="Comma 4 4 3 4 3 2" xfId="24492" xr:uid="{23C6A603-925B-46FC-A09A-8CD1E9C64CFF}"/>
    <cellStyle name="Comma 4 4 3 4 3 3" xfId="15193" xr:uid="{B34F2CF9-38E4-48B6-993A-E5C278F9E49E}"/>
    <cellStyle name="Comma 4 4 3 4 4" xfId="20275" xr:uid="{DCF47536-60E2-4535-AA6E-F4A67121C4AD}"/>
    <cellStyle name="Comma 4 4 3 4 5" xfId="10976" xr:uid="{BD17CE6D-71A5-4D7D-8210-C99DFAF60D9A}"/>
    <cellStyle name="Comma 4 4 3 5" xfId="1974" xr:uid="{00000000-0005-0000-0000-0000080A0000}"/>
    <cellStyle name="Comma 4 4 3 5 2" xfId="4203" xr:uid="{00000000-0005-0000-0000-0000090A0000}"/>
    <cellStyle name="Comma 4 4 3 5 2 2" xfId="8425" xr:uid="{00000000-0005-0000-0000-00000A0A0000}"/>
    <cellStyle name="Comma 4 4 3 5 2 2 2" xfId="27050" xr:uid="{2C607781-CFEC-426A-A59F-43F305D2FE9B}"/>
    <cellStyle name="Comma 4 4 3 5 2 2 3" xfId="17751" xr:uid="{D116711C-ED8B-456A-BC70-EF1F811317FE}"/>
    <cellStyle name="Comma 4 4 3 5 2 3" xfId="22833" xr:uid="{B2F58D7D-0AD6-4399-B37A-5B78EEB62DDD}"/>
    <cellStyle name="Comma 4 4 3 5 2 4" xfId="13534" xr:uid="{123292AA-9239-4B2A-BA79-CC841AFE31A4}"/>
    <cellStyle name="Comma 4 4 3 5 3" xfId="6280" xr:uid="{00000000-0005-0000-0000-00000B0A0000}"/>
    <cellStyle name="Comma 4 4 3 5 3 2" xfId="24905" xr:uid="{BF04F529-46AA-4838-B520-7931E9484D4D}"/>
    <cellStyle name="Comma 4 4 3 5 3 3" xfId="15606" xr:uid="{8A9CFF6F-BF71-4B27-8289-C2FB4FB1566E}"/>
    <cellStyle name="Comma 4 4 3 5 4" xfId="20688" xr:uid="{CE13578D-A91B-4F81-9B6E-C71794FBE392}"/>
    <cellStyle name="Comma 4 4 3 5 5" xfId="11389" xr:uid="{CC6FE98A-FF27-4C0B-AB1B-1F5B3C206A27}"/>
    <cellStyle name="Comma 4 4 3 6" xfId="2409" xr:uid="{00000000-0005-0000-0000-00000C0A0000}"/>
    <cellStyle name="Comma 4 4 3 6 2" xfId="6693" xr:uid="{00000000-0005-0000-0000-00000D0A0000}"/>
    <cellStyle name="Comma 4 4 3 6 2 2" xfId="25318" xr:uid="{5E1675DA-1495-429D-8630-40C3138E4FFF}"/>
    <cellStyle name="Comma 4 4 3 6 2 3" xfId="16019" xr:uid="{EB0ECE74-0249-43B4-8E1D-79DD88538CC4}"/>
    <cellStyle name="Comma 4 4 3 6 3" xfId="21101" xr:uid="{16ADADB7-2FEF-4263-83A5-667A4E455FCA}"/>
    <cellStyle name="Comma 4 4 3 6 4" xfId="11802" xr:uid="{BED13D7C-AFFB-4118-8235-B2DEA90BA1A5}"/>
    <cellStyle name="Comma 4 4 3 7" xfId="2705" xr:uid="{00000000-0005-0000-0000-00000E0A0000}"/>
    <cellStyle name="Comma 4 4 3 8" xfId="2787" xr:uid="{00000000-0005-0000-0000-00000F0A0000}"/>
    <cellStyle name="Comma 4 4 3 8 2" xfId="7010" xr:uid="{00000000-0005-0000-0000-0000100A0000}"/>
    <cellStyle name="Comma 4 4 3 8 2 2" xfId="25635" xr:uid="{E2B788CD-E1E2-4C60-8A67-8D3FF1D7190A}"/>
    <cellStyle name="Comma 4 4 3 8 2 3" xfId="16336" xr:uid="{299CB848-DC71-4133-9E66-5F26FDC17904}"/>
    <cellStyle name="Comma 4 4 3 8 3" xfId="21418" xr:uid="{C15815CC-A7BB-4BD9-8D7E-C292612AB9BA}"/>
    <cellStyle name="Comma 4 4 3 8 4" xfId="12119" xr:uid="{DA1F067E-381B-4588-85DE-D769DA8C047D}"/>
    <cellStyle name="Comma 4 4 3 9" xfId="4627" xr:uid="{00000000-0005-0000-0000-0000110A0000}"/>
    <cellStyle name="Comma 4 4 3 9 2" xfId="23252" xr:uid="{F711A897-D876-43B7-8B4A-CDCE54B3E5B3}"/>
    <cellStyle name="Comma 4 4 3 9 3" xfId="13953" xr:uid="{401B2BC4-A430-4649-A982-A6F3B1797FE8}"/>
    <cellStyle name="Comma 4 4 4" xfId="690" xr:uid="{00000000-0005-0000-0000-0000120A0000}"/>
    <cellStyle name="Comma 4 4 4 2" xfId="2961" xr:uid="{00000000-0005-0000-0000-0000130A0000}"/>
    <cellStyle name="Comma 4 4 4 2 2" xfId="7183" xr:uid="{00000000-0005-0000-0000-0000140A0000}"/>
    <cellStyle name="Comma 4 4 4 2 2 2" xfId="25808" xr:uid="{8C8165A3-0961-49B0-A079-2372A7B57CE3}"/>
    <cellStyle name="Comma 4 4 4 2 2 3" xfId="16509" xr:uid="{A350BD83-991E-4D2A-BF97-C93121658FE5}"/>
    <cellStyle name="Comma 4 4 4 2 3" xfId="21591" xr:uid="{5C1C564E-D333-4D7B-8A88-30A80AB5BBE0}"/>
    <cellStyle name="Comma 4 4 4 2 4" xfId="12292" xr:uid="{E865F40A-0F90-4BB2-9799-3E3D09BF9837}"/>
    <cellStyle name="Comma 4 4 4 3" xfId="5038" xr:uid="{00000000-0005-0000-0000-0000150A0000}"/>
    <cellStyle name="Comma 4 4 4 3 2" xfId="23663" xr:uid="{897002BE-2731-47C5-BFA6-57B1750D7593}"/>
    <cellStyle name="Comma 4 4 4 3 3" xfId="14364" xr:uid="{6D07B327-A50D-48EC-9F3F-A6B2D1F7EC62}"/>
    <cellStyle name="Comma 4 4 4 4" xfId="9229" xr:uid="{5D655A80-2199-4116-9BF2-7327D5827395}"/>
    <cellStyle name="Comma 4 4 4 4 2" xfId="27843" xr:uid="{FEFA2128-3291-4AD8-A1B1-0F5944488E57}"/>
    <cellStyle name="Comma 4 4 4 4 3" xfId="18544" xr:uid="{543B9BA9-99F2-44B7-9EE0-08F0AFE29821}"/>
    <cellStyle name="Comma 4 4 4 5" xfId="19446" xr:uid="{015DBF0F-8979-4713-9614-9D3B4A31BEA8}"/>
    <cellStyle name="Comma 4 4 4 6" xfId="10147" xr:uid="{8C2FFA47-F437-497D-AADE-8FEFC2C85E6D}"/>
    <cellStyle name="Comma 4 4 5" xfId="1143" xr:uid="{00000000-0005-0000-0000-0000160A0000}"/>
    <cellStyle name="Comma 4 4 5 2" xfId="3374" xr:uid="{00000000-0005-0000-0000-0000170A0000}"/>
    <cellStyle name="Comma 4 4 5 2 2" xfId="7596" xr:uid="{00000000-0005-0000-0000-0000180A0000}"/>
    <cellStyle name="Comma 4 4 5 2 2 2" xfId="26221" xr:uid="{D97A64DD-397D-4994-98DA-8E9B6E8BDBDC}"/>
    <cellStyle name="Comma 4 4 5 2 2 3" xfId="16922" xr:uid="{05D170A7-2AEE-40F3-99C2-5185ECF7DA0C}"/>
    <cellStyle name="Comma 4 4 5 2 3" xfId="22004" xr:uid="{994ED3CF-BC31-41C4-A779-36656EE0F856}"/>
    <cellStyle name="Comma 4 4 5 2 4" xfId="12705" xr:uid="{A06D3C22-8108-4826-8A05-618D92A9AC7E}"/>
    <cellStyle name="Comma 4 4 5 3" xfId="5451" xr:uid="{00000000-0005-0000-0000-0000190A0000}"/>
    <cellStyle name="Comma 4 4 5 3 2" xfId="24076" xr:uid="{FE760BA8-3094-46CC-83A7-0DDB3BAA3979}"/>
    <cellStyle name="Comma 4 4 5 3 3" xfId="14777" xr:uid="{CAF2C8BE-549B-434D-91DB-BDB16A2F46A1}"/>
    <cellStyle name="Comma 4 4 5 4" xfId="19859" xr:uid="{0F16FDA6-1250-416D-84B1-3BD38CEC7D8C}"/>
    <cellStyle name="Comma 4 4 5 5" xfId="10560" xr:uid="{1C624F04-6224-4BA0-9222-AAD65A71FF64}"/>
    <cellStyle name="Comma 4 4 6" xfId="1557" xr:uid="{00000000-0005-0000-0000-00001A0A0000}"/>
    <cellStyle name="Comma 4 4 6 2" xfId="3787" xr:uid="{00000000-0005-0000-0000-00001B0A0000}"/>
    <cellStyle name="Comma 4 4 6 2 2" xfId="8009" xr:uid="{00000000-0005-0000-0000-00001C0A0000}"/>
    <cellStyle name="Comma 4 4 6 2 2 2" xfId="26634" xr:uid="{FC42EB72-EE78-42F4-83B6-108C0FBC8AAF}"/>
    <cellStyle name="Comma 4 4 6 2 2 3" xfId="17335" xr:uid="{2B96FB74-1295-4291-B7D1-3BE3247A0AD1}"/>
    <cellStyle name="Comma 4 4 6 2 3" xfId="22417" xr:uid="{D9496ABE-6F9C-45FB-8FAA-62CCB55A5AAE}"/>
    <cellStyle name="Comma 4 4 6 2 4" xfId="13118" xr:uid="{489DC6FE-AA69-469A-BFE9-2DA167B1A730}"/>
    <cellStyle name="Comma 4 4 6 3" xfId="5864" xr:uid="{00000000-0005-0000-0000-00001D0A0000}"/>
    <cellStyle name="Comma 4 4 6 3 2" xfId="24489" xr:uid="{4208872C-A8DE-4EE8-B255-65CEFD025E66}"/>
    <cellStyle name="Comma 4 4 6 3 3" xfId="15190" xr:uid="{4E5ED4C5-303A-464A-83E5-8ED782B35275}"/>
    <cellStyle name="Comma 4 4 6 4" xfId="20272" xr:uid="{BF4AB0EC-EBE0-4D77-B785-222BAD7DD52A}"/>
    <cellStyle name="Comma 4 4 6 5" xfId="10973" xr:uid="{CF11C2A7-7A8E-4498-9A0C-6866FBF8FF1A}"/>
    <cellStyle name="Comma 4 4 7" xfId="1971" xr:uid="{00000000-0005-0000-0000-00001E0A0000}"/>
    <cellStyle name="Comma 4 4 7 2" xfId="4200" xr:uid="{00000000-0005-0000-0000-00001F0A0000}"/>
    <cellStyle name="Comma 4 4 7 2 2" xfId="8422" xr:uid="{00000000-0005-0000-0000-0000200A0000}"/>
    <cellStyle name="Comma 4 4 7 2 2 2" xfId="27047" xr:uid="{BBADCBE8-7359-4DE3-A3BC-A8D7E377D386}"/>
    <cellStyle name="Comma 4 4 7 2 2 3" xfId="17748" xr:uid="{A5B173F9-482B-4B1A-AF46-2A275E42B1E1}"/>
    <cellStyle name="Comma 4 4 7 2 3" xfId="22830" xr:uid="{78C1181F-593B-49C0-8092-063F686C1D93}"/>
    <cellStyle name="Comma 4 4 7 2 4" xfId="13531" xr:uid="{7A37A8F2-A77D-410D-BF5B-BC7AD97786F8}"/>
    <cellStyle name="Comma 4 4 7 3" xfId="6277" xr:uid="{00000000-0005-0000-0000-0000210A0000}"/>
    <cellStyle name="Comma 4 4 7 3 2" xfId="24902" xr:uid="{311FFA76-AAB4-4287-A735-98CEC092A49C}"/>
    <cellStyle name="Comma 4 4 7 3 3" xfId="15603" xr:uid="{DDC53530-1438-49A6-8DF4-1FCEEF93993D}"/>
    <cellStyle name="Comma 4 4 7 4" xfId="20685" xr:uid="{B6888838-5715-4048-810C-83E4A24BAD33}"/>
    <cellStyle name="Comma 4 4 7 5" xfId="11386" xr:uid="{1CE16C7A-7D15-451A-A74A-86D91CFC6BBA}"/>
    <cellStyle name="Comma 4 4 8" xfId="2406" xr:uid="{00000000-0005-0000-0000-0000220A0000}"/>
    <cellStyle name="Comma 4 4 8 2" xfId="6690" xr:uid="{00000000-0005-0000-0000-0000230A0000}"/>
    <cellStyle name="Comma 4 4 8 2 2" xfId="25315" xr:uid="{81E83468-E57A-485B-A901-697EC0F285C4}"/>
    <cellStyle name="Comma 4 4 8 2 3" xfId="16016" xr:uid="{938B0356-01D3-41D3-AEF2-E36CBC56BF3A}"/>
    <cellStyle name="Comma 4 4 8 3" xfId="21098" xr:uid="{88891E14-DAF7-47AD-BEF8-792B208B4029}"/>
    <cellStyle name="Comma 4 4 8 4" xfId="11799" xr:uid="{C22F1BEF-64DB-4C36-8B7E-D8C3F11B700C}"/>
    <cellStyle name="Comma 4 4 9" xfId="2702" xr:uid="{00000000-0005-0000-0000-0000240A0000}"/>
    <cellStyle name="Comma 4 5" xfId="157" xr:uid="{00000000-0005-0000-0000-0000250A0000}"/>
    <cellStyle name="Comma 4 5 10" xfId="4628" xr:uid="{00000000-0005-0000-0000-0000260A0000}"/>
    <cellStyle name="Comma 4 5 10 2" xfId="23253" xr:uid="{0B1E4341-C7DE-41AF-B59D-BFA766C1D573}"/>
    <cellStyle name="Comma 4 5 10 3" xfId="13954" xr:uid="{E356D6D9-385A-4C7B-9F9E-E4D4FD2E5617}"/>
    <cellStyle name="Comma 4 5 11" xfId="8849" xr:uid="{344CCE08-63E3-41E8-B38A-00347480820F}"/>
    <cellStyle name="Comma 4 5 11 2" xfId="27472" xr:uid="{3EFBE330-19F6-48DC-AD6A-E20DFCFC3C5E}"/>
    <cellStyle name="Comma 4 5 11 3" xfId="18173" xr:uid="{C62DEFDD-B5F6-4607-958D-203B49D94193}"/>
    <cellStyle name="Comma 4 5 12" xfId="19036" xr:uid="{9F3E3121-7434-499A-87FC-1A1A455C2124}"/>
    <cellStyle name="Comma 4 5 13" xfId="9737" xr:uid="{226A9F4F-3B4B-463A-B643-47F719BF8A8F}"/>
    <cellStyle name="Comma 4 5 2" xfId="158" xr:uid="{00000000-0005-0000-0000-0000270A0000}"/>
    <cellStyle name="Comma 4 5 2 10" xfId="9056" xr:uid="{C7C2153B-7EAA-4A13-9C28-1151ACD100A8}"/>
    <cellStyle name="Comma 4 5 2 10 2" xfId="27679" xr:uid="{FBD3EAD5-9E62-4335-997E-F7FA8523137C}"/>
    <cellStyle name="Comma 4 5 2 10 3" xfId="18380" xr:uid="{6EF30D1D-1AAE-4F1D-B374-2FF0D08AEB8C}"/>
    <cellStyle name="Comma 4 5 2 11" xfId="19037" xr:uid="{F2CEC846-61A4-45C2-8C03-4101BCD1AA5F}"/>
    <cellStyle name="Comma 4 5 2 12" xfId="9738" xr:uid="{AB4C9209-831E-4B8A-8034-4901DA354E4A}"/>
    <cellStyle name="Comma 4 5 2 2" xfId="695" xr:uid="{00000000-0005-0000-0000-0000280A0000}"/>
    <cellStyle name="Comma 4 5 2 2 2" xfId="2966" xr:uid="{00000000-0005-0000-0000-0000290A0000}"/>
    <cellStyle name="Comma 4 5 2 2 2 2" xfId="7188" xr:uid="{00000000-0005-0000-0000-00002A0A0000}"/>
    <cellStyle name="Comma 4 5 2 2 2 2 2" xfId="25813" xr:uid="{2CF76164-C7E4-4481-917F-560725B519EF}"/>
    <cellStyle name="Comma 4 5 2 2 2 2 3" xfId="16514" xr:uid="{9215B75A-13E8-4795-A63F-8D5AEA3C1301}"/>
    <cellStyle name="Comma 4 5 2 2 2 3" xfId="21596" xr:uid="{656CE76F-09B5-416F-B460-682246C13F42}"/>
    <cellStyle name="Comma 4 5 2 2 2 4" xfId="12297" xr:uid="{98ECDCFB-2D35-475C-A175-755B5A1DACDD}"/>
    <cellStyle name="Comma 4 5 2 2 3" xfId="5043" xr:uid="{00000000-0005-0000-0000-00002B0A0000}"/>
    <cellStyle name="Comma 4 5 2 2 3 2" xfId="23668" xr:uid="{68AE2F70-A1D6-45BE-AE76-7D3DF0E0CA09}"/>
    <cellStyle name="Comma 4 5 2 2 3 3" xfId="14369" xr:uid="{89B5DBEB-2528-4793-A766-2EBAE33A9663}"/>
    <cellStyle name="Comma 4 5 2 2 4" xfId="9481" xr:uid="{47C88F6D-21B1-4457-908C-FFAB8FF83BD1}"/>
    <cellStyle name="Comma 4 5 2 2 4 2" xfId="28095" xr:uid="{2D88E0DC-F87E-4887-981B-C2C8A48383BF}"/>
    <cellStyle name="Comma 4 5 2 2 4 3" xfId="18796" xr:uid="{834D4FF5-59BA-4FEE-8E99-98EC00AEAB09}"/>
    <cellStyle name="Comma 4 5 2 2 5" xfId="19451" xr:uid="{38A6F5EA-AEB3-45DF-A7A3-2FBF0567106C}"/>
    <cellStyle name="Comma 4 5 2 2 6" xfId="10152" xr:uid="{F02A65E3-24F3-43D0-B5E1-B8942619F63B}"/>
    <cellStyle name="Comma 4 5 2 3" xfId="1148" xr:uid="{00000000-0005-0000-0000-00002C0A0000}"/>
    <cellStyle name="Comma 4 5 2 3 2" xfId="3379" xr:uid="{00000000-0005-0000-0000-00002D0A0000}"/>
    <cellStyle name="Comma 4 5 2 3 2 2" xfId="7601" xr:uid="{00000000-0005-0000-0000-00002E0A0000}"/>
    <cellStyle name="Comma 4 5 2 3 2 2 2" xfId="26226" xr:uid="{BF45BF58-D746-47DA-9CA6-28F6AE52731A}"/>
    <cellStyle name="Comma 4 5 2 3 2 2 3" xfId="16927" xr:uid="{F077F905-B035-428C-88E3-C52790575ADE}"/>
    <cellStyle name="Comma 4 5 2 3 2 3" xfId="22009" xr:uid="{2E3D8259-0599-473F-852C-8AE34E3E387E}"/>
    <cellStyle name="Comma 4 5 2 3 2 4" xfId="12710" xr:uid="{5AD0BE43-930A-4F1E-8C2D-DF556422847B}"/>
    <cellStyle name="Comma 4 5 2 3 3" xfId="5456" xr:uid="{00000000-0005-0000-0000-00002F0A0000}"/>
    <cellStyle name="Comma 4 5 2 3 3 2" xfId="24081" xr:uid="{86D2ACD8-9F3B-448A-9D67-82E2D9D7844C}"/>
    <cellStyle name="Comma 4 5 2 3 3 3" xfId="14782" xr:uid="{A543343B-A2CF-4FB2-B977-996138088663}"/>
    <cellStyle name="Comma 4 5 2 3 4" xfId="19864" xr:uid="{5A2F9C64-B0FC-44AE-ABF3-0E93CADA2BD1}"/>
    <cellStyle name="Comma 4 5 2 3 5" xfId="10565" xr:uid="{58642A1B-3BF1-40F7-BCA5-F2DBAF4DED58}"/>
    <cellStyle name="Comma 4 5 2 4" xfId="1562" xr:uid="{00000000-0005-0000-0000-0000300A0000}"/>
    <cellStyle name="Comma 4 5 2 4 2" xfId="3792" xr:uid="{00000000-0005-0000-0000-0000310A0000}"/>
    <cellStyle name="Comma 4 5 2 4 2 2" xfId="8014" xr:uid="{00000000-0005-0000-0000-0000320A0000}"/>
    <cellStyle name="Comma 4 5 2 4 2 2 2" xfId="26639" xr:uid="{C9C4F7EB-720B-47DB-AF6C-A9E7758ADA57}"/>
    <cellStyle name="Comma 4 5 2 4 2 2 3" xfId="17340" xr:uid="{0BBCBD0B-1E61-446C-8391-9F38A012CF21}"/>
    <cellStyle name="Comma 4 5 2 4 2 3" xfId="22422" xr:uid="{E08F9DDE-3F8A-405E-97D9-04B870EA6B89}"/>
    <cellStyle name="Comma 4 5 2 4 2 4" xfId="13123" xr:uid="{A6957551-FE45-4B26-92B7-4087A417E62A}"/>
    <cellStyle name="Comma 4 5 2 4 3" xfId="5869" xr:uid="{00000000-0005-0000-0000-0000330A0000}"/>
    <cellStyle name="Comma 4 5 2 4 3 2" xfId="24494" xr:uid="{9FF59BA4-7661-44BD-8135-D52A5EC7CFEB}"/>
    <cellStyle name="Comma 4 5 2 4 3 3" xfId="15195" xr:uid="{755404B4-3F83-4AE0-A6C0-DFB5ED086B38}"/>
    <cellStyle name="Comma 4 5 2 4 4" xfId="20277" xr:uid="{D24F6953-CA2B-4950-8EB4-FD1ACEF9049D}"/>
    <cellStyle name="Comma 4 5 2 4 5" xfId="10978" xr:uid="{B0435895-86EF-484F-815A-E8FD27381A9D}"/>
    <cellStyle name="Comma 4 5 2 5" xfId="1976" xr:uid="{00000000-0005-0000-0000-0000340A0000}"/>
    <cellStyle name="Comma 4 5 2 5 2" xfId="4205" xr:uid="{00000000-0005-0000-0000-0000350A0000}"/>
    <cellStyle name="Comma 4 5 2 5 2 2" xfId="8427" xr:uid="{00000000-0005-0000-0000-0000360A0000}"/>
    <cellStyle name="Comma 4 5 2 5 2 2 2" xfId="27052" xr:uid="{86122031-9CE8-4BB2-8EFF-26C3B9B0184B}"/>
    <cellStyle name="Comma 4 5 2 5 2 2 3" xfId="17753" xr:uid="{BE804DEE-DB6B-41AF-B246-1D1C40FAE4D8}"/>
    <cellStyle name="Comma 4 5 2 5 2 3" xfId="22835" xr:uid="{24713B8C-98A4-40E7-B820-5E4FC184E3A4}"/>
    <cellStyle name="Comma 4 5 2 5 2 4" xfId="13536" xr:uid="{B3275F6A-6EC1-496D-91F6-00D613206B07}"/>
    <cellStyle name="Comma 4 5 2 5 3" xfId="6282" xr:uid="{00000000-0005-0000-0000-0000370A0000}"/>
    <cellStyle name="Comma 4 5 2 5 3 2" xfId="24907" xr:uid="{F9E7C098-A511-4097-8C97-05B79793A7E2}"/>
    <cellStyle name="Comma 4 5 2 5 3 3" xfId="15608" xr:uid="{EA13D45E-5D93-4C35-BC65-C84730F4082B}"/>
    <cellStyle name="Comma 4 5 2 5 4" xfId="20690" xr:uid="{7999CEE1-8AFA-48C5-B4D6-D173387D3139}"/>
    <cellStyle name="Comma 4 5 2 5 5" xfId="11391" xr:uid="{B987E22A-A53D-4D68-90DA-CCA11DB92316}"/>
    <cellStyle name="Comma 4 5 2 6" xfId="2411" xr:uid="{00000000-0005-0000-0000-0000380A0000}"/>
    <cellStyle name="Comma 4 5 2 6 2" xfId="6695" xr:uid="{00000000-0005-0000-0000-0000390A0000}"/>
    <cellStyle name="Comma 4 5 2 6 2 2" xfId="25320" xr:uid="{DDAD0614-D186-4769-9AAF-17A1C43DFF09}"/>
    <cellStyle name="Comma 4 5 2 6 2 3" xfId="16021" xr:uid="{B758E3A0-75AE-4F40-BD38-D430F7881CD5}"/>
    <cellStyle name="Comma 4 5 2 6 3" xfId="21103" xr:uid="{F8871147-761A-4BF8-B1E1-2041B60CB365}"/>
    <cellStyle name="Comma 4 5 2 6 4" xfId="11804" xr:uid="{2A422538-C54F-4BB2-A7FD-E2523697EB2C}"/>
    <cellStyle name="Comma 4 5 2 7" xfId="2707" xr:uid="{00000000-0005-0000-0000-00003A0A0000}"/>
    <cellStyle name="Comma 4 5 2 8" xfId="2789" xr:uid="{00000000-0005-0000-0000-00003B0A0000}"/>
    <cellStyle name="Comma 4 5 2 8 2" xfId="7012" xr:uid="{00000000-0005-0000-0000-00003C0A0000}"/>
    <cellStyle name="Comma 4 5 2 8 2 2" xfId="25637" xr:uid="{6C990DF9-AFBA-40D9-BB9D-E1DB0BCAF9D1}"/>
    <cellStyle name="Comma 4 5 2 8 2 3" xfId="16338" xr:uid="{4565DB08-64BF-41B5-84FE-226C08DABDFB}"/>
    <cellStyle name="Comma 4 5 2 8 3" xfId="21420" xr:uid="{56B61B16-56C1-4387-8099-9CBEBDE075A9}"/>
    <cellStyle name="Comma 4 5 2 8 4" xfId="12121" xr:uid="{672D2DFC-3BD0-447C-8A23-41A288EA7753}"/>
    <cellStyle name="Comma 4 5 2 9" xfId="4629" xr:uid="{00000000-0005-0000-0000-00003D0A0000}"/>
    <cellStyle name="Comma 4 5 2 9 2" xfId="23254" xr:uid="{876D14D6-EEC9-4817-960A-F6E88CB68301}"/>
    <cellStyle name="Comma 4 5 2 9 3" xfId="13955" xr:uid="{E7629233-3A8B-4F3B-8FEC-7E10DC2FAA7B}"/>
    <cellStyle name="Comma 4 5 3" xfId="694" xr:uid="{00000000-0005-0000-0000-00003E0A0000}"/>
    <cellStyle name="Comma 4 5 3 2" xfId="2965" xr:uid="{00000000-0005-0000-0000-00003F0A0000}"/>
    <cellStyle name="Comma 4 5 3 2 2" xfId="7187" xr:uid="{00000000-0005-0000-0000-0000400A0000}"/>
    <cellStyle name="Comma 4 5 3 2 2 2" xfId="25812" xr:uid="{0620116E-0F9A-404D-8DA1-EBED3B01AE3B}"/>
    <cellStyle name="Comma 4 5 3 2 2 3" xfId="16513" xr:uid="{76119640-1A78-46AE-9F51-0C57C72D4CE0}"/>
    <cellStyle name="Comma 4 5 3 2 3" xfId="21595" xr:uid="{4D31238E-6D38-4934-9113-281219C30CE7}"/>
    <cellStyle name="Comma 4 5 3 2 4" xfId="12296" xr:uid="{96B5CD45-ECCE-470F-9F56-5A93DFB8B014}"/>
    <cellStyle name="Comma 4 5 3 3" xfId="5042" xr:uid="{00000000-0005-0000-0000-0000410A0000}"/>
    <cellStyle name="Comma 4 5 3 3 2" xfId="23667" xr:uid="{7105D566-053A-45E2-9CE7-6E70EB4EE74B}"/>
    <cellStyle name="Comma 4 5 3 3 3" xfId="14368" xr:uid="{C401B9BC-BB0E-49B3-9277-7A4DE580836A}"/>
    <cellStyle name="Comma 4 5 3 4" xfId="9274" xr:uid="{04AC3EF2-4A78-4DC5-BAB4-87936023C7E5}"/>
    <cellStyle name="Comma 4 5 3 4 2" xfId="27888" xr:uid="{FB3BD783-33F1-4BBB-B581-447E0215669F}"/>
    <cellStyle name="Comma 4 5 3 4 3" xfId="18589" xr:uid="{DB4CB437-8830-4855-BA61-40DBE4EF22A2}"/>
    <cellStyle name="Comma 4 5 3 5" xfId="19450" xr:uid="{37F5E9C3-384E-449B-9159-1981E97F75DC}"/>
    <cellStyle name="Comma 4 5 3 6" xfId="10151" xr:uid="{7516B1C2-C896-4203-995D-8552BCEB775E}"/>
    <cellStyle name="Comma 4 5 4" xfId="1147" xr:uid="{00000000-0005-0000-0000-0000420A0000}"/>
    <cellStyle name="Comma 4 5 4 2" xfId="3378" xr:uid="{00000000-0005-0000-0000-0000430A0000}"/>
    <cellStyle name="Comma 4 5 4 2 2" xfId="7600" xr:uid="{00000000-0005-0000-0000-0000440A0000}"/>
    <cellStyle name="Comma 4 5 4 2 2 2" xfId="26225" xr:uid="{B32C177F-ACF2-49E4-A977-017DEC263122}"/>
    <cellStyle name="Comma 4 5 4 2 2 3" xfId="16926" xr:uid="{431CB635-0C61-49CD-AB0C-2DE4B95BE59E}"/>
    <cellStyle name="Comma 4 5 4 2 3" xfId="22008" xr:uid="{DFFE02A4-CD3F-4D92-B8E1-5CAA1A25E4EA}"/>
    <cellStyle name="Comma 4 5 4 2 4" xfId="12709" xr:uid="{32A2562B-CCEC-4612-B818-AE7593581BEF}"/>
    <cellStyle name="Comma 4 5 4 3" xfId="5455" xr:uid="{00000000-0005-0000-0000-0000450A0000}"/>
    <cellStyle name="Comma 4 5 4 3 2" xfId="24080" xr:uid="{D836995B-97B6-4814-9EA5-5A38962C4E76}"/>
    <cellStyle name="Comma 4 5 4 3 3" xfId="14781" xr:uid="{66F478AA-FC04-4CE0-9CF2-E282E59FBF46}"/>
    <cellStyle name="Comma 4 5 4 4" xfId="19863" xr:uid="{AB0EF41A-4345-48A1-8548-14F1623E4C43}"/>
    <cellStyle name="Comma 4 5 4 5" xfId="10564" xr:uid="{E7A8D5B3-F537-4018-8D5D-380F443C3C85}"/>
    <cellStyle name="Comma 4 5 5" xfId="1561" xr:uid="{00000000-0005-0000-0000-0000460A0000}"/>
    <cellStyle name="Comma 4 5 5 2" xfId="3791" xr:uid="{00000000-0005-0000-0000-0000470A0000}"/>
    <cellStyle name="Comma 4 5 5 2 2" xfId="8013" xr:uid="{00000000-0005-0000-0000-0000480A0000}"/>
    <cellStyle name="Comma 4 5 5 2 2 2" xfId="26638" xr:uid="{D3BB8A0E-D166-4275-ACA1-D6381F046D80}"/>
    <cellStyle name="Comma 4 5 5 2 2 3" xfId="17339" xr:uid="{9E510591-E7E8-44C4-B34B-6D87C3F705DF}"/>
    <cellStyle name="Comma 4 5 5 2 3" xfId="22421" xr:uid="{5C426A10-668C-4CB1-8B9C-98A700C79D8D}"/>
    <cellStyle name="Comma 4 5 5 2 4" xfId="13122" xr:uid="{CBCA2BFC-A4B7-4BD6-854B-0785A7E7C32C}"/>
    <cellStyle name="Comma 4 5 5 3" xfId="5868" xr:uid="{00000000-0005-0000-0000-0000490A0000}"/>
    <cellStyle name="Comma 4 5 5 3 2" xfId="24493" xr:uid="{55916CAA-1215-4791-AF6E-117E99DA8BF8}"/>
    <cellStyle name="Comma 4 5 5 3 3" xfId="15194" xr:uid="{8F66CB2A-79D8-4D6A-9343-87FE5C9AF793}"/>
    <cellStyle name="Comma 4 5 5 4" xfId="20276" xr:uid="{CF3E9BD3-4A2C-46B6-BAFF-478EC0F6013B}"/>
    <cellStyle name="Comma 4 5 5 5" xfId="10977" xr:uid="{4E4C832C-60ED-4FF5-A950-75CD95BCCE06}"/>
    <cellStyle name="Comma 4 5 6" xfId="1975" xr:uid="{00000000-0005-0000-0000-00004A0A0000}"/>
    <cellStyle name="Comma 4 5 6 2" xfId="4204" xr:uid="{00000000-0005-0000-0000-00004B0A0000}"/>
    <cellStyle name="Comma 4 5 6 2 2" xfId="8426" xr:uid="{00000000-0005-0000-0000-00004C0A0000}"/>
    <cellStyle name="Comma 4 5 6 2 2 2" xfId="27051" xr:uid="{C0F70DDD-B4D3-47B4-8DF6-4F7A454953BA}"/>
    <cellStyle name="Comma 4 5 6 2 2 3" xfId="17752" xr:uid="{6BCF282F-E67F-4993-9BC5-7E6337D173B6}"/>
    <cellStyle name="Comma 4 5 6 2 3" xfId="22834" xr:uid="{EC3B125A-FCAC-460D-940A-920CD88523A0}"/>
    <cellStyle name="Comma 4 5 6 2 4" xfId="13535" xr:uid="{39FF6AE6-6727-4D3D-A721-BAACCAB5C560}"/>
    <cellStyle name="Comma 4 5 6 3" xfId="6281" xr:uid="{00000000-0005-0000-0000-00004D0A0000}"/>
    <cellStyle name="Comma 4 5 6 3 2" xfId="24906" xr:uid="{56A86BEF-F9C1-4602-8856-0CB1A1E65D0F}"/>
    <cellStyle name="Comma 4 5 6 3 3" xfId="15607" xr:uid="{F3084204-B6B7-418B-95C9-1A858E14E176}"/>
    <cellStyle name="Comma 4 5 6 4" xfId="20689" xr:uid="{A51038C7-825B-4DC4-9EAB-7F2277FDE066}"/>
    <cellStyle name="Comma 4 5 6 5" xfId="11390" xr:uid="{6EF10F00-2435-4536-9EB3-5F374345E8DC}"/>
    <cellStyle name="Comma 4 5 7" xfId="2410" xr:uid="{00000000-0005-0000-0000-00004E0A0000}"/>
    <cellStyle name="Comma 4 5 7 2" xfId="6694" xr:uid="{00000000-0005-0000-0000-00004F0A0000}"/>
    <cellStyle name="Comma 4 5 7 2 2" xfId="25319" xr:uid="{F1D72B55-31C0-4546-9111-376ECD2ADCFA}"/>
    <cellStyle name="Comma 4 5 7 2 3" xfId="16020" xr:uid="{58B0AA81-747E-4ADA-8139-96800B8E272F}"/>
    <cellStyle name="Comma 4 5 7 3" xfId="21102" xr:uid="{D8BFE9B0-64EC-44BC-B4B6-DBE86980E635}"/>
    <cellStyle name="Comma 4 5 7 4" xfId="11803" xr:uid="{E7A775BA-CB8D-4C9C-ADB4-14D18D427507}"/>
    <cellStyle name="Comma 4 5 8" xfId="2706" xr:uid="{00000000-0005-0000-0000-0000500A0000}"/>
    <cellStyle name="Comma 4 5 9" xfId="2788" xr:uid="{00000000-0005-0000-0000-0000510A0000}"/>
    <cellStyle name="Comma 4 5 9 2" xfId="7011" xr:uid="{00000000-0005-0000-0000-0000520A0000}"/>
    <cellStyle name="Comma 4 5 9 2 2" xfId="25636" xr:uid="{CE16C951-1B4C-46CA-A71F-B4EC91FCFF1F}"/>
    <cellStyle name="Comma 4 5 9 2 3" xfId="16337" xr:uid="{6ADF8827-4026-46F6-B322-16D012B0282B}"/>
    <cellStyle name="Comma 4 5 9 3" xfId="21419" xr:uid="{BE8FC582-36DB-4D7E-A3FF-D17AD308DC46}"/>
    <cellStyle name="Comma 4 5 9 4" xfId="12120" xr:uid="{1B3F296B-6647-4851-B1C4-5107AEA10E58}"/>
    <cellStyle name="Comma 4 6" xfId="159" xr:uid="{00000000-0005-0000-0000-0000530A0000}"/>
    <cellStyle name="Comma 4 6 10" xfId="8965" xr:uid="{FDA33E7D-96B8-46F2-87D8-5CB6C30A4CC6}"/>
    <cellStyle name="Comma 4 6 10 2" xfId="27588" xr:uid="{8E1227CF-2B4F-4962-B7BA-19B0BD6F9E47}"/>
    <cellStyle name="Comma 4 6 10 3" xfId="18289" xr:uid="{09320766-E0ED-450D-889E-E1DEE5177763}"/>
    <cellStyle name="Comma 4 6 11" xfId="19038" xr:uid="{550A859E-A093-48AF-9956-765F25BC100A}"/>
    <cellStyle name="Comma 4 6 12" xfId="9739" xr:uid="{9315FAFD-FA59-4305-B349-DED466399085}"/>
    <cellStyle name="Comma 4 6 2" xfId="696" xr:uid="{00000000-0005-0000-0000-0000540A0000}"/>
    <cellStyle name="Comma 4 6 2 2" xfId="2967" xr:uid="{00000000-0005-0000-0000-0000550A0000}"/>
    <cellStyle name="Comma 4 6 2 2 2" xfId="7189" xr:uid="{00000000-0005-0000-0000-0000560A0000}"/>
    <cellStyle name="Comma 4 6 2 2 2 2" xfId="25814" xr:uid="{41569EB3-F02A-4253-B05B-502F5C114175}"/>
    <cellStyle name="Comma 4 6 2 2 2 3" xfId="16515" xr:uid="{29D44E47-A3BE-4A5E-8DC5-5156B8328057}"/>
    <cellStyle name="Comma 4 6 2 2 3" xfId="21597" xr:uid="{874F7AF6-6BB2-4852-94F1-AE5B841A6B44}"/>
    <cellStyle name="Comma 4 6 2 2 4" xfId="12298" xr:uid="{AC511D9C-7AB2-4E7C-9661-84BE12B38A1C}"/>
    <cellStyle name="Comma 4 6 2 3" xfId="5044" xr:uid="{00000000-0005-0000-0000-0000570A0000}"/>
    <cellStyle name="Comma 4 6 2 3 2" xfId="23669" xr:uid="{C6C02850-7EBB-47B8-A4C1-4C3CCEC49B21}"/>
    <cellStyle name="Comma 4 6 2 3 3" xfId="14370" xr:uid="{5BF27923-36CC-49BD-949B-B08A524AC168}"/>
    <cellStyle name="Comma 4 6 2 4" xfId="9390" xr:uid="{F8012948-A58F-476A-B4CF-A63C8F36D5B6}"/>
    <cellStyle name="Comma 4 6 2 4 2" xfId="28004" xr:uid="{2D3214D6-6CD2-4AE8-9A30-62D8DF827380}"/>
    <cellStyle name="Comma 4 6 2 4 3" xfId="18705" xr:uid="{BB8A73B9-61B1-4E74-9704-F22920F08F20}"/>
    <cellStyle name="Comma 4 6 2 5" xfId="19452" xr:uid="{44005773-226F-4953-A7BE-6A2B5862F167}"/>
    <cellStyle name="Comma 4 6 2 6" xfId="10153" xr:uid="{D8BF6F5D-3785-4D11-B9BD-48FC59EE233F}"/>
    <cellStyle name="Comma 4 6 3" xfId="1149" xr:uid="{00000000-0005-0000-0000-0000580A0000}"/>
    <cellStyle name="Comma 4 6 3 2" xfId="3380" xr:uid="{00000000-0005-0000-0000-0000590A0000}"/>
    <cellStyle name="Comma 4 6 3 2 2" xfId="7602" xr:uid="{00000000-0005-0000-0000-00005A0A0000}"/>
    <cellStyle name="Comma 4 6 3 2 2 2" xfId="26227" xr:uid="{74277BCA-A183-4713-8FDA-630ED2EA9AEC}"/>
    <cellStyle name="Comma 4 6 3 2 2 3" xfId="16928" xr:uid="{BA926FFA-9621-4201-BE97-D0A7D2AF78E0}"/>
    <cellStyle name="Comma 4 6 3 2 3" xfId="22010" xr:uid="{8AF2C79B-6411-408E-B094-574B909CCEBD}"/>
    <cellStyle name="Comma 4 6 3 2 4" xfId="12711" xr:uid="{93305A1A-4B49-424C-9F84-2B35CB150210}"/>
    <cellStyle name="Comma 4 6 3 3" xfId="5457" xr:uid="{00000000-0005-0000-0000-00005B0A0000}"/>
    <cellStyle name="Comma 4 6 3 3 2" xfId="24082" xr:uid="{476FB83F-F78E-44B0-819C-CA25FD54A31F}"/>
    <cellStyle name="Comma 4 6 3 3 3" xfId="14783" xr:uid="{FC1898A2-1350-46FB-8861-C8626E60E1AE}"/>
    <cellStyle name="Comma 4 6 3 4" xfId="19865" xr:uid="{E4352DB7-EAE2-44AB-8B2F-C14F99518D12}"/>
    <cellStyle name="Comma 4 6 3 5" xfId="10566" xr:uid="{BF761862-1F5C-4917-A7B1-5B838DE5F31D}"/>
    <cellStyle name="Comma 4 6 4" xfId="1563" xr:uid="{00000000-0005-0000-0000-00005C0A0000}"/>
    <cellStyle name="Comma 4 6 4 2" xfId="3793" xr:uid="{00000000-0005-0000-0000-00005D0A0000}"/>
    <cellStyle name="Comma 4 6 4 2 2" xfId="8015" xr:uid="{00000000-0005-0000-0000-00005E0A0000}"/>
    <cellStyle name="Comma 4 6 4 2 2 2" xfId="26640" xr:uid="{2F13B398-35DD-4A47-AF60-15182C1B560C}"/>
    <cellStyle name="Comma 4 6 4 2 2 3" xfId="17341" xr:uid="{D21D5AC4-71BD-402B-AAE9-F8D4076FB5DC}"/>
    <cellStyle name="Comma 4 6 4 2 3" xfId="22423" xr:uid="{AF945B8E-3B2A-4DCD-924C-7BBFB3B9F956}"/>
    <cellStyle name="Comma 4 6 4 2 4" xfId="13124" xr:uid="{9B0E3CED-A9F9-4278-AB81-F15A5B403F6C}"/>
    <cellStyle name="Comma 4 6 4 3" xfId="5870" xr:uid="{00000000-0005-0000-0000-00005F0A0000}"/>
    <cellStyle name="Comma 4 6 4 3 2" xfId="24495" xr:uid="{368B0753-06F0-4B67-8ECB-D23DDDE0957C}"/>
    <cellStyle name="Comma 4 6 4 3 3" xfId="15196" xr:uid="{A859C8C2-89ED-44AD-92E8-FA48BD2F660D}"/>
    <cellStyle name="Comma 4 6 4 4" xfId="20278" xr:uid="{B24B25B0-0348-48E9-A3B8-65A6A23C7986}"/>
    <cellStyle name="Comma 4 6 4 5" xfId="10979" xr:uid="{A886D82E-57D3-444F-B313-DEF7DDCA82EA}"/>
    <cellStyle name="Comma 4 6 5" xfId="1977" xr:uid="{00000000-0005-0000-0000-0000600A0000}"/>
    <cellStyle name="Comma 4 6 5 2" xfId="4206" xr:uid="{00000000-0005-0000-0000-0000610A0000}"/>
    <cellStyle name="Comma 4 6 5 2 2" xfId="8428" xr:uid="{00000000-0005-0000-0000-0000620A0000}"/>
    <cellStyle name="Comma 4 6 5 2 2 2" xfId="27053" xr:uid="{D2FB47E2-55E6-4187-A893-BFA37C8D9B78}"/>
    <cellStyle name="Comma 4 6 5 2 2 3" xfId="17754" xr:uid="{6FE33A37-F33A-4D10-B74C-063E8FCB8D04}"/>
    <cellStyle name="Comma 4 6 5 2 3" xfId="22836" xr:uid="{19309C6A-65B3-44D3-8E1A-647AABEF22E7}"/>
    <cellStyle name="Comma 4 6 5 2 4" xfId="13537" xr:uid="{3D9CED06-93E8-4D1D-9562-11F7C5404B36}"/>
    <cellStyle name="Comma 4 6 5 3" xfId="6283" xr:uid="{00000000-0005-0000-0000-0000630A0000}"/>
    <cellStyle name="Comma 4 6 5 3 2" xfId="24908" xr:uid="{B2DEEB27-9C71-454F-9252-A9CCCC465D81}"/>
    <cellStyle name="Comma 4 6 5 3 3" xfId="15609" xr:uid="{01824027-E216-46E4-A97B-107072DF5AE4}"/>
    <cellStyle name="Comma 4 6 5 4" xfId="20691" xr:uid="{BE22F966-BCAC-4830-BA18-5296733571F4}"/>
    <cellStyle name="Comma 4 6 5 5" xfId="11392" xr:uid="{E01AC13A-7F28-491A-BB31-EDC0E7D69FFB}"/>
    <cellStyle name="Comma 4 6 6" xfId="2412" xr:uid="{00000000-0005-0000-0000-0000640A0000}"/>
    <cellStyle name="Comma 4 6 6 2" xfId="6696" xr:uid="{00000000-0005-0000-0000-0000650A0000}"/>
    <cellStyle name="Comma 4 6 6 2 2" xfId="25321" xr:uid="{DAC1F253-07E9-40D4-9205-1938EF0CC487}"/>
    <cellStyle name="Comma 4 6 6 2 3" xfId="16022" xr:uid="{BF63A196-3746-4281-AF83-A13BD567EFCD}"/>
    <cellStyle name="Comma 4 6 6 3" xfId="21104" xr:uid="{55BA1AA3-6D2C-4E13-A7E0-D2578E157236}"/>
    <cellStyle name="Comma 4 6 6 4" xfId="11805" xr:uid="{6C9581FA-1CCB-4FF3-A645-5B109CF70A6F}"/>
    <cellStyle name="Comma 4 6 7" xfId="2708" xr:uid="{00000000-0005-0000-0000-0000660A0000}"/>
    <cellStyle name="Comma 4 6 8" xfId="2790" xr:uid="{00000000-0005-0000-0000-0000670A0000}"/>
    <cellStyle name="Comma 4 6 8 2" xfId="7013" xr:uid="{00000000-0005-0000-0000-0000680A0000}"/>
    <cellStyle name="Comma 4 6 8 2 2" xfId="25638" xr:uid="{B35625A1-336A-41D1-80F6-09FB8E806FC1}"/>
    <cellStyle name="Comma 4 6 8 2 3" xfId="16339" xr:uid="{6A889881-C2D0-409D-8905-6706DF353E6B}"/>
    <cellStyle name="Comma 4 6 8 3" xfId="21421" xr:uid="{4AC6FDC0-F3F7-4DA7-9684-CE1CDF9B2D38}"/>
    <cellStyle name="Comma 4 6 8 4" xfId="12122" xr:uid="{D9EEE438-E340-45F0-B81D-6F0199BB78B2}"/>
    <cellStyle name="Comma 4 6 9" xfId="4630" xr:uid="{00000000-0005-0000-0000-0000690A0000}"/>
    <cellStyle name="Comma 4 6 9 2" xfId="23255" xr:uid="{537EF02E-3D55-439D-9EAA-436916DFE4B9}"/>
    <cellStyle name="Comma 4 6 9 3" xfId="13956" xr:uid="{CF617C3C-E0F9-4CE2-B4F7-25C3FB656987}"/>
    <cellStyle name="Comma 4 7" xfId="160" xr:uid="{00000000-0005-0000-0000-00006A0A0000}"/>
    <cellStyle name="Comma 4 7 10" xfId="9168" xr:uid="{C5EF0C72-87BD-43A9-8A23-92F9D9423F50}"/>
    <cellStyle name="Comma 4 7 10 2" xfId="27785" xr:uid="{6CA66DE6-ABBC-4EAB-AB2D-F0FB7290CDDB}"/>
    <cellStyle name="Comma 4 7 10 3" xfId="18486" xr:uid="{8C431785-103A-4308-BAF2-C7BF58FA831E}"/>
    <cellStyle name="Comma 4 7 11" xfId="19039" xr:uid="{C8FABE41-E6D4-44DE-9FA2-19915CB70D46}"/>
    <cellStyle name="Comma 4 7 12" xfId="9740" xr:uid="{223931E7-19FB-4F34-8307-5D103A09C2CC}"/>
    <cellStyle name="Comma 4 7 2" xfId="697" xr:uid="{00000000-0005-0000-0000-00006B0A0000}"/>
    <cellStyle name="Comma 4 7 2 2" xfId="2968" xr:uid="{00000000-0005-0000-0000-00006C0A0000}"/>
    <cellStyle name="Comma 4 7 2 2 2" xfId="7190" xr:uid="{00000000-0005-0000-0000-00006D0A0000}"/>
    <cellStyle name="Comma 4 7 2 2 2 2" xfId="25815" xr:uid="{69F228E7-EF8F-4354-A53C-309EB50B6F94}"/>
    <cellStyle name="Comma 4 7 2 2 2 3" xfId="16516" xr:uid="{0ACF5C5B-455E-4515-B84E-C279B518BFC0}"/>
    <cellStyle name="Comma 4 7 2 2 3" xfId="21598" xr:uid="{56597C3E-A660-41FC-80EA-1BD9BA1868CD}"/>
    <cellStyle name="Comma 4 7 2 2 4" xfId="12299" xr:uid="{A9CDBAA0-08F3-4460-95F6-F2BC469CFC05}"/>
    <cellStyle name="Comma 4 7 2 3" xfId="5045" xr:uid="{00000000-0005-0000-0000-00006E0A0000}"/>
    <cellStyle name="Comma 4 7 2 3 2" xfId="23670" xr:uid="{78FC7687-7096-4A71-990B-09171F679779}"/>
    <cellStyle name="Comma 4 7 2 3 3" xfId="14371" xr:uid="{4B100188-1D68-4367-8360-C62292E3816E}"/>
    <cellStyle name="Comma 4 7 2 4" xfId="9596" xr:uid="{F4A1C070-02C1-4F2A-89F2-15465D9BEBB2}"/>
    <cellStyle name="Comma 4 7 2 4 2" xfId="28199" xr:uid="{CCAA14B8-8C9C-48C0-8743-43497357A285}"/>
    <cellStyle name="Comma 4 7 2 4 3" xfId="18900" xr:uid="{9082F9DA-9578-4F42-9069-E19C57F6920D}"/>
    <cellStyle name="Comma 4 7 2 5" xfId="19453" xr:uid="{CD856F31-1906-4003-8C34-4BD58D037B63}"/>
    <cellStyle name="Comma 4 7 2 6" xfId="10154" xr:uid="{9079898D-0B3B-4695-8FE7-5F92DE5594F5}"/>
    <cellStyle name="Comma 4 7 3" xfId="1150" xr:uid="{00000000-0005-0000-0000-00006F0A0000}"/>
    <cellStyle name="Comma 4 7 3 2" xfId="3381" xr:uid="{00000000-0005-0000-0000-0000700A0000}"/>
    <cellStyle name="Comma 4 7 3 2 2" xfId="7603" xr:uid="{00000000-0005-0000-0000-0000710A0000}"/>
    <cellStyle name="Comma 4 7 3 2 2 2" xfId="26228" xr:uid="{B38C958B-A442-40E4-9218-136857ADE6FB}"/>
    <cellStyle name="Comma 4 7 3 2 2 3" xfId="16929" xr:uid="{13213650-2537-4859-87B5-B2C8EE267E36}"/>
    <cellStyle name="Comma 4 7 3 2 3" xfId="22011" xr:uid="{0EEDB1B7-FC35-4FE2-AE24-A1F4CD6BFDE0}"/>
    <cellStyle name="Comma 4 7 3 2 4" xfId="12712" xr:uid="{9A6D08F9-B4DD-462D-9054-DBCB58E50C15}"/>
    <cellStyle name="Comma 4 7 3 3" xfId="5458" xr:uid="{00000000-0005-0000-0000-0000720A0000}"/>
    <cellStyle name="Comma 4 7 3 3 2" xfId="24083" xr:uid="{F3DCC46C-37F3-48DB-9414-FC5648D79C54}"/>
    <cellStyle name="Comma 4 7 3 3 3" xfId="14784" xr:uid="{F8934893-F336-4DB9-AA3B-65B8E451F831}"/>
    <cellStyle name="Comma 4 7 3 4" xfId="19866" xr:uid="{7EB13121-7E50-4414-BC6B-AF1DC6BCF586}"/>
    <cellStyle name="Comma 4 7 3 5" xfId="10567" xr:uid="{67BFC00F-0850-4A19-9FDF-4E93276A5DEA}"/>
    <cellStyle name="Comma 4 7 4" xfId="1564" xr:uid="{00000000-0005-0000-0000-0000730A0000}"/>
    <cellStyle name="Comma 4 7 4 2" xfId="3794" xr:uid="{00000000-0005-0000-0000-0000740A0000}"/>
    <cellStyle name="Comma 4 7 4 2 2" xfId="8016" xr:uid="{00000000-0005-0000-0000-0000750A0000}"/>
    <cellStyle name="Comma 4 7 4 2 2 2" xfId="26641" xr:uid="{FB4A78D6-7878-4F4B-BAC6-0F7B3AE43629}"/>
    <cellStyle name="Comma 4 7 4 2 2 3" xfId="17342" xr:uid="{C3CBD6CC-4DA2-4CD6-994A-1960B5623CFA}"/>
    <cellStyle name="Comma 4 7 4 2 3" xfId="22424" xr:uid="{D0CA9C1C-F50F-455A-B8A8-C0ABF788C5AB}"/>
    <cellStyle name="Comma 4 7 4 2 4" xfId="13125" xr:uid="{9799CCEB-3B36-46BB-9CAB-1EA6609F1EEA}"/>
    <cellStyle name="Comma 4 7 4 3" xfId="5871" xr:uid="{00000000-0005-0000-0000-0000760A0000}"/>
    <cellStyle name="Comma 4 7 4 3 2" xfId="24496" xr:uid="{9928621B-2EEB-4A76-9D5C-B319B0802E52}"/>
    <cellStyle name="Comma 4 7 4 3 3" xfId="15197" xr:uid="{3EC2D7E3-1881-4D18-A10A-BF4B5B611CB8}"/>
    <cellStyle name="Comma 4 7 4 4" xfId="20279" xr:uid="{0F02A975-305C-44C1-B280-0AEAA69CA902}"/>
    <cellStyle name="Comma 4 7 4 5" xfId="10980" xr:uid="{00D927BA-DA10-413C-A661-F7EB918AFA25}"/>
    <cellStyle name="Comma 4 7 5" xfId="1978" xr:uid="{00000000-0005-0000-0000-0000770A0000}"/>
    <cellStyle name="Comma 4 7 5 2" xfId="4207" xr:uid="{00000000-0005-0000-0000-0000780A0000}"/>
    <cellStyle name="Comma 4 7 5 2 2" xfId="8429" xr:uid="{00000000-0005-0000-0000-0000790A0000}"/>
    <cellStyle name="Comma 4 7 5 2 2 2" xfId="27054" xr:uid="{A3AA0B9B-8A9D-4012-A112-4A127001F223}"/>
    <cellStyle name="Comma 4 7 5 2 2 3" xfId="17755" xr:uid="{350239EF-ED07-4867-85F4-8A6FA29E1780}"/>
    <cellStyle name="Comma 4 7 5 2 3" xfId="22837" xr:uid="{2869B6C0-0E47-4A6C-B927-F3BD595EBAC8}"/>
    <cellStyle name="Comma 4 7 5 2 4" xfId="13538" xr:uid="{0C3474B3-A700-4CFE-A77B-1A55A66D67B5}"/>
    <cellStyle name="Comma 4 7 5 3" xfId="6284" xr:uid="{00000000-0005-0000-0000-00007A0A0000}"/>
    <cellStyle name="Comma 4 7 5 3 2" xfId="24909" xr:uid="{156F77FB-E9E9-48CC-9AE7-3234BBE102E1}"/>
    <cellStyle name="Comma 4 7 5 3 3" xfId="15610" xr:uid="{FD4B8660-8812-418A-9F85-29A526ABB574}"/>
    <cellStyle name="Comma 4 7 5 4" xfId="20692" xr:uid="{94655C79-4A11-402D-B648-C6A7021B2E6D}"/>
    <cellStyle name="Comma 4 7 5 5" xfId="11393" xr:uid="{00918F57-6551-49D3-9C8A-D0D33F6F1BB1}"/>
    <cellStyle name="Comma 4 7 6" xfId="2413" xr:uid="{00000000-0005-0000-0000-00007B0A0000}"/>
    <cellStyle name="Comma 4 7 6 2" xfId="6697" xr:uid="{00000000-0005-0000-0000-00007C0A0000}"/>
    <cellStyle name="Comma 4 7 6 2 2" xfId="25322" xr:uid="{3B8A5FC7-1F9D-4DC5-88B5-3F7160FD078C}"/>
    <cellStyle name="Comma 4 7 6 2 3" xfId="16023" xr:uid="{CC576E21-2C38-4696-8AA6-1AB167875E51}"/>
    <cellStyle name="Comma 4 7 6 3" xfId="21105" xr:uid="{866CADD0-F18E-4F07-9E82-F33470D0FE14}"/>
    <cellStyle name="Comma 4 7 6 4" xfId="11806" xr:uid="{504625AC-196C-465D-AE1D-B6D2749924AA}"/>
    <cellStyle name="Comma 4 7 7" xfId="2709" xr:uid="{00000000-0005-0000-0000-00007D0A0000}"/>
    <cellStyle name="Comma 4 7 8" xfId="2791" xr:uid="{00000000-0005-0000-0000-00007E0A0000}"/>
    <cellStyle name="Comma 4 7 8 2" xfId="7014" xr:uid="{00000000-0005-0000-0000-00007F0A0000}"/>
    <cellStyle name="Comma 4 7 8 2 2" xfId="25639" xr:uid="{3B0FFB3A-5CE9-455A-960C-DE1F47611A20}"/>
    <cellStyle name="Comma 4 7 8 2 3" xfId="16340" xr:uid="{2AC86822-9345-4928-83DC-B6F2941012CB}"/>
    <cellStyle name="Comma 4 7 8 3" xfId="21422" xr:uid="{3CC969C2-9A16-47F2-9077-6C3C48C92E47}"/>
    <cellStyle name="Comma 4 7 8 4" xfId="12123" xr:uid="{F5E962C2-3351-49DD-8AD7-78CE5B151CDA}"/>
    <cellStyle name="Comma 4 7 9" xfId="4631" xr:uid="{00000000-0005-0000-0000-0000800A0000}"/>
    <cellStyle name="Comma 4 7 9 2" xfId="23256" xr:uid="{F2D375AD-90A6-40EA-BE14-186C774383B8}"/>
    <cellStyle name="Comma 4 7 9 3" xfId="13957" xr:uid="{491B493F-F5A5-4161-BCCB-64C15C0AA998}"/>
    <cellStyle name="Comma 4 8" xfId="9193" xr:uid="{D2F7B7D5-1187-4B94-96D8-1D61B28E4E34}"/>
    <cellStyle name="Comma 4 9" xfId="8746" xr:uid="{EB6F8E1D-15EE-4A1C-A7FF-36C2A43F5A26}"/>
    <cellStyle name="Comma 4 9 2" xfId="27369" xr:uid="{E326208D-B7D2-4E17-BDFD-B5E1FD689B37}"/>
    <cellStyle name="Comma 4 9 3" xfId="18070" xr:uid="{17247524-25AE-4CF6-AB6C-F6F43B39F4F3}"/>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2 2" xfId="28194" xr:uid="{E930CB96-D186-40A2-8961-EF91DCDA4845}"/>
    <cellStyle name="Comma 7 2 3" xfId="18895" xr:uid="{930E6E02-E3D2-4B06-BF49-E6013A6BC7B0}"/>
    <cellStyle name="Comma 7 3" xfId="9589" xr:uid="{E5FB568C-33F4-49EE-BE6E-4022B43BCBB9}"/>
    <cellStyle name="Comma 7 4" xfId="23124" xr:uid="{F019E79E-9BA5-4B6E-8EAA-969487776705}"/>
    <cellStyle name="Comma 7 5" xfId="13825" xr:uid="{78BC4885-02AE-4F7B-AD8A-F59F827CEB2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2 2" xfId="27341" xr:uid="{45F9471A-4B12-4D34-90F5-B8C4065E1282}"/>
    <cellStyle name="Currency 14 2 3" xfId="18042" xr:uid="{222F558E-7C75-40D9-905D-B6CFF8F88F95}"/>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14 3 2 2 2 2 2 2" xfId="27360" xr:uid="{61180D4F-CC4C-4FCD-805A-00B6ADE47698}"/>
    <cellStyle name="Currency 14 3 2 2 2 2 2 3" xfId="18061" xr:uid="{5BD20841-B818-40DA-8A10-69759430AB52}"/>
    <cellStyle name="Currency 14 3 2 2 2 2 3" xfId="27357" xr:uid="{86221886-CE79-4456-90AD-8A6FF822BA4D}"/>
    <cellStyle name="Currency 14 3 2 2 2 2 4" xfId="18058" xr:uid="{840CCB11-79ED-47D5-A0E7-54CC1D43F24B}"/>
    <cellStyle name="Currency 14 3 2 2 2 3" xfId="27354" xr:uid="{A5DB1722-1799-463B-A78C-6A547CD13320}"/>
    <cellStyle name="Currency 14 3 2 2 2 4" xfId="18055" xr:uid="{DDC69A06-BEB6-4CD6-BB4C-F0EC179B4D69}"/>
    <cellStyle name="Currency 14 3 2 2 3" xfId="27350" xr:uid="{FC00280B-C2D2-4BD8-A911-397BC3BBBD8A}"/>
    <cellStyle name="Currency 14 3 2 2 4" xfId="18051" xr:uid="{19A1C8F5-A6C2-4C70-936A-9869ABC9B12A}"/>
    <cellStyle name="Currency 14 3 2 3" xfId="27347" xr:uid="{B247B7B3-022E-4514-952F-77BA7082863D}"/>
    <cellStyle name="Currency 14 3 2 4" xfId="18048" xr:uid="{86031DB1-2D88-4CD3-B298-14901BA7B73B}"/>
    <cellStyle name="Currency 14 3 3" xfId="27344" xr:uid="{52461A02-63CA-435B-962C-1AEE098D4D44}"/>
    <cellStyle name="Currency 14 3 4" xfId="18045" xr:uid="{6DB2FA99-091B-4639-9D80-AD483D34938C}"/>
    <cellStyle name="Currency 14 4" xfId="23127" xr:uid="{A9E57F22-55CE-4C34-A655-AB41E14CB6A2}"/>
    <cellStyle name="Currency 14 5" xfId="13828" xr:uid="{8F9FA8C1-E3AA-489D-8602-7C4F88EEBCE2}"/>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0 2 2" xfId="25640" xr:uid="{4CEA92E0-A3D3-42D8-A47C-E1ACD022E479}"/>
    <cellStyle name="Currency 3 2 2 10 2 3" xfId="16341" xr:uid="{EB97BCBE-FC48-4F5D-B0FE-9BBF34BD8B53}"/>
    <cellStyle name="Currency 3 2 2 10 3" xfId="21423" xr:uid="{151946B3-CB7C-4A3F-8328-F67D65559508}"/>
    <cellStyle name="Currency 3 2 2 10 4" xfId="12124" xr:uid="{09357DAF-C2D9-4C51-8E49-FB6FB0751786}"/>
    <cellStyle name="Currency 3 2 2 11" xfId="4632" xr:uid="{00000000-0005-0000-0000-0000A50A0000}"/>
    <cellStyle name="Currency 3 2 2 11 2" xfId="23257" xr:uid="{D94587D8-1001-4B92-B795-542160277B4E}"/>
    <cellStyle name="Currency 3 2 2 11 3" xfId="13958" xr:uid="{0CB7E137-88F2-4B7C-AD2B-B1960DB346C5}"/>
    <cellStyle name="Currency 3 2 2 12" xfId="8808" xr:uid="{5CD24693-181E-456A-9199-DC057509AC96}"/>
    <cellStyle name="Currency 3 2 2 12 2" xfId="27431" xr:uid="{5EBF4870-5869-425A-934E-4553A278AE6C}"/>
    <cellStyle name="Currency 3 2 2 12 3" xfId="18132" xr:uid="{C41EB0C5-BE96-4705-A340-54A0CFDF8EAE}"/>
    <cellStyle name="Currency 3 2 2 13" xfId="19040" xr:uid="{2545A3A5-E4BC-4480-B745-E14A99D88E21}"/>
    <cellStyle name="Currency 3 2 2 14" xfId="9741" xr:uid="{175DA1CD-BDE1-47E8-A708-226C9F5CE627}"/>
    <cellStyle name="Currency 3 2 2 2" xfId="179" xr:uid="{00000000-0005-0000-0000-0000A60A0000}"/>
    <cellStyle name="Currency 3 2 2 2 10" xfId="4633" xr:uid="{00000000-0005-0000-0000-0000A70A0000}"/>
    <cellStyle name="Currency 3 2 2 2 10 2" xfId="23258" xr:uid="{3FC3FF06-022A-4E2F-A997-560920DEA168}"/>
    <cellStyle name="Currency 3 2 2 2 10 3" xfId="13959" xr:uid="{B5C9E646-7C88-4F5C-AAAA-396899C5701F}"/>
    <cellStyle name="Currency 3 2 2 2 11" xfId="8911" xr:uid="{177A45F7-B130-49DA-829A-AA3BF41B848C}"/>
    <cellStyle name="Currency 3 2 2 2 11 2" xfId="27534" xr:uid="{3F7F7B3C-0F3A-4518-927E-D21CEC791342}"/>
    <cellStyle name="Currency 3 2 2 2 11 3" xfId="18235" xr:uid="{B08662AE-3614-431C-A020-FD01CD21F0AD}"/>
    <cellStyle name="Currency 3 2 2 2 12" xfId="19041" xr:uid="{B7DDE81A-358F-48A1-84F3-3880D8AC34F1}"/>
    <cellStyle name="Currency 3 2 2 2 13" xfId="9742" xr:uid="{86A61B4A-397A-4FDA-8F21-BA3755A291E8}"/>
    <cellStyle name="Currency 3 2 2 2 2" xfId="180" xr:uid="{00000000-0005-0000-0000-0000A80A0000}"/>
    <cellStyle name="Currency 3 2 2 2 2 10" xfId="9118" xr:uid="{4DDBDF88-B997-49F5-AF34-322CC93508E5}"/>
    <cellStyle name="Currency 3 2 2 2 2 10 2" xfId="27741" xr:uid="{90C6560A-2168-43F6-9A57-F37B4D4A8EB7}"/>
    <cellStyle name="Currency 3 2 2 2 2 10 3" xfId="18442" xr:uid="{AAC68F20-B534-4262-9DF1-6AC312268F3C}"/>
    <cellStyle name="Currency 3 2 2 2 2 11" xfId="19042" xr:uid="{2E2B9CFB-71C8-4982-B69C-2CD3DA186F44}"/>
    <cellStyle name="Currency 3 2 2 2 2 12" xfId="9743" xr:uid="{0BEB9E0B-3E56-4A22-9086-D92445A66448}"/>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2 2 2" xfId="25818" xr:uid="{68872596-22AB-4F3E-B535-B9EED281DEAE}"/>
    <cellStyle name="Currency 3 2 2 2 2 2 2 2 3" xfId="16519" xr:uid="{49CDA6F3-1A16-4E4F-842A-09DFE2A5E4D3}"/>
    <cellStyle name="Currency 3 2 2 2 2 2 2 3" xfId="21601" xr:uid="{AEE9458D-1854-4E07-9A95-08A108D94C28}"/>
    <cellStyle name="Currency 3 2 2 2 2 2 2 4" xfId="12302" xr:uid="{8644E4EC-94BA-400E-BA14-0F329CB22D33}"/>
    <cellStyle name="Currency 3 2 2 2 2 2 3" xfId="5048" xr:uid="{00000000-0005-0000-0000-0000AC0A0000}"/>
    <cellStyle name="Currency 3 2 2 2 2 2 3 2" xfId="23673" xr:uid="{DEB86415-B795-47CD-9C56-B698D4B2C0DA}"/>
    <cellStyle name="Currency 3 2 2 2 2 2 3 3" xfId="14374" xr:uid="{1D6B2EB1-28AD-4F9D-B680-7019E2020BE1}"/>
    <cellStyle name="Currency 3 2 2 2 2 2 4" xfId="9543" xr:uid="{08990697-BAC1-4B06-A86B-C554A35267E6}"/>
    <cellStyle name="Currency 3 2 2 2 2 2 4 2" xfId="28157" xr:uid="{462EFEEF-055A-45B3-B507-5BDEC4F0E25B}"/>
    <cellStyle name="Currency 3 2 2 2 2 2 4 3" xfId="18858" xr:uid="{3BA3B9AB-F597-434A-AFE7-606B2AF8A081}"/>
    <cellStyle name="Currency 3 2 2 2 2 2 5" xfId="19456" xr:uid="{796452A9-8EEF-451D-AF50-D64F7D6150D1}"/>
    <cellStyle name="Currency 3 2 2 2 2 2 6" xfId="10157" xr:uid="{D22D9EF3-81A4-46F8-BB48-1706BAA050D5}"/>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2 2 2" xfId="26231" xr:uid="{B820C91C-6C53-4FAD-8D1F-1C76B7C29CC3}"/>
    <cellStyle name="Currency 3 2 2 2 2 3 2 2 3" xfId="16932" xr:uid="{D5A383DD-0332-4B38-AF96-3E0848FA4A8C}"/>
    <cellStyle name="Currency 3 2 2 2 2 3 2 3" xfId="22014" xr:uid="{F2DE135C-4FB6-46CE-9116-2167825E96DF}"/>
    <cellStyle name="Currency 3 2 2 2 2 3 2 4" xfId="12715" xr:uid="{9EA03AAF-5850-4585-8263-8CB23706A1CD}"/>
    <cellStyle name="Currency 3 2 2 2 2 3 3" xfId="5461" xr:uid="{00000000-0005-0000-0000-0000B00A0000}"/>
    <cellStyle name="Currency 3 2 2 2 2 3 3 2" xfId="24086" xr:uid="{905D6DB3-5D2A-4020-8EC3-248D1D0379CD}"/>
    <cellStyle name="Currency 3 2 2 2 2 3 3 3" xfId="14787" xr:uid="{326A7137-0FF7-4C09-B5FE-538530ED1685}"/>
    <cellStyle name="Currency 3 2 2 2 2 3 4" xfId="19869" xr:uid="{5EF11943-613B-4532-A70E-BD06ED7453C9}"/>
    <cellStyle name="Currency 3 2 2 2 2 3 5" xfId="10570" xr:uid="{31B0C247-1EBF-41C7-8F5D-E922B663E134}"/>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2 2 2" xfId="26644" xr:uid="{8EDE7E1E-2CB2-428A-8F46-DB934DD5BB86}"/>
    <cellStyle name="Currency 3 2 2 2 2 4 2 2 3" xfId="17345" xr:uid="{728448CB-7D5D-4196-A28E-E1BF3E6961D6}"/>
    <cellStyle name="Currency 3 2 2 2 2 4 2 3" xfId="22427" xr:uid="{74E8096A-DA75-4A9F-AD6F-63A73DF3BC1A}"/>
    <cellStyle name="Currency 3 2 2 2 2 4 2 4" xfId="13128" xr:uid="{19DFF09D-6B3A-4A8E-8880-953E0032F534}"/>
    <cellStyle name="Currency 3 2 2 2 2 4 3" xfId="5874" xr:uid="{00000000-0005-0000-0000-0000B40A0000}"/>
    <cellStyle name="Currency 3 2 2 2 2 4 3 2" xfId="24499" xr:uid="{F91417B4-2919-4C34-AFFD-C0D04BE74C65}"/>
    <cellStyle name="Currency 3 2 2 2 2 4 3 3" xfId="15200" xr:uid="{AA1AD244-24E0-4EC9-90F6-54F36838CABB}"/>
    <cellStyle name="Currency 3 2 2 2 2 4 4" xfId="20282" xr:uid="{62D67063-D9E5-4C2B-A07F-FCD5D1E3B6D9}"/>
    <cellStyle name="Currency 3 2 2 2 2 4 5" xfId="10983" xr:uid="{A724F0BD-0E98-4A21-AE21-66E5FB8FB858}"/>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2 2 2" xfId="27057" xr:uid="{212770CB-711D-4AE5-8F31-6437F1BB33E3}"/>
    <cellStyle name="Currency 3 2 2 2 2 5 2 2 3" xfId="17758" xr:uid="{72CA4E63-BD9B-414E-ABD2-6935FECA541E}"/>
    <cellStyle name="Currency 3 2 2 2 2 5 2 3" xfId="22840" xr:uid="{B12CE8D4-30FA-4A21-A028-26CD92E98320}"/>
    <cellStyle name="Currency 3 2 2 2 2 5 2 4" xfId="13541" xr:uid="{1324ADAA-9CAC-435B-8332-ABAA0087683F}"/>
    <cellStyle name="Currency 3 2 2 2 2 5 3" xfId="6287" xr:uid="{00000000-0005-0000-0000-0000B80A0000}"/>
    <cellStyle name="Currency 3 2 2 2 2 5 3 2" xfId="24912" xr:uid="{2CF5A194-236B-4F48-B1EA-80AFA48E2ACE}"/>
    <cellStyle name="Currency 3 2 2 2 2 5 3 3" xfId="15613" xr:uid="{F816EE4F-A7FE-47D1-88E0-ADED1F25C2F6}"/>
    <cellStyle name="Currency 3 2 2 2 2 5 4" xfId="20695" xr:uid="{D8658C23-5AF4-44B8-8007-2A0CC5DA2D96}"/>
    <cellStyle name="Currency 3 2 2 2 2 5 5" xfId="11396" xr:uid="{9A6FED2C-7755-464F-BCA6-DC7BA6D03530}"/>
    <cellStyle name="Currency 3 2 2 2 2 6" xfId="2416" xr:uid="{00000000-0005-0000-0000-0000B90A0000}"/>
    <cellStyle name="Currency 3 2 2 2 2 6 2" xfId="6700" xr:uid="{00000000-0005-0000-0000-0000BA0A0000}"/>
    <cellStyle name="Currency 3 2 2 2 2 6 2 2" xfId="25325" xr:uid="{7B4409B3-A9F5-453E-84D3-9936EACD44DA}"/>
    <cellStyle name="Currency 3 2 2 2 2 6 2 3" xfId="16026" xr:uid="{56412CAB-D135-4666-B19D-E3DA0ADA0BF9}"/>
    <cellStyle name="Currency 3 2 2 2 2 6 3" xfId="21108" xr:uid="{8550F7F9-BA98-4F0E-9697-A0D7775D667B}"/>
    <cellStyle name="Currency 3 2 2 2 2 6 4" xfId="11809" xr:uid="{60BDA80C-5E18-4CC3-AAD5-81736E6B7E97}"/>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8 2 2" xfId="25642" xr:uid="{1B6D6C41-799D-4B83-B367-6F9260D9EE2C}"/>
    <cellStyle name="Currency 3 2 2 2 2 8 2 3" xfId="16343" xr:uid="{3704A9F3-71A2-427D-BE3D-AA315D020673}"/>
    <cellStyle name="Currency 3 2 2 2 2 8 3" xfId="21425" xr:uid="{29D65683-598F-4A66-B5D9-00C2EB128445}"/>
    <cellStyle name="Currency 3 2 2 2 2 8 4" xfId="12126" xr:uid="{73972011-000F-4BF8-95E7-03C3AEA81CE1}"/>
    <cellStyle name="Currency 3 2 2 2 2 9" xfId="4634" xr:uid="{00000000-0005-0000-0000-0000BE0A0000}"/>
    <cellStyle name="Currency 3 2 2 2 2 9 2" xfId="23259" xr:uid="{969B21B4-FC90-4118-87D0-B7ABA2D3642F}"/>
    <cellStyle name="Currency 3 2 2 2 2 9 3" xfId="13960" xr:uid="{9C938E49-65B3-4C21-9550-23C69F18A7F8}"/>
    <cellStyle name="Currency 3 2 2 2 3" xfId="709" xr:uid="{00000000-0005-0000-0000-0000BF0A0000}"/>
    <cellStyle name="Currency 3 2 2 2 3 2" xfId="2970" xr:uid="{00000000-0005-0000-0000-0000C00A0000}"/>
    <cellStyle name="Currency 3 2 2 2 3 2 2" xfId="7192" xr:uid="{00000000-0005-0000-0000-0000C10A0000}"/>
    <cellStyle name="Currency 3 2 2 2 3 2 2 2" xfId="25817" xr:uid="{6EE44117-017A-4A68-B451-886BA263675C}"/>
    <cellStyle name="Currency 3 2 2 2 3 2 2 3" xfId="16518" xr:uid="{3CD3AC15-1FBF-4475-889C-E1FA81990D4B}"/>
    <cellStyle name="Currency 3 2 2 2 3 2 3" xfId="21600" xr:uid="{3D63CCAD-3F52-482E-B15F-D7FB139D2868}"/>
    <cellStyle name="Currency 3 2 2 2 3 2 4" xfId="12301" xr:uid="{699F300C-DFF3-4AB0-A5B8-028507BF7427}"/>
    <cellStyle name="Currency 3 2 2 2 3 3" xfId="5047" xr:uid="{00000000-0005-0000-0000-0000C20A0000}"/>
    <cellStyle name="Currency 3 2 2 2 3 3 2" xfId="23672" xr:uid="{2878B620-36DF-4A53-929B-C98B3078F24E}"/>
    <cellStyle name="Currency 3 2 2 2 3 3 3" xfId="14373" xr:uid="{98736022-36DE-4BF8-83EB-602D9FF9C70C}"/>
    <cellStyle name="Currency 3 2 2 2 3 4" xfId="9336" xr:uid="{F86D5454-A503-484B-B8F3-81FF219E49D0}"/>
    <cellStyle name="Currency 3 2 2 2 3 4 2" xfId="27950" xr:uid="{87BE98FE-E93D-4945-8DA4-2D0655E46A9B}"/>
    <cellStyle name="Currency 3 2 2 2 3 4 3" xfId="18651" xr:uid="{5D56E0C3-C762-498F-855C-3620B00EE124}"/>
    <cellStyle name="Currency 3 2 2 2 3 5" xfId="19455" xr:uid="{58382FB9-D7C5-472A-A9A9-D126DEF80D7E}"/>
    <cellStyle name="Currency 3 2 2 2 3 6" xfId="10156" xr:uid="{1B084734-CBC7-465E-8191-A71657C6BAB9}"/>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2 2 2" xfId="26230" xr:uid="{D941E239-6140-4714-97B7-FF83592CEB33}"/>
    <cellStyle name="Currency 3 2 2 2 4 2 2 3" xfId="16931" xr:uid="{119FD0E3-2EBE-4956-8DE0-D5A6B63DC9A9}"/>
    <cellStyle name="Currency 3 2 2 2 4 2 3" xfId="22013" xr:uid="{A84E52CF-7F5B-48B1-8AC4-7CC1423235B6}"/>
    <cellStyle name="Currency 3 2 2 2 4 2 4" xfId="12714" xr:uid="{9B2FF534-7403-4782-A22B-C0D592C01946}"/>
    <cellStyle name="Currency 3 2 2 2 4 3" xfId="5460" xr:uid="{00000000-0005-0000-0000-0000C60A0000}"/>
    <cellStyle name="Currency 3 2 2 2 4 3 2" xfId="24085" xr:uid="{A4E96C26-48C2-4C85-B926-2469735A357E}"/>
    <cellStyle name="Currency 3 2 2 2 4 3 3" xfId="14786" xr:uid="{20C90474-0B59-42E9-B998-9CD1C1D7E250}"/>
    <cellStyle name="Currency 3 2 2 2 4 4" xfId="19868" xr:uid="{D01023CD-EA4D-4CB3-9EFD-AE3531F8F9C5}"/>
    <cellStyle name="Currency 3 2 2 2 4 5" xfId="10569" xr:uid="{75A0E726-2558-4A16-AE2E-E7510A696D3B}"/>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2 2 2" xfId="26643" xr:uid="{121CCD3A-FAA6-4D35-949B-F7189D746F43}"/>
    <cellStyle name="Currency 3 2 2 2 5 2 2 3" xfId="17344" xr:uid="{83A03B10-92AA-4F8A-A9FE-3F05F05F26EB}"/>
    <cellStyle name="Currency 3 2 2 2 5 2 3" xfId="22426" xr:uid="{54B0C220-B373-448A-AC29-2F53228E7909}"/>
    <cellStyle name="Currency 3 2 2 2 5 2 4" xfId="13127" xr:uid="{7DD66858-C7C8-422E-BC4F-C8E79C6207CC}"/>
    <cellStyle name="Currency 3 2 2 2 5 3" xfId="5873" xr:uid="{00000000-0005-0000-0000-0000CA0A0000}"/>
    <cellStyle name="Currency 3 2 2 2 5 3 2" xfId="24498" xr:uid="{EDAA680A-01B5-4464-8A1D-B67AFEB46FD4}"/>
    <cellStyle name="Currency 3 2 2 2 5 3 3" xfId="15199" xr:uid="{BB709B27-2A94-4915-8434-A52B84DB455B}"/>
    <cellStyle name="Currency 3 2 2 2 5 4" xfId="20281" xr:uid="{8682960B-E6C5-4790-9267-4295148350E9}"/>
    <cellStyle name="Currency 3 2 2 2 5 5" xfId="10982" xr:uid="{8E540A91-D5B4-4DB7-8C40-E0888FAA3244}"/>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2 2 2" xfId="27056" xr:uid="{8197BBBF-E7A1-459A-9081-50E68C32FE42}"/>
    <cellStyle name="Currency 3 2 2 2 6 2 2 3" xfId="17757" xr:uid="{E47D6915-D5FA-4670-9414-F84718E57105}"/>
    <cellStyle name="Currency 3 2 2 2 6 2 3" xfId="22839" xr:uid="{4CB62913-C533-4D80-9BB8-EF3EC741EE22}"/>
    <cellStyle name="Currency 3 2 2 2 6 2 4" xfId="13540" xr:uid="{67DFE35A-5728-417B-9514-18A0A22483DF}"/>
    <cellStyle name="Currency 3 2 2 2 6 3" xfId="6286" xr:uid="{00000000-0005-0000-0000-0000CE0A0000}"/>
    <cellStyle name="Currency 3 2 2 2 6 3 2" xfId="24911" xr:uid="{2FE7AD5C-00E5-434D-8247-3DDDC599547B}"/>
    <cellStyle name="Currency 3 2 2 2 6 3 3" xfId="15612" xr:uid="{F5C7E9E3-A672-4617-A3C4-BCBE1BD7F2A7}"/>
    <cellStyle name="Currency 3 2 2 2 6 4" xfId="20694" xr:uid="{707CD15F-3EFC-4233-A75B-8D009A0608E6}"/>
    <cellStyle name="Currency 3 2 2 2 6 5" xfId="11395" xr:uid="{8D7DEE89-D1EB-4110-A53C-C55C6B647553}"/>
    <cellStyle name="Currency 3 2 2 2 7" xfId="2415" xr:uid="{00000000-0005-0000-0000-0000CF0A0000}"/>
    <cellStyle name="Currency 3 2 2 2 7 2" xfId="6699" xr:uid="{00000000-0005-0000-0000-0000D00A0000}"/>
    <cellStyle name="Currency 3 2 2 2 7 2 2" xfId="25324" xr:uid="{80CB0527-577D-4726-B8DC-1DDB7B06FB47}"/>
    <cellStyle name="Currency 3 2 2 2 7 2 3" xfId="16025" xr:uid="{E9DF4EE0-2D02-4034-96BB-69C64B955D35}"/>
    <cellStyle name="Currency 3 2 2 2 7 3" xfId="21107" xr:uid="{719243A6-9A24-4EE4-95C4-C236A4374A2B}"/>
    <cellStyle name="Currency 3 2 2 2 7 4" xfId="11808" xr:uid="{21363222-3790-4887-8C7F-91E94AE4AA45}"/>
    <cellStyle name="Currency 3 2 2 2 8" xfId="2712" xr:uid="{00000000-0005-0000-0000-0000D10A0000}"/>
    <cellStyle name="Currency 3 2 2 2 9" xfId="2793" xr:uid="{00000000-0005-0000-0000-0000D20A0000}"/>
    <cellStyle name="Currency 3 2 2 2 9 2" xfId="7016" xr:uid="{00000000-0005-0000-0000-0000D30A0000}"/>
    <cellStyle name="Currency 3 2 2 2 9 2 2" xfId="25641" xr:uid="{EDC7D8B2-D5B5-44C3-AF5B-DE7B6E89BC85}"/>
    <cellStyle name="Currency 3 2 2 2 9 2 3" xfId="16342" xr:uid="{4E3FB9B7-D0BB-4BFD-B893-5937BC602E2E}"/>
    <cellStyle name="Currency 3 2 2 2 9 3" xfId="21424" xr:uid="{97E4AB33-4051-45BC-847E-13F729CC51F1}"/>
    <cellStyle name="Currency 3 2 2 2 9 4" xfId="12125" xr:uid="{BB0F18C1-3E28-4A89-B1BA-39213FF1D1DD}"/>
    <cellStyle name="Currency 3 2 2 3" xfId="181" xr:uid="{00000000-0005-0000-0000-0000D40A0000}"/>
    <cellStyle name="Currency 3 2 2 3 10" xfId="9015" xr:uid="{A1C3FAFC-6FB9-45C5-A279-C90E61794A63}"/>
    <cellStyle name="Currency 3 2 2 3 10 2" xfId="27638" xr:uid="{162C7682-F463-42BE-9DDC-93634505B4C0}"/>
    <cellStyle name="Currency 3 2 2 3 10 3" xfId="18339" xr:uid="{729391BD-AFB0-48A5-8BC5-D8F6C66F8D7A}"/>
    <cellStyle name="Currency 3 2 2 3 11" xfId="19043" xr:uid="{C6AEC0B7-1E1D-40F6-863E-205800CB7127}"/>
    <cellStyle name="Currency 3 2 2 3 12" xfId="9744" xr:uid="{CC105C62-FF10-4F23-AB3D-1065F3497D00}"/>
    <cellStyle name="Currency 3 2 2 3 2" xfId="711" xr:uid="{00000000-0005-0000-0000-0000D50A0000}"/>
    <cellStyle name="Currency 3 2 2 3 2 2" xfId="2972" xr:uid="{00000000-0005-0000-0000-0000D60A0000}"/>
    <cellStyle name="Currency 3 2 2 3 2 2 2" xfId="7194" xr:uid="{00000000-0005-0000-0000-0000D70A0000}"/>
    <cellStyle name="Currency 3 2 2 3 2 2 2 2" xfId="25819" xr:uid="{E06E8216-FCC0-445F-9F63-800E7CD1532C}"/>
    <cellStyle name="Currency 3 2 2 3 2 2 2 3" xfId="16520" xr:uid="{EDEE29E6-F478-4173-98D8-F3292754EEF2}"/>
    <cellStyle name="Currency 3 2 2 3 2 2 3" xfId="21602" xr:uid="{EB103A71-61A9-4782-A86A-CCA36ACA45C9}"/>
    <cellStyle name="Currency 3 2 2 3 2 2 4" xfId="12303" xr:uid="{EA4F6C9E-9035-4842-823C-5DDA4F5B5821}"/>
    <cellStyle name="Currency 3 2 2 3 2 3" xfId="5049" xr:uid="{00000000-0005-0000-0000-0000D80A0000}"/>
    <cellStyle name="Currency 3 2 2 3 2 3 2" xfId="23674" xr:uid="{E118A804-0162-479F-891F-6E0D0FDD391B}"/>
    <cellStyle name="Currency 3 2 2 3 2 3 3" xfId="14375" xr:uid="{651FA0AE-CB6D-4A6C-94C0-87DEF416EC26}"/>
    <cellStyle name="Currency 3 2 2 3 2 4" xfId="9440" xr:uid="{774D5512-BCA5-4224-A909-3336A63369C8}"/>
    <cellStyle name="Currency 3 2 2 3 2 4 2" xfId="28054" xr:uid="{A074B137-4696-46AB-9926-5E1D55375810}"/>
    <cellStyle name="Currency 3 2 2 3 2 4 3" xfId="18755" xr:uid="{F796D5C6-5705-46B1-9559-85573C791FFB}"/>
    <cellStyle name="Currency 3 2 2 3 2 5" xfId="19457" xr:uid="{C42383C9-994B-43FF-9584-29EF3E56FE4F}"/>
    <cellStyle name="Currency 3 2 2 3 2 6" xfId="10158" xr:uid="{A89E41EA-96E2-482D-9675-C05E2D38361D}"/>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2 2 2" xfId="26232" xr:uid="{68FBD188-0CCA-4842-8639-6CF0EAE8201A}"/>
    <cellStyle name="Currency 3 2 2 3 3 2 2 3" xfId="16933" xr:uid="{388079D2-D1E6-41D5-A04B-4F0D04B9B7A0}"/>
    <cellStyle name="Currency 3 2 2 3 3 2 3" xfId="22015" xr:uid="{FE4D0910-DF22-47D9-962E-A3BCA2FDC009}"/>
    <cellStyle name="Currency 3 2 2 3 3 2 4" xfId="12716" xr:uid="{C307F278-740F-4C08-8F93-21EA8C41108F}"/>
    <cellStyle name="Currency 3 2 2 3 3 3" xfId="5462" xr:uid="{00000000-0005-0000-0000-0000DC0A0000}"/>
    <cellStyle name="Currency 3 2 2 3 3 3 2" xfId="24087" xr:uid="{3660D1EA-FE0A-44D5-85BB-F01323BE8B24}"/>
    <cellStyle name="Currency 3 2 2 3 3 3 3" xfId="14788" xr:uid="{A94F0F9B-90B6-4220-96B0-FACADEACB81A}"/>
    <cellStyle name="Currency 3 2 2 3 3 4" xfId="19870" xr:uid="{8032860D-8B1F-4013-98B6-896920EFE87B}"/>
    <cellStyle name="Currency 3 2 2 3 3 5" xfId="10571" xr:uid="{1BE0E653-A63D-451B-AD3A-052B1A71DEA6}"/>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2 2 2" xfId="26645" xr:uid="{5D8B4C99-5294-458D-9A98-704D87FA8E40}"/>
    <cellStyle name="Currency 3 2 2 3 4 2 2 3" xfId="17346" xr:uid="{C0F34E75-D250-4AF5-AB8C-F02C0BBF8902}"/>
    <cellStyle name="Currency 3 2 2 3 4 2 3" xfId="22428" xr:uid="{DB9BF5BB-2213-43E9-A1C4-B5BD1FAAB9EE}"/>
    <cellStyle name="Currency 3 2 2 3 4 2 4" xfId="13129" xr:uid="{5E6F0EC8-2529-4722-9CF6-230BAAC60525}"/>
    <cellStyle name="Currency 3 2 2 3 4 3" xfId="5875" xr:uid="{00000000-0005-0000-0000-0000E00A0000}"/>
    <cellStyle name="Currency 3 2 2 3 4 3 2" xfId="24500" xr:uid="{DA008F77-AC60-40C9-AB3F-143DF7742B72}"/>
    <cellStyle name="Currency 3 2 2 3 4 3 3" xfId="15201" xr:uid="{754A2C8B-BD3D-4B9D-B599-337CB295B489}"/>
    <cellStyle name="Currency 3 2 2 3 4 4" xfId="20283" xr:uid="{DD5B94DE-ADF4-467F-9004-D14FD743240E}"/>
    <cellStyle name="Currency 3 2 2 3 4 5" xfId="10984" xr:uid="{E82641D4-A8A9-4B10-976D-EE3D5AB85911}"/>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2 2 2" xfId="27058" xr:uid="{A7B57405-C253-4DB8-89BD-EF6F42B2C11E}"/>
    <cellStyle name="Currency 3 2 2 3 5 2 2 3" xfId="17759" xr:uid="{00174582-0F73-49B0-A38A-17B15B80D337}"/>
    <cellStyle name="Currency 3 2 2 3 5 2 3" xfId="22841" xr:uid="{AADBD38F-31D9-4178-B5D7-512CC31AB9C8}"/>
    <cellStyle name="Currency 3 2 2 3 5 2 4" xfId="13542" xr:uid="{C02D5F55-798A-4E3E-9379-E05387CD47DA}"/>
    <cellStyle name="Currency 3 2 2 3 5 3" xfId="6288" xr:uid="{00000000-0005-0000-0000-0000E40A0000}"/>
    <cellStyle name="Currency 3 2 2 3 5 3 2" xfId="24913" xr:uid="{B8C56503-A5FF-4179-AE79-1739294A6B5B}"/>
    <cellStyle name="Currency 3 2 2 3 5 3 3" xfId="15614" xr:uid="{F1E9A660-06EA-4BFD-BC43-B1E4687F8CEC}"/>
    <cellStyle name="Currency 3 2 2 3 5 4" xfId="20696" xr:uid="{DDFB4AFA-7FB0-49FE-8F56-FFCAA3D1DC9A}"/>
    <cellStyle name="Currency 3 2 2 3 5 5" xfId="11397" xr:uid="{EAEB9EB1-81B0-4EDB-9242-E67FF0E1C51D}"/>
    <cellStyle name="Currency 3 2 2 3 6" xfId="2417" xr:uid="{00000000-0005-0000-0000-0000E50A0000}"/>
    <cellStyle name="Currency 3 2 2 3 6 2" xfId="6701" xr:uid="{00000000-0005-0000-0000-0000E60A0000}"/>
    <cellStyle name="Currency 3 2 2 3 6 2 2" xfId="25326" xr:uid="{C021A673-6198-47A5-9D4C-605042AB4493}"/>
    <cellStyle name="Currency 3 2 2 3 6 2 3" xfId="16027" xr:uid="{C8B89D7D-2974-4CD2-84F5-F1736F1696AF}"/>
    <cellStyle name="Currency 3 2 2 3 6 3" xfId="21109" xr:uid="{5257173F-D284-4CC1-8D88-248F55642FDD}"/>
    <cellStyle name="Currency 3 2 2 3 6 4" xfId="11810" xr:uid="{6FF3B6F4-5BA8-418E-ACEE-1725D1B6C8F1}"/>
    <cellStyle name="Currency 3 2 2 3 7" xfId="2714" xr:uid="{00000000-0005-0000-0000-0000E70A0000}"/>
    <cellStyle name="Currency 3 2 2 3 8" xfId="2795" xr:uid="{00000000-0005-0000-0000-0000E80A0000}"/>
    <cellStyle name="Currency 3 2 2 3 8 2" xfId="7018" xr:uid="{00000000-0005-0000-0000-0000E90A0000}"/>
    <cellStyle name="Currency 3 2 2 3 8 2 2" xfId="25643" xr:uid="{8EA98692-0735-4049-B672-B241DA078FB7}"/>
    <cellStyle name="Currency 3 2 2 3 8 2 3" xfId="16344" xr:uid="{AF5E212E-715D-4DC0-8123-F7CCF33F7133}"/>
    <cellStyle name="Currency 3 2 2 3 8 3" xfId="21426" xr:uid="{33C6B58C-0408-4FBD-9968-74718A947C35}"/>
    <cellStyle name="Currency 3 2 2 3 8 4" xfId="12127" xr:uid="{2A146E77-4D11-4D39-BB1C-7D5CBE68BA56}"/>
    <cellStyle name="Currency 3 2 2 3 9" xfId="4635" xr:uid="{00000000-0005-0000-0000-0000EA0A0000}"/>
    <cellStyle name="Currency 3 2 2 3 9 2" xfId="23260" xr:uid="{E283BA8A-FB2C-469A-B372-A6D29A902C01}"/>
    <cellStyle name="Currency 3 2 2 3 9 3" xfId="13961" xr:uid="{91B8AE18-E7D0-4931-B828-F831FCADF630}"/>
    <cellStyle name="Currency 3 2 2 4" xfId="708" xr:uid="{00000000-0005-0000-0000-0000EB0A0000}"/>
    <cellStyle name="Currency 3 2 2 4 2" xfId="2969" xr:uid="{00000000-0005-0000-0000-0000EC0A0000}"/>
    <cellStyle name="Currency 3 2 2 4 2 2" xfId="7191" xr:uid="{00000000-0005-0000-0000-0000ED0A0000}"/>
    <cellStyle name="Currency 3 2 2 4 2 2 2" xfId="25816" xr:uid="{2EA2B415-C76B-41F7-B62B-FD7A9CF63F26}"/>
    <cellStyle name="Currency 3 2 2 4 2 2 3" xfId="16517" xr:uid="{9A8A8082-47AF-43BF-B4ED-E8F7625A2CEE}"/>
    <cellStyle name="Currency 3 2 2 4 2 3" xfId="21599" xr:uid="{B9945620-1B5F-48E1-92DF-69CFB3829BFC}"/>
    <cellStyle name="Currency 3 2 2 4 2 4" xfId="12300" xr:uid="{E98C773A-C687-4D2C-8D49-2C2C6BD95531}"/>
    <cellStyle name="Currency 3 2 2 4 3" xfId="5046" xr:uid="{00000000-0005-0000-0000-0000EE0A0000}"/>
    <cellStyle name="Currency 3 2 2 4 3 2" xfId="23671" xr:uid="{8D3C5682-3181-4C99-A824-787133E17F67}"/>
    <cellStyle name="Currency 3 2 2 4 3 3" xfId="14372" xr:uid="{91617F56-EB12-4183-90C1-E5D4B41B8FBE}"/>
    <cellStyle name="Currency 3 2 2 4 4" xfId="9233" xr:uid="{A90843BF-65B1-48E5-9C93-A2651D7B4B13}"/>
    <cellStyle name="Currency 3 2 2 4 4 2" xfId="27847" xr:uid="{78708AF2-56FA-425E-B7B7-620F7644128D}"/>
    <cellStyle name="Currency 3 2 2 4 4 3" xfId="18548" xr:uid="{F222814D-7A1E-4FBF-ADE3-12A3B3F9941C}"/>
    <cellStyle name="Currency 3 2 2 4 5" xfId="19454" xr:uid="{1619D8C8-F85A-46C6-955B-B76D1DCF2061}"/>
    <cellStyle name="Currency 3 2 2 4 6" xfId="10155" xr:uid="{0731C2FB-FDAF-40A2-8D75-2CCFF084FC98}"/>
    <cellStyle name="Currency 3 2 2 5" xfId="1151" xr:uid="{00000000-0005-0000-0000-0000EF0A0000}"/>
    <cellStyle name="Currency 3 2 2 5 2" xfId="3382" xr:uid="{00000000-0005-0000-0000-0000F00A0000}"/>
    <cellStyle name="Currency 3 2 2 5 2 2" xfId="7604" xr:uid="{00000000-0005-0000-0000-0000F10A0000}"/>
    <cellStyle name="Currency 3 2 2 5 2 2 2" xfId="26229" xr:uid="{95066626-BEAB-4982-807B-02129A0BA6C7}"/>
    <cellStyle name="Currency 3 2 2 5 2 2 3" xfId="16930" xr:uid="{93DC5323-8CD9-49EE-AC7C-17E420FF62E2}"/>
    <cellStyle name="Currency 3 2 2 5 2 3" xfId="22012" xr:uid="{4783E4EC-C920-4E21-A850-FB7AA4BF3166}"/>
    <cellStyle name="Currency 3 2 2 5 2 4" xfId="12713" xr:uid="{C4399B8C-4D0A-426A-ABEE-54EC4BB7CA6B}"/>
    <cellStyle name="Currency 3 2 2 5 3" xfId="5459" xr:uid="{00000000-0005-0000-0000-0000F20A0000}"/>
    <cellStyle name="Currency 3 2 2 5 3 2" xfId="24084" xr:uid="{ABCFF735-970E-435C-8889-19B49AB920C2}"/>
    <cellStyle name="Currency 3 2 2 5 3 3" xfId="14785" xr:uid="{86A28E79-2251-44FC-9D97-A006ABA77F7D}"/>
    <cellStyle name="Currency 3 2 2 5 4" xfId="19867" xr:uid="{C14C7343-83EC-4ABB-9217-B3EFF86265E7}"/>
    <cellStyle name="Currency 3 2 2 5 5" xfId="10568" xr:uid="{6C2782B1-59A3-40BA-8E61-0B4F6503F94C}"/>
    <cellStyle name="Currency 3 2 2 6" xfId="1565" xr:uid="{00000000-0005-0000-0000-0000F30A0000}"/>
    <cellStyle name="Currency 3 2 2 6 2" xfId="3795" xr:uid="{00000000-0005-0000-0000-0000F40A0000}"/>
    <cellStyle name="Currency 3 2 2 6 2 2" xfId="8017" xr:uid="{00000000-0005-0000-0000-0000F50A0000}"/>
    <cellStyle name="Currency 3 2 2 6 2 2 2" xfId="26642" xr:uid="{DDB44E01-72E2-41E5-B5E7-1E7F2E5CBBAC}"/>
    <cellStyle name="Currency 3 2 2 6 2 2 3" xfId="17343" xr:uid="{99AAB66D-D209-420B-894A-639284CF480F}"/>
    <cellStyle name="Currency 3 2 2 6 2 3" xfId="22425" xr:uid="{9420201D-D0BE-4DC4-AC9F-FFB1627C6FE1}"/>
    <cellStyle name="Currency 3 2 2 6 2 4" xfId="13126" xr:uid="{5A8FEB5C-6C9A-4133-A005-CBF6D23E5027}"/>
    <cellStyle name="Currency 3 2 2 6 3" xfId="5872" xr:uid="{00000000-0005-0000-0000-0000F60A0000}"/>
    <cellStyle name="Currency 3 2 2 6 3 2" xfId="24497" xr:uid="{BC27DF12-0C75-4BF0-9959-2479E84593B7}"/>
    <cellStyle name="Currency 3 2 2 6 3 3" xfId="15198" xr:uid="{5ACD94D4-A813-4456-9488-F6F067CFB5AA}"/>
    <cellStyle name="Currency 3 2 2 6 4" xfId="20280" xr:uid="{AADFD95E-F32E-4FDE-BB3B-6AECE8F2438A}"/>
    <cellStyle name="Currency 3 2 2 6 5" xfId="10981" xr:uid="{2AB87D3E-A7ED-4336-A5C4-56C5B80884D5}"/>
    <cellStyle name="Currency 3 2 2 7" xfId="1979" xr:uid="{00000000-0005-0000-0000-0000F70A0000}"/>
    <cellStyle name="Currency 3 2 2 7 2" xfId="4208" xr:uid="{00000000-0005-0000-0000-0000F80A0000}"/>
    <cellStyle name="Currency 3 2 2 7 2 2" xfId="8430" xr:uid="{00000000-0005-0000-0000-0000F90A0000}"/>
    <cellStyle name="Currency 3 2 2 7 2 2 2" xfId="27055" xr:uid="{05505A97-15CD-47F0-971E-CEB3D693F6D9}"/>
    <cellStyle name="Currency 3 2 2 7 2 2 3" xfId="17756" xr:uid="{EC9A0710-C612-44A8-8991-CE23D2676365}"/>
    <cellStyle name="Currency 3 2 2 7 2 3" xfId="22838" xr:uid="{C6D7E9E3-3229-4596-8B6B-C8152B7D02F9}"/>
    <cellStyle name="Currency 3 2 2 7 2 4" xfId="13539" xr:uid="{F1817389-473D-4281-8762-5F930BF50DD5}"/>
    <cellStyle name="Currency 3 2 2 7 3" xfId="6285" xr:uid="{00000000-0005-0000-0000-0000FA0A0000}"/>
    <cellStyle name="Currency 3 2 2 7 3 2" xfId="24910" xr:uid="{3771EFA4-10E4-4E18-93F8-D27740127A54}"/>
    <cellStyle name="Currency 3 2 2 7 3 3" xfId="15611" xr:uid="{72DCA7F7-1499-45ED-9F74-53DA9ED099BA}"/>
    <cellStyle name="Currency 3 2 2 7 4" xfId="20693" xr:uid="{3128743C-2CF9-4213-9460-B72475E07918}"/>
    <cellStyle name="Currency 3 2 2 7 5" xfId="11394" xr:uid="{61DFD27A-5795-4104-9AF8-82ADC511F5D4}"/>
    <cellStyle name="Currency 3 2 2 8" xfId="2414" xr:uid="{00000000-0005-0000-0000-0000FB0A0000}"/>
    <cellStyle name="Currency 3 2 2 8 2" xfId="6698" xr:uid="{00000000-0005-0000-0000-0000FC0A0000}"/>
    <cellStyle name="Currency 3 2 2 8 2 2" xfId="25323" xr:uid="{E627A44D-0D17-43C7-847B-EB04953EE115}"/>
    <cellStyle name="Currency 3 2 2 8 2 3" xfId="16024" xr:uid="{48D5D50C-F8D8-48F0-8BE7-5925D16233A0}"/>
    <cellStyle name="Currency 3 2 2 8 3" xfId="21106" xr:uid="{150959BB-73C6-4C69-83B6-47F0C370DC21}"/>
    <cellStyle name="Currency 3 2 2 8 4" xfId="11807" xr:uid="{AB08A950-F027-454A-901C-63AA43B3F895}"/>
    <cellStyle name="Currency 3 2 2 9" xfId="2711" xr:uid="{00000000-0005-0000-0000-0000FD0A0000}"/>
    <cellStyle name="Currency 3 2 3" xfId="182" xr:uid="{00000000-0005-0000-0000-0000FE0A0000}"/>
    <cellStyle name="Currency 3 2 3 10" xfId="4636" xr:uid="{00000000-0005-0000-0000-0000FF0A0000}"/>
    <cellStyle name="Currency 3 2 3 10 2" xfId="23261" xr:uid="{7EAEA3B2-DA91-44CA-AD2D-12FF9B0BDF35}"/>
    <cellStyle name="Currency 3 2 3 10 3" xfId="13962" xr:uid="{16FC1A98-995C-4AA4-AC3B-9A3C9712F049}"/>
    <cellStyle name="Currency 3 2 3 11" xfId="8893" xr:uid="{8CE28714-D587-402C-9A17-1A08799662D4}"/>
    <cellStyle name="Currency 3 2 3 11 2" xfId="27516" xr:uid="{40A12740-87A0-462F-9D0E-7981D2E4E471}"/>
    <cellStyle name="Currency 3 2 3 11 3" xfId="18217" xr:uid="{8E7D34A5-9636-4756-82F2-0765BFEE393F}"/>
    <cellStyle name="Currency 3 2 3 12" xfId="19044" xr:uid="{69266EF3-46BE-450F-849D-EAD2E93B22D1}"/>
    <cellStyle name="Currency 3 2 3 13" xfId="9745" xr:uid="{363B36BF-B0A9-4BFE-BAF0-046A9989EC1D}"/>
    <cellStyle name="Currency 3 2 3 2" xfId="183" xr:uid="{00000000-0005-0000-0000-0000000B0000}"/>
    <cellStyle name="Currency 3 2 3 2 10" xfId="9100" xr:uid="{CEBE1F40-0923-46C6-AB84-DD4DAB20CD81}"/>
    <cellStyle name="Currency 3 2 3 2 10 2" xfId="27723" xr:uid="{D781D4E7-45F7-4A1F-8108-2B5099231A0C}"/>
    <cellStyle name="Currency 3 2 3 2 10 3" xfId="18424" xr:uid="{05FBDA10-FE9F-44CF-8C42-32887FA9D71B}"/>
    <cellStyle name="Currency 3 2 3 2 11" xfId="19045" xr:uid="{AF126F0E-118E-4781-A51D-DB24CCD12B60}"/>
    <cellStyle name="Currency 3 2 3 2 12" xfId="9746" xr:uid="{01E69F55-5C0A-4B1C-94AD-4DBDE3A08E73}"/>
    <cellStyle name="Currency 3 2 3 2 2" xfId="713" xr:uid="{00000000-0005-0000-0000-0000010B0000}"/>
    <cellStyle name="Currency 3 2 3 2 2 2" xfId="2974" xr:uid="{00000000-0005-0000-0000-0000020B0000}"/>
    <cellStyle name="Currency 3 2 3 2 2 2 2" xfId="7196" xr:uid="{00000000-0005-0000-0000-0000030B0000}"/>
    <cellStyle name="Currency 3 2 3 2 2 2 2 2" xfId="25821" xr:uid="{299841D3-C1B7-4B9E-9201-8473C120D831}"/>
    <cellStyle name="Currency 3 2 3 2 2 2 2 3" xfId="16522" xr:uid="{6826362B-8E3B-491B-89E2-31D833A32BD7}"/>
    <cellStyle name="Currency 3 2 3 2 2 2 3" xfId="21604" xr:uid="{2536F968-59C4-4D40-9FA6-A01DAF808DE9}"/>
    <cellStyle name="Currency 3 2 3 2 2 2 4" xfId="12305" xr:uid="{4AA71050-9A09-48BE-A973-87995CCBF0E5}"/>
    <cellStyle name="Currency 3 2 3 2 2 3" xfId="5051" xr:uid="{00000000-0005-0000-0000-0000040B0000}"/>
    <cellStyle name="Currency 3 2 3 2 2 3 2" xfId="23676" xr:uid="{FAE7F2A2-C247-4525-A7DC-4899AC297908}"/>
    <cellStyle name="Currency 3 2 3 2 2 3 3" xfId="14377" xr:uid="{912956DA-2C59-42DE-AD8C-F4F075087E91}"/>
    <cellStyle name="Currency 3 2 3 2 2 4" xfId="9525" xr:uid="{759374BA-DDD8-4F33-9655-B300986F8700}"/>
    <cellStyle name="Currency 3 2 3 2 2 4 2" xfId="28139" xr:uid="{E283D5AB-5156-40B9-BA67-FFF64680F1B0}"/>
    <cellStyle name="Currency 3 2 3 2 2 4 3" xfId="18840" xr:uid="{19FA9F6F-E773-4FAE-BDE7-A40B38B45B6E}"/>
    <cellStyle name="Currency 3 2 3 2 2 5" xfId="19459" xr:uid="{90BA3FC6-8322-45E1-95C4-3BCBB2390020}"/>
    <cellStyle name="Currency 3 2 3 2 2 6" xfId="10160" xr:uid="{0F074C57-B71C-46F8-A324-B2B1B675180B}"/>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2 2 2" xfId="26234" xr:uid="{6615B477-AB44-4BBE-9670-8121821678C8}"/>
    <cellStyle name="Currency 3 2 3 2 3 2 2 3" xfId="16935" xr:uid="{EE2296E0-71BD-488D-9195-1489ED1D6DA6}"/>
    <cellStyle name="Currency 3 2 3 2 3 2 3" xfId="22017" xr:uid="{6275CAC3-060B-445D-B187-13885F1E7231}"/>
    <cellStyle name="Currency 3 2 3 2 3 2 4" xfId="12718" xr:uid="{36AB3F24-CD67-44AD-B919-12578413E103}"/>
    <cellStyle name="Currency 3 2 3 2 3 3" xfId="5464" xr:uid="{00000000-0005-0000-0000-0000080B0000}"/>
    <cellStyle name="Currency 3 2 3 2 3 3 2" xfId="24089" xr:uid="{30471576-2FEB-42B4-A17A-8954F9EE34CE}"/>
    <cellStyle name="Currency 3 2 3 2 3 3 3" xfId="14790" xr:uid="{D2BB2F91-75B8-4C28-9B94-6E756955F954}"/>
    <cellStyle name="Currency 3 2 3 2 3 4" xfId="19872" xr:uid="{EDCA8A8E-24D5-4B37-A10A-E9B507EBEC32}"/>
    <cellStyle name="Currency 3 2 3 2 3 5" xfId="10573" xr:uid="{0F6F4887-AD23-4393-966C-ED9047CCC168}"/>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2 2 2" xfId="26647" xr:uid="{0F18F5F0-F522-4131-ABAB-9F9B3BA5CCB7}"/>
    <cellStyle name="Currency 3 2 3 2 4 2 2 3" xfId="17348" xr:uid="{261669E0-F9DB-469C-9A52-5D46EA3D1DCD}"/>
    <cellStyle name="Currency 3 2 3 2 4 2 3" xfId="22430" xr:uid="{8CBAC08F-ECCD-4C6F-9932-D418A1733C42}"/>
    <cellStyle name="Currency 3 2 3 2 4 2 4" xfId="13131" xr:uid="{62B7FDAC-625F-41D7-9F28-1FE28576D0CA}"/>
    <cellStyle name="Currency 3 2 3 2 4 3" xfId="5877" xr:uid="{00000000-0005-0000-0000-00000C0B0000}"/>
    <cellStyle name="Currency 3 2 3 2 4 3 2" xfId="24502" xr:uid="{D164EF32-829B-4FC8-BC08-3AEF1404F9A4}"/>
    <cellStyle name="Currency 3 2 3 2 4 3 3" xfId="15203" xr:uid="{43B39309-0EE6-46D2-8A0B-CB9EA1302128}"/>
    <cellStyle name="Currency 3 2 3 2 4 4" xfId="20285" xr:uid="{D37E1D13-8E82-416C-8ECE-33D5B1B69385}"/>
    <cellStyle name="Currency 3 2 3 2 4 5" xfId="10986" xr:uid="{506E6827-A16E-4E4B-88D0-BF45632B6347}"/>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2 2 2" xfId="27060" xr:uid="{B2EA8226-F8ED-4CEE-98F9-6D5E4EFF7C46}"/>
    <cellStyle name="Currency 3 2 3 2 5 2 2 3" xfId="17761" xr:uid="{E65BB331-2B3B-46BE-A148-6F108F7C88C2}"/>
    <cellStyle name="Currency 3 2 3 2 5 2 3" xfId="22843" xr:uid="{FD0741B4-0DBB-4AD0-9033-275E074EC57C}"/>
    <cellStyle name="Currency 3 2 3 2 5 2 4" xfId="13544" xr:uid="{3AF31CFD-5FCC-4865-B460-985C7A2CAE9F}"/>
    <cellStyle name="Currency 3 2 3 2 5 3" xfId="6290" xr:uid="{00000000-0005-0000-0000-0000100B0000}"/>
    <cellStyle name="Currency 3 2 3 2 5 3 2" xfId="24915" xr:uid="{AAD9EF32-0D32-421D-A417-F7FCDDA162AE}"/>
    <cellStyle name="Currency 3 2 3 2 5 3 3" xfId="15616" xr:uid="{E127249C-9AFF-4378-A50F-B3D0938603E7}"/>
    <cellStyle name="Currency 3 2 3 2 5 4" xfId="20698" xr:uid="{52440BB6-82D4-42A6-BEA8-65E2DA539272}"/>
    <cellStyle name="Currency 3 2 3 2 5 5" xfId="11399" xr:uid="{F2E4560B-FC74-4541-97B6-EB252E5DFFD6}"/>
    <cellStyle name="Currency 3 2 3 2 6" xfId="2419" xr:uid="{00000000-0005-0000-0000-0000110B0000}"/>
    <cellStyle name="Currency 3 2 3 2 6 2" xfId="6703" xr:uid="{00000000-0005-0000-0000-0000120B0000}"/>
    <cellStyle name="Currency 3 2 3 2 6 2 2" xfId="25328" xr:uid="{8B668097-8039-473F-B1EB-CAF868A5DA1F}"/>
    <cellStyle name="Currency 3 2 3 2 6 2 3" xfId="16029" xr:uid="{43F770E0-D6F6-446E-85DB-FBBE39DDA846}"/>
    <cellStyle name="Currency 3 2 3 2 6 3" xfId="21111" xr:uid="{B9D006D9-7809-4015-A644-895287A28E24}"/>
    <cellStyle name="Currency 3 2 3 2 6 4" xfId="11812" xr:uid="{050E1C90-8D34-4FB8-A085-5024BFFFDB92}"/>
    <cellStyle name="Currency 3 2 3 2 7" xfId="2716" xr:uid="{00000000-0005-0000-0000-0000130B0000}"/>
    <cellStyle name="Currency 3 2 3 2 8" xfId="2797" xr:uid="{00000000-0005-0000-0000-0000140B0000}"/>
    <cellStyle name="Currency 3 2 3 2 8 2" xfId="7020" xr:uid="{00000000-0005-0000-0000-0000150B0000}"/>
    <cellStyle name="Currency 3 2 3 2 8 2 2" xfId="25645" xr:uid="{CD872582-63A3-4D73-B5E9-F539D334F002}"/>
    <cellStyle name="Currency 3 2 3 2 8 2 3" xfId="16346" xr:uid="{CE9550F8-4A79-47A9-92F8-3E0957D71292}"/>
    <cellStyle name="Currency 3 2 3 2 8 3" xfId="21428" xr:uid="{3C3193C5-CE87-45F4-B1F0-1B371836F517}"/>
    <cellStyle name="Currency 3 2 3 2 8 4" xfId="12129" xr:uid="{E7CD4371-F8C2-41D0-93CB-A740D36A4257}"/>
    <cellStyle name="Currency 3 2 3 2 9" xfId="4637" xr:uid="{00000000-0005-0000-0000-0000160B0000}"/>
    <cellStyle name="Currency 3 2 3 2 9 2" xfId="23262" xr:uid="{724544E5-799A-4E90-8F79-C43873C3267C}"/>
    <cellStyle name="Currency 3 2 3 2 9 3" xfId="13963" xr:uid="{6E5075F3-3512-4B6E-B791-F54E1CA9FA12}"/>
    <cellStyle name="Currency 3 2 3 3" xfId="712" xr:uid="{00000000-0005-0000-0000-0000170B0000}"/>
    <cellStyle name="Currency 3 2 3 3 2" xfId="2973" xr:uid="{00000000-0005-0000-0000-0000180B0000}"/>
    <cellStyle name="Currency 3 2 3 3 2 2" xfId="7195" xr:uid="{00000000-0005-0000-0000-0000190B0000}"/>
    <cellStyle name="Currency 3 2 3 3 2 2 2" xfId="25820" xr:uid="{74A2A1C9-5D35-42B6-AE32-73BAFA536DF7}"/>
    <cellStyle name="Currency 3 2 3 3 2 2 3" xfId="16521" xr:uid="{FC6A09C6-A799-412F-B72A-88E8E8F96E86}"/>
    <cellStyle name="Currency 3 2 3 3 2 3" xfId="21603" xr:uid="{E6BFB0E5-8449-4610-97D0-C8B16F999A13}"/>
    <cellStyle name="Currency 3 2 3 3 2 4" xfId="12304" xr:uid="{6246AF05-39BC-42FC-BA5D-694E00E46F43}"/>
    <cellStyle name="Currency 3 2 3 3 3" xfId="5050" xr:uid="{00000000-0005-0000-0000-00001A0B0000}"/>
    <cellStyle name="Currency 3 2 3 3 3 2" xfId="23675" xr:uid="{02F8EA2B-9E32-4E9B-A4C5-098FB75226C3}"/>
    <cellStyle name="Currency 3 2 3 3 3 3" xfId="14376" xr:uid="{82228855-175C-423B-A6FF-3AE600F627F4}"/>
    <cellStyle name="Currency 3 2 3 3 4" xfId="9318" xr:uid="{AA73873E-8E72-4FDE-A22E-F5D80E2A87B1}"/>
    <cellStyle name="Currency 3 2 3 3 4 2" xfId="27932" xr:uid="{B702EBD0-4560-4276-A3AE-D37D92778512}"/>
    <cellStyle name="Currency 3 2 3 3 4 3" xfId="18633" xr:uid="{9851235C-17EA-4A46-AAFB-F46018C6C029}"/>
    <cellStyle name="Currency 3 2 3 3 5" xfId="19458" xr:uid="{7F90C248-3D0F-405C-A793-0DEEA7AD4F6D}"/>
    <cellStyle name="Currency 3 2 3 3 6" xfId="10159" xr:uid="{7422E503-BA79-43E6-9E62-C495DC334862}"/>
    <cellStyle name="Currency 3 2 3 4" xfId="1155" xr:uid="{00000000-0005-0000-0000-00001B0B0000}"/>
    <cellStyle name="Currency 3 2 3 4 2" xfId="3386" xr:uid="{00000000-0005-0000-0000-00001C0B0000}"/>
    <cellStyle name="Currency 3 2 3 4 2 2" xfId="7608" xr:uid="{00000000-0005-0000-0000-00001D0B0000}"/>
    <cellStyle name="Currency 3 2 3 4 2 2 2" xfId="26233" xr:uid="{1CD3B70C-3F62-47D8-A852-3590CEA76D9B}"/>
    <cellStyle name="Currency 3 2 3 4 2 2 3" xfId="16934" xr:uid="{DE754337-F753-43A2-A514-119AC63B491A}"/>
    <cellStyle name="Currency 3 2 3 4 2 3" xfId="22016" xr:uid="{194F753A-8735-41CA-85FE-026F2E084D98}"/>
    <cellStyle name="Currency 3 2 3 4 2 4" xfId="12717" xr:uid="{9115FB03-71B9-43B2-BA21-8548E13FAEB9}"/>
    <cellStyle name="Currency 3 2 3 4 3" xfId="5463" xr:uid="{00000000-0005-0000-0000-00001E0B0000}"/>
    <cellStyle name="Currency 3 2 3 4 3 2" xfId="24088" xr:uid="{D144E86D-3E62-42BA-BE24-FEA97C4E7173}"/>
    <cellStyle name="Currency 3 2 3 4 3 3" xfId="14789" xr:uid="{9BCFDB19-F454-4032-85E9-60201C344DB8}"/>
    <cellStyle name="Currency 3 2 3 4 4" xfId="19871" xr:uid="{0BE25E38-4B80-4731-A0BB-BDA9857274C1}"/>
    <cellStyle name="Currency 3 2 3 4 5" xfId="10572" xr:uid="{7EE947E9-08C0-4F03-AC82-DC40724D0EBE}"/>
    <cellStyle name="Currency 3 2 3 5" xfId="1569" xr:uid="{00000000-0005-0000-0000-00001F0B0000}"/>
    <cellStyle name="Currency 3 2 3 5 2" xfId="3799" xr:uid="{00000000-0005-0000-0000-0000200B0000}"/>
    <cellStyle name="Currency 3 2 3 5 2 2" xfId="8021" xr:uid="{00000000-0005-0000-0000-0000210B0000}"/>
    <cellStyle name="Currency 3 2 3 5 2 2 2" xfId="26646" xr:uid="{CDB4C6AB-586E-440D-880A-11DCCE7DF023}"/>
    <cellStyle name="Currency 3 2 3 5 2 2 3" xfId="17347" xr:uid="{94E5074D-1E53-4BA1-BA1A-688950B694B0}"/>
    <cellStyle name="Currency 3 2 3 5 2 3" xfId="22429" xr:uid="{199F24EF-5CF8-4968-BC91-7DA0A27DDCA0}"/>
    <cellStyle name="Currency 3 2 3 5 2 4" xfId="13130" xr:uid="{624D8171-25D1-464C-8D63-47CF5409AC44}"/>
    <cellStyle name="Currency 3 2 3 5 3" xfId="5876" xr:uid="{00000000-0005-0000-0000-0000220B0000}"/>
    <cellStyle name="Currency 3 2 3 5 3 2" xfId="24501" xr:uid="{16EDA3F4-192B-46C0-84FF-38B7D6ACF17B}"/>
    <cellStyle name="Currency 3 2 3 5 3 3" xfId="15202" xr:uid="{EF5BAF09-DB2D-4F0A-9B6E-65ABDC2614E8}"/>
    <cellStyle name="Currency 3 2 3 5 4" xfId="20284" xr:uid="{9ED6A664-6B82-42E1-AE56-438D0A4BA2D5}"/>
    <cellStyle name="Currency 3 2 3 5 5" xfId="10985" xr:uid="{CDCD128D-25CD-46CC-8B1F-BE1E473C2114}"/>
    <cellStyle name="Currency 3 2 3 6" xfId="1983" xr:uid="{00000000-0005-0000-0000-0000230B0000}"/>
    <cellStyle name="Currency 3 2 3 6 2" xfId="4212" xr:uid="{00000000-0005-0000-0000-0000240B0000}"/>
    <cellStyle name="Currency 3 2 3 6 2 2" xfId="8434" xr:uid="{00000000-0005-0000-0000-0000250B0000}"/>
    <cellStyle name="Currency 3 2 3 6 2 2 2" xfId="27059" xr:uid="{DC1C3961-64C4-42CF-A5FC-61A9E02D2E36}"/>
    <cellStyle name="Currency 3 2 3 6 2 2 3" xfId="17760" xr:uid="{1E1E8B88-8E33-4F8F-9EC9-4E6D68B4FEC3}"/>
    <cellStyle name="Currency 3 2 3 6 2 3" xfId="22842" xr:uid="{4937C1EA-822A-4F73-97DF-333926A94170}"/>
    <cellStyle name="Currency 3 2 3 6 2 4" xfId="13543" xr:uid="{9FA1AABB-2024-4913-BAA3-295B17D923C8}"/>
    <cellStyle name="Currency 3 2 3 6 3" xfId="6289" xr:uid="{00000000-0005-0000-0000-0000260B0000}"/>
    <cellStyle name="Currency 3 2 3 6 3 2" xfId="24914" xr:uid="{D3A6F74B-641B-49E8-86D7-CD6E21EBDD82}"/>
    <cellStyle name="Currency 3 2 3 6 3 3" xfId="15615" xr:uid="{2836D7AB-0265-4C34-A7D4-8910D83B8BF5}"/>
    <cellStyle name="Currency 3 2 3 6 4" xfId="20697" xr:uid="{2601E5EC-EF4D-490C-8760-D7CFF27E691F}"/>
    <cellStyle name="Currency 3 2 3 6 5" xfId="11398" xr:uid="{ACA5469E-F557-4117-882F-40114FD346CA}"/>
    <cellStyle name="Currency 3 2 3 7" xfId="2418" xr:uid="{00000000-0005-0000-0000-0000270B0000}"/>
    <cellStyle name="Currency 3 2 3 7 2" xfId="6702" xr:uid="{00000000-0005-0000-0000-0000280B0000}"/>
    <cellStyle name="Currency 3 2 3 7 2 2" xfId="25327" xr:uid="{2DD5E173-B3A8-447D-A07A-49486856058E}"/>
    <cellStyle name="Currency 3 2 3 7 2 3" xfId="16028" xr:uid="{EACD0423-9F0C-4586-AA44-3E5B4913416B}"/>
    <cellStyle name="Currency 3 2 3 7 3" xfId="21110" xr:uid="{67AB3CBF-E306-48D7-8628-A0FC20D610CE}"/>
    <cellStyle name="Currency 3 2 3 7 4" xfId="11811" xr:uid="{499B9295-90DC-4E25-94FC-BD50FD2B26B7}"/>
    <cellStyle name="Currency 3 2 3 8" xfId="2715" xr:uid="{00000000-0005-0000-0000-0000290B0000}"/>
    <cellStyle name="Currency 3 2 3 9" xfId="2796" xr:uid="{00000000-0005-0000-0000-00002A0B0000}"/>
    <cellStyle name="Currency 3 2 3 9 2" xfId="7019" xr:uid="{00000000-0005-0000-0000-00002B0B0000}"/>
    <cellStyle name="Currency 3 2 3 9 2 2" xfId="25644" xr:uid="{E1C54EBA-3E95-4BA8-8D6E-B7E6CA1E5274}"/>
    <cellStyle name="Currency 3 2 3 9 2 3" xfId="16345" xr:uid="{3DA1292A-44A8-4B91-9085-EAB4F67AF6E7}"/>
    <cellStyle name="Currency 3 2 3 9 3" xfId="21427" xr:uid="{BD7B3676-51D0-4F41-9C89-D2BFD6DFCDD2}"/>
    <cellStyle name="Currency 3 2 3 9 4" xfId="12128" xr:uid="{D7920DE4-0F43-4AAE-B5DB-9AECF58A6E8A}"/>
    <cellStyle name="Currency 3 2 4" xfId="184" xr:uid="{00000000-0005-0000-0000-00002C0B0000}"/>
    <cellStyle name="Currency 3 2 4 10" xfId="8997" xr:uid="{DF9FC022-A382-4135-990F-F43A472E13BA}"/>
    <cellStyle name="Currency 3 2 4 10 2" xfId="27620" xr:uid="{CA6C8004-D52B-4FFD-9CD0-2800116E47D8}"/>
    <cellStyle name="Currency 3 2 4 10 3" xfId="18321" xr:uid="{2052B673-4B57-4481-AAEF-F42847D35F8D}"/>
    <cellStyle name="Currency 3 2 4 11" xfId="19046" xr:uid="{29002D4B-4AC9-4EAF-86E8-AE512637F991}"/>
    <cellStyle name="Currency 3 2 4 12" xfId="9747" xr:uid="{86B3916B-7C9B-445B-9875-1D24C12D4C79}"/>
    <cellStyle name="Currency 3 2 4 2" xfId="714" xr:uid="{00000000-0005-0000-0000-00002D0B0000}"/>
    <cellStyle name="Currency 3 2 4 2 2" xfId="2975" xr:uid="{00000000-0005-0000-0000-00002E0B0000}"/>
    <cellStyle name="Currency 3 2 4 2 2 2" xfId="7197" xr:uid="{00000000-0005-0000-0000-00002F0B0000}"/>
    <cellStyle name="Currency 3 2 4 2 2 2 2" xfId="25822" xr:uid="{498CECF2-C731-4236-B8E0-2356D3C68298}"/>
    <cellStyle name="Currency 3 2 4 2 2 2 3" xfId="16523" xr:uid="{E02C48BD-9499-45CD-9359-C040BA38A85E}"/>
    <cellStyle name="Currency 3 2 4 2 2 3" xfId="21605" xr:uid="{16A66B27-CB7A-4CC5-B970-B2BA3A52E1FE}"/>
    <cellStyle name="Currency 3 2 4 2 2 4" xfId="12306" xr:uid="{5E8EC28E-F5AD-462D-889B-26CD032E9843}"/>
    <cellStyle name="Currency 3 2 4 2 3" xfId="5052" xr:uid="{00000000-0005-0000-0000-0000300B0000}"/>
    <cellStyle name="Currency 3 2 4 2 3 2" xfId="23677" xr:uid="{21AE92F4-111C-4EE1-BE3E-E75740ED3ABD}"/>
    <cellStyle name="Currency 3 2 4 2 3 3" xfId="14378" xr:uid="{F87535E4-7B6E-4E5D-9408-79C64ED681E8}"/>
    <cellStyle name="Currency 3 2 4 2 4" xfId="9422" xr:uid="{3049B7CE-611E-437A-AD0B-2E3AA5E2E50D}"/>
    <cellStyle name="Currency 3 2 4 2 4 2" xfId="28036" xr:uid="{DC617C85-17D4-4376-8218-97F1EEA13BC6}"/>
    <cellStyle name="Currency 3 2 4 2 4 3" xfId="18737" xr:uid="{B22E90D3-76D8-42F4-8DE7-227667BDB1C9}"/>
    <cellStyle name="Currency 3 2 4 2 5" xfId="19460" xr:uid="{B4BC79D0-651A-4D93-A17F-1B30DCC7521F}"/>
    <cellStyle name="Currency 3 2 4 2 6" xfId="10161" xr:uid="{37829124-EC73-4F89-B9A2-B38D105C4982}"/>
    <cellStyle name="Currency 3 2 4 3" xfId="1157" xr:uid="{00000000-0005-0000-0000-0000310B0000}"/>
    <cellStyle name="Currency 3 2 4 3 2" xfId="3388" xr:uid="{00000000-0005-0000-0000-0000320B0000}"/>
    <cellStyle name="Currency 3 2 4 3 2 2" xfId="7610" xr:uid="{00000000-0005-0000-0000-0000330B0000}"/>
    <cellStyle name="Currency 3 2 4 3 2 2 2" xfId="26235" xr:uid="{C1D3A5DC-81D2-4A8C-B904-039B7B388EDD}"/>
    <cellStyle name="Currency 3 2 4 3 2 2 3" xfId="16936" xr:uid="{F4AB3140-A88E-4378-9367-1ACEEB9E9D2A}"/>
    <cellStyle name="Currency 3 2 4 3 2 3" xfId="22018" xr:uid="{7D882425-BEB5-4CC5-B1C5-CDCD5D1F9333}"/>
    <cellStyle name="Currency 3 2 4 3 2 4" xfId="12719" xr:uid="{680D2327-5980-4621-9112-2A59BCB63640}"/>
    <cellStyle name="Currency 3 2 4 3 3" xfId="5465" xr:uid="{00000000-0005-0000-0000-0000340B0000}"/>
    <cellStyle name="Currency 3 2 4 3 3 2" xfId="24090" xr:uid="{992D0682-3D1F-4CF1-9711-9C9F806C7289}"/>
    <cellStyle name="Currency 3 2 4 3 3 3" xfId="14791" xr:uid="{BD430F77-43AC-4261-A5BD-1E6B9722E012}"/>
    <cellStyle name="Currency 3 2 4 3 4" xfId="19873" xr:uid="{E12D5CD3-586B-4674-B60E-3AD521D44577}"/>
    <cellStyle name="Currency 3 2 4 3 5" xfId="10574" xr:uid="{72B8E755-FCD6-40DE-BC41-E07FEFFD47B3}"/>
    <cellStyle name="Currency 3 2 4 4" xfId="1571" xr:uid="{00000000-0005-0000-0000-0000350B0000}"/>
    <cellStyle name="Currency 3 2 4 4 2" xfId="3801" xr:uid="{00000000-0005-0000-0000-0000360B0000}"/>
    <cellStyle name="Currency 3 2 4 4 2 2" xfId="8023" xr:uid="{00000000-0005-0000-0000-0000370B0000}"/>
    <cellStyle name="Currency 3 2 4 4 2 2 2" xfId="26648" xr:uid="{9C9C7ADA-4248-42BF-9369-6A4B8F9C0DF5}"/>
    <cellStyle name="Currency 3 2 4 4 2 2 3" xfId="17349" xr:uid="{1DF6AE22-04FC-4C79-87B5-4264E33ECC17}"/>
    <cellStyle name="Currency 3 2 4 4 2 3" xfId="22431" xr:uid="{78F3100E-C97D-4C67-993A-7735AFD88967}"/>
    <cellStyle name="Currency 3 2 4 4 2 4" xfId="13132" xr:uid="{75934986-FD40-4797-B073-5E85305B34E4}"/>
    <cellStyle name="Currency 3 2 4 4 3" xfId="5878" xr:uid="{00000000-0005-0000-0000-0000380B0000}"/>
    <cellStyle name="Currency 3 2 4 4 3 2" xfId="24503" xr:uid="{84A97A7C-A24C-4513-891A-1E8EE98FB35A}"/>
    <cellStyle name="Currency 3 2 4 4 3 3" xfId="15204" xr:uid="{2A573EF8-26C2-41D2-AF5A-A95A4F7992B7}"/>
    <cellStyle name="Currency 3 2 4 4 4" xfId="20286" xr:uid="{5F5CD968-5922-42E1-9818-63CFC18CBAA0}"/>
    <cellStyle name="Currency 3 2 4 4 5" xfId="10987" xr:uid="{31AE6D15-28B7-4891-8EE0-F1B96E145426}"/>
    <cellStyle name="Currency 3 2 4 5" xfId="1985" xr:uid="{00000000-0005-0000-0000-0000390B0000}"/>
    <cellStyle name="Currency 3 2 4 5 2" xfId="4214" xr:uid="{00000000-0005-0000-0000-00003A0B0000}"/>
    <cellStyle name="Currency 3 2 4 5 2 2" xfId="8436" xr:uid="{00000000-0005-0000-0000-00003B0B0000}"/>
    <cellStyle name="Currency 3 2 4 5 2 2 2" xfId="27061" xr:uid="{B89DD240-170C-40E2-B793-D8F27E7BA5AC}"/>
    <cellStyle name="Currency 3 2 4 5 2 2 3" xfId="17762" xr:uid="{751F85BC-F6ED-4238-8FEC-A86F4CEFCCF6}"/>
    <cellStyle name="Currency 3 2 4 5 2 3" xfId="22844" xr:uid="{75C00953-A49A-4C12-847C-8570C4DECCAC}"/>
    <cellStyle name="Currency 3 2 4 5 2 4" xfId="13545" xr:uid="{923375B4-ED1B-49BE-9E60-0900BEA55ED9}"/>
    <cellStyle name="Currency 3 2 4 5 3" xfId="6291" xr:uid="{00000000-0005-0000-0000-00003C0B0000}"/>
    <cellStyle name="Currency 3 2 4 5 3 2" xfId="24916" xr:uid="{49BE5AB0-CC87-41AC-8877-432BD9DAB931}"/>
    <cellStyle name="Currency 3 2 4 5 3 3" xfId="15617" xr:uid="{E72A56DC-F971-4AA5-90F5-EA454691ECC7}"/>
    <cellStyle name="Currency 3 2 4 5 4" xfId="20699" xr:uid="{7A07A736-CEFD-48B0-B6ED-878D9394272A}"/>
    <cellStyle name="Currency 3 2 4 5 5" xfId="11400" xr:uid="{15C74FC3-0A4A-4F61-B001-81B47323A15E}"/>
    <cellStyle name="Currency 3 2 4 6" xfId="2420" xr:uid="{00000000-0005-0000-0000-00003D0B0000}"/>
    <cellStyle name="Currency 3 2 4 6 2" xfId="6704" xr:uid="{00000000-0005-0000-0000-00003E0B0000}"/>
    <cellStyle name="Currency 3 2 4 6 2 2" xfId="25329" xr:uid="{392139FB-5547-4523-ACBE-0B11867FD6B2}"/>
    <cellStyle name="Currency 3 2 4 6 2 3" xfId="16030" xr:uid="{7833878D-E963-452A-B4E6-F423D3F7C4C7}"/>
    <cellStyle name="Currency 3 2 4 6 3" xfId="21112" xr:uid="{EDD51B93-1A89-4B8D-A805-6E148889B500}"/>
    <cellStyle name="Currency 3 2 4 6 4" xfId="11813" xr:uid="{B3B18E68-55C8-45D5-AAB6-8B6687EAF4B8}"/>
    <cellStyle name="Currency 3 2 4 7" xfId="2717" xr:uid="{00000000-0005-0000-0000-00003F0B0000}"/>
    <cellStyle name="Currency 3 2 4 8" xfId="2798" xr:uid="{00000000-0005-0000-0000-0000400B0000}"/>
    <cellStyle name="Currency 3 2 4 8 2" xfId="7021" xr:uid="{00000000-0005-0000-0000-0000410B0000}"/>
    <cellStyle name="Currency 3 2 4 8 2 2" xfId="25646" xr:uid="{7E142873-971B-407C-B066-47550CB2B739}"/>
    <cellStyle name="Currency 3 2 4 8 2 3" xfId="16347" xr:uid="{58E3B56E-8376-420E-8C47-1AE0242887B0}"/>
    <cellStyle name="Currency 3 2 4 8 3" xfId="21429" xr:uid="{DA9D751E-712A-467F-ABE2-5C7791E2158D}"/>
    <cellStyle name="Currency 3 2 4 8 4" xfId="12130" xr:uid="{7A848220-B8FD-4986-AEE8-CFE6C2CE006F}"/>
    <cellStyle name="Currency 3 2 4 9" xfId="4638" xr:uid="{00000000-0005-0000-0000-0000420B0000}"/>
    <cellStyle name="Currency 3 2 4 9 2" xfId="23263" xr:uid="{A120274F-63AC-43E8-B0D0-7EE55A2963B5}"/>
    <cellStyle name="Currency 3 2 4 9 3" xfId="13964" xr:uid="{241DEDD5-3293-48F6-8C7E-2BB489F13A40}"/>
    <cellStyle name="Currency 3 2 5" xfId="185" xr:uid="{00000000-0005-0000-0000-0000430B0000}"/>
    <cellStyle name="Currency 3 2 5 10" xfId="9214" xr:uid="{3D0A867F-0B9D-4759-A509-3EC1084E197B}"/>
    <cellStyle name="Currency 3 2 5 10 2" xfId="27829" xr:uid="{BB8D0579-5E21-4FCC-A3ED-E481C91C3727}"/>
    <cellStyle name="Currency 3 2 5 10 3" xfId="18530" xr:uid="{A947E970-740B-4D48-A560-B96FF4550CBE}"/>
    <cellStyle name="Currency 3 2 5 11" xfId="19047" xr:uid="{CD2EFB8B-236C-4660-BB71-2BE548B4C54A}"/>
    <cellStyle name="Currency 3 2 5 12" xfId="9748" xr:uid="{616C5E8A-FF4F-4098-B5AC-5E27A77528F4}"/>
    <cellStyle name="Currency 3 2 5 2" xfId="715" xr:uid="{00000000-0005-0000-0000-0000440B0000}"/>
    <cellStyle name="Currency 3 2 5 2 2" xfId="2976" xr:uid="{00000000-0005-0000-0000-0000450B0000}"/>
    <cellStyle name="Currency 3 2 5 2 2 2" xfId="7198" xr:uid="{00000000-0005-0000-0000-0000460B0000}"/>
    <cellStyle name="Currency 3 2 5 2 2 2 2" xfId="25823" xr:uid="{0950A9A7-C042-4B35-8AEA-C88E80E39D66}"/>
    <cellStyle name="Currency 3 2 5 2 2 2 3" xfId="16524" xr:uid="{7155778A-AD50-4A99-A2D6-A492E94B9D4C}"/>
    <cellStyle name="Currency 3 2 5 2 2 3" xfId="21606" xr:uid="{53A3889C-F8BF-4974-AC77-A1599E5E249F}"/>
    <cellStyle name="Currency 3 2 5 2 2 4" xfId="12307" xr:uid="{EBEA4080-5A01-4198-964D-C4F7D4C3E30B}"/>
    <cellStyle name="Currency 3 2 5 2 3" xfId="5053" xr:uid="{00000000-0005-0000-0000-0000470B0000}"/>
    <cellStyle name="Currency 3 2 5 2 3 2" xfId="23678" xr:uid="{AEDFE4A5-AD20-43F8-B1EB-58C9404DC358}"/>
    <cellStyle name="Currency 3 2 5 2 3 3" xfId="14379" xr:uid="{71CC3686-ADA2-457E-854C-6F3AF5E5B84C}"/>
    <cellStyle name="Currency 3 2 5 2 4" xfId="9597" xr:uid="{6E2F978E-96E4-4AD8-B4BD-1BE9D7E96A2F}"/>
    <cellStyle name="Currency 3 2 5 2 4 2" xfId="28200" xr:uid="{3C4EA13F-ECB7-4789-BE46-E1AE16AA6299}"/>
    <cellStyle name="Currency 3 2 5 2 4 3" xfId="18901" xr:uid="{35FB92DC-1690-4B50-886B-5E421B7B8086}"/>
    <cellStyle name="Currency 3 2 5 2 5" xfId="19461" xr:uid="{A4326D73-CA7C-4E98-812D-D1A6A41F07FD}"/>
    <cellStyle name="Currency 3 2 5 2 6" xfId="10162" xr:uid="{7989F3E5-042C-4E98-A398-041FBD81B1E9}"/>
    <cellStyle name="Currency 3 2 5 3" xfId="1158" xr:uid="{00000000-0005-0000-0000-0000480B0000}"/>
    <cellStyle name="Currency 3 2 5 3 2" xfId="3389" xr:uid="{00000000-0005-0000-0000-0000490B0000}"/>
    <cellStyle name="Currency 3 2 5 3 2 2" xfId="7611" xr:uid="{00000000-0005-0000-0000-00004A0B0000}"/>
    <cellStyle name="Currency 3 2 5 3 2 2 2" xfId="26236" xr:uid="{03A4D15A-503F-4A97-BAFA-B9A7F19AF15E}"/>
    <cellStyle name="Currency 3 2 5 3 2 2 3" xfId="16937" xr:uid="{C73FCD11-002E-4947-AAEF-A95717A3119D}"/>
    <cellStyle name="Currency 3 2 5 3 2 3" xfId="22019" xr:uid="{18F24A61-F837-42C2-B00A-E7C746350CCB}"/>
    <cellStyle name="Currency 3 2 5 3 2 4" xfId="12720" xr:uid="{9602A30E-7285-44C6-AA33-D189CA4A58AE}"/>
    <cellStyle name="Currency 3 2 5 3 3" xfId="5466" xr:uid="{00000000-0005-0000-0000-00004B0B0000}"/>
    <cellStyle name="Currency 3 2 5 3 3 2" xfId="24091" xr:uid="{691D5ADA-3E31-4ABF-82AF-DAD87DBFC6EE}"/>
    <cellStyle name="Currency 3 2 5 3 3 3" xfId="14792" xr:uid="{BD15EEB6-33D6-453B-9108-204E7CF30F8D}"/>
    <cellStyle name="Currency 3 2 5 3 4" xfId="19874" xr:uid="{0E15C69F-7CD2-47F3-BD66-D0F06A937FC7}"/>
    <cellStyle name="Currency 3 2 5 3 5" xfId="10575" xr:uid="{2DE98168-AD32-4194-BEB0-F3D690FA22B7}"/>
    <cellStyle name="Currency 3 2 5 4" xfId="1572" xr:uid="{00000000-0005-0000-0000-00004C0B0000}"/>
    <cellStyle name="Currency 3 2 5 4 2" xfId="3802" xr:uid="{00000000-0005-0000-0000-00004D0B0000}"/>
    <cellStyle name="Currency 3 2 5 4 2 2" xfId="8024" xr:uid="{00000000-0005-0000-0000-00004E0B0000}"/>
    <cellStyle name="Currency 3 2 5 4 2 2 2" xfId="26649" xr:uid="{864F2EE2-7A28-46D6-A94B-81F29EB3BD5A}"/>
    <cellStyle name="Currency 3 2 5 4 2 2 3" xfId="17350" xr:uid="{3BFFE6C7-A678-4135-B8AC-7F0E9AD8B69D}"/>
    <cellStyle name="Currency 3 2 5 4 2 3" xfId="22432" xr:uid="{620DEAB0-FAC6-4EC1-AFF4-C3682B6DB07E}"/>
    <cellStyle name="Currency 3 2 5 4 2 4" xfId="13133" xr:uid="{5E7C7700-A61A-4CC2-941F-832F5F6DEE3F}"/>
    <cellStyle name="Currency 3 2 5 4 3" xfId="5879" xr:uid="{00000000-0005-0000-0000-00004F0B0000}"/>
    <cellStyle name="Currency 3 2 5 4 3 2" xfId="24504" xr:uid="{084F1ABB-547C-48E3-923C-6A25666329C8}"/>
    <cellStyle name="Currency 3 2 5 4 3 3" xfId="15205" xr:uid="{5CCA764D-B247-452E-8943-3FF6D85611BB}"/>
    <cellStyle name="Currency 3 2 5 4 4" xfId="20287" xr:uid="{881FC990-7D0E-4A73-9BAE-6851F8762D7E}"/>
    <cellStyle name="Currency 3 2 5 4 5" xfId="10988" xr:uid="{F7F46CE6-0B31-41AC-9266-90E6DA7E8B76}"/>
    <cellStyle name="Currency 3 2 5 5" xfId="1986" xr:uid="{00000000-0005-0000-0000-0000500B0000}"/>
    <cellStyle name="Currency 3 2 5 5 2" xfId="4215" xr:uid="{00000000-0005-0000-0000-0000510B0000}"/>
    <cellStyle name="Currency 3 2 5 5 2 2" xfId="8437" xr:uid="{00000000-0005-0000-0000-0000520B0000}"/>
    <cellStyle name="Currency 3 2 5 5 2 2 2" xfId="27062" xr:uid="{3102655F-60CC-4C98-9EE5-E60F08F4BD5D}"/>
    <cellStyle name="Currency 3 2 5 5 2 2 3" xfId="17763" xr:uid="{DA72100E-772F-49D9-BCF1-C331E0241A93}"/>
    <cellStyle name="Currency 3 2 5 5 2 3" xfId="22845" xr:uid="{03DCCCDF-5734-483B-A6BD-C5FC82518FF0}"/>
    <cellStyle name="Currency 3 2 5 5 2 4" xfId="13546" xr:uid="{821404D6-892F-40C3-A16B-B8928D4BF2C5}"/>
    <cellStyle name="Currency 3 2 5 5 3" xfId="6292" xr:uid="{00000000-0005-0000-0000-0000530B0000}"/>
    <cellStyle name="Currency 3 2 5 5 3 2" xfId="24917" xr:uid="{71B48A40-EC33-4C32-BA4B-B9DEEE3AFAD7}"/>
    <cellStyle name="Currency 3 2 5 5 3 3" xfId="15618" xr:uid="{B60992F3-ADD3-46BB-AC40-5C50AB5A9F85}"/>
    <cellStyle name="Currency 3 2 5 5 4" xfId="20700" xr:uid="{A1BF7032-D91A-43D4-B489-F8784101F554}"/>
    <cellStyle name="Currency 3 2 5 5 5" xfId="11401" xr:uid="{6D5D87EC-77D7-4E2B-BBD6-34A707FB819F}"/>
    <cellStyle name="Currency 3 2 5 6" xfId="2421" xr:uid="{00000000-0005-0000-0000-0000540B0000}"/>
    <cellStyle name="Currency 3 2 5 6 2" xfId="6705" xr:uid="{00000000-0005-0000-0000-0000550B0000}"/>
    <cellStyle name="Currency 3 2 5 6 2 2" xfId="25330" xr:uid="{F4B6B394-DBBC-4634-869E-33E952EC2893}"/>
    <cellStyle name="Currency 3 2 5 6 2 3" xfId="16031" xr:uid="{32352E64-F2FD-47FD-8E9F-E3BC5F7D269A}"/>
    <cellStyle name="Currency 3 2 5 6 3" xfId="21113" xr:uid="{C208C996-ADC2-462E-902C-02ED207F8909}"/>
    <cellStyle name="Currency 3 2 5 6 4" xfId="11814" xr:uid="{CF59E93F-BE0B-40EE-891F-B631A4CAA143}"/>
    <cellStyle name="Currency 3 2 5 7" xfId="2718" xr:uid="{00000000-0005-0000-0000-0000560B0000}"/>
    <cellStyle name="Currency 3 2 5 8" xfId="2799" xr:uid="{00000000-0005-0000-0000-0000570B0000}"/>
    <cellStyle name="Currency 3 2 5 8 2" xfId="7022" xr:uid="{00000000-0005-0000-0000-0000580B0000}"/>
    <cellStyle name="Currency 3 2 5 8 2 2" xfId="25647" xr:uid="{BD8D7F2C-A7B2-4A8E-892F-DB1F8C3E77BE}"/>
    <cellStyle name="Currency 3 2 5 8 2 3" xfId="16348" xr:uid="{C61FB431-DF8A-4A41-AABF-E0B547BA47A0}"/>
    <cellStyle name="Currency 3 2 5 8 3" xfId="21430" xr:uid="{604CEA59-52C1-4CB8-B68D-9CA5C4E8DD21}"/>
    <cellStyle name="Currency 3 2 5 8 4" xfId="12131" xr:uid="{A805E5B1-EF2C-47A6-A429-F5CD19567D27}"/>
    <cellStyle name="Currency 3 2 5 9" xfId="4639" xr:uid="{00000000-0005-0000-0000-0000590B0000}"/>
    <cellStyle name="Currency 3 2 5 9 2" xfId="23264" xr:uid="{51DB1488-D96F-43D0-9954-8EDAA4E88C3E}"/>
    <cellStyle name="Currency 3 2 5 9 3" xfId="13965" xr:uid="{3712428D-F258-45DC-AACD-170D557EC5D6}"/>
    <cellStyle name="Currency 3 2 6" xfId="9583" xr:uid="{653EC571-6DFB-4D44-8156-8097E74D2DD4}"/>
    <cellStyle name="Currency 3 2 7" xfId="8790" xr:uid="{4F16186C-C154-4E9A-B12A-0E13D64C3701}"/>
    <cellStyle name="Currency 3 2 7 2" xfId="27413" xr:uid="{9088EAD7-735A-4A70-9BA3-1C20633A307C}"/>
    <cellStyle name="Currency 3 2 7 3" xfId="18114" xr:uid="{8F006271-FF85-4645-AFE8-E57964F214EC}"/>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0 2 2" xfId="25648" xr:uid="{D53490A4-F1ED-4324-8F1D-246B069D37C4}"/>
    <cellStyle name="Currency 5 2 2 2 10 2 3" xfId="16349" xr:uid="{1822DA0D-3BE7-4853-B462-D4925E1BAF66}"/>
    <cellStyle name="Currency 5 2 2 2 10 3" xfId="21431" xr:uid="{E12E9D9A-2FE1-4476-B0DD-345214E1D73D}"/>
    <cellStyle name="Currency 5 2 2 2 10 4" xfId="12132" xr:uid="{CE2D1C59-BAFF-4B95-940B-8DE05C5F609E}"/>
    <cellStyle name="Currency 5 2 2 2 11" xfId="4640" xr:uid="{00000000-0005-0000-0000-00006C0B0000}"/>
    <cellStyle name="Currency 5 2 2 2 11 2" xfId="23265" xr:uid="{705865B2-7EBD-4F96-AB26-8749C970E889}"/>
    <cellStyle name="Currency 5 2 2 2 11 3" xfId="13966" xr:uid="{260103E0-674A-4BB6-843C-613E7929E579}"/>
    <cellStyle name="Currency 5 2 2 2 12" xfId="8809" xr:uid="{6E2B58BA-BC61-49BF-A0FE-5BC79A050654}"/>
    <cellStyle name="Currency 5 2 2 2 12 2" xfId="27432" xr:uid="{C283FAA2-E79A-4D14-8BAE-A97EEC74A1D0}"/>
    <cellStyle name="Currency 5 2 2 2 12 3" xfId="18133" xr:uid="{2534D090-3D4F-4412-B63A-89EE20D4E5E6}"/>
    <cellStyle name="Currency 5 2 2 2 13" xfId="19048" xr:uid="{E20CF175-CDB8-40D8-A406-6EE3E7B54EBF}"/>
    <cellStyle name="Currency 5 2 2 2 14" xfId="9749" xr:uid="{F3F58C5B-90E4-4F16-B2A5-1841DC855DDC}"/>
    <cellStyle name="Currency 5 2 2 2 2" xfId="197" xr:uid="{00000000-0005-0000-0000-00006D0B0000}"/>
    <cellStyle name="Currency 5 2 2 2 2 10" xfId="4641" xr:uid="{00000000-0005-0000-0000-00006E0B0000}"/>
    <cellStyle name="Currency 5 2 2 2 2 10 2" xfId="23266" xr:uid="{9FC98B04-1C31-4069-B1A7-0C0EE59C96E3}"/>
    <cellStyle name="Currency 5 2 2 2 2 10 3" xfId="13967" xr:uid="{DBBC38F5-0E41-4F6F-B51F-37377E54BD55}"/>
    <cellStyle name="Currency 5 2 2 2 2 11" xfId="8912" xr:uid="{4079D27E-F98B-4445-AE20-FFD848158756}"/>
    <cellStyle name="Currency 5 2 2 2 2 11 2" xfId="27535" xr:uid="{84E8042E-1DF2-4722-AF1C-62FE9670BD5C}"/>
    <cellStyle name="Currency 5 2 2 2 2 11 3" xfId="18236" xr:uid="{B69C2941-BFA6-42ED-9EA8-3F3714BF937B}"/>
    <cellStyle name="Currency 5 2 2 2 2 12" xfId="19049" xr:uid="{667C8B64-66D9-44CA-A4B9-0801C33A1AD9}"/>
    <cellStyle name="Currency 5 2 2 2 2 13" xfId="9750" xr:uid="{81A6EA76-369D-49E6-9907-7920BADD2A66}"/>
    <cellStyle name="Currency 5 2 2 2 2 2" xfId="198" xr:uid="{00000000-0005-0000-0000-00006F0B0000}"/>
    <cellStyle name="Currency 5 2 2 2 2 2 10" xfId="9119" xr:uid="{2B97CFE9-E9FD-476D-A341-C695293642F3}"/>
    <cellStyle name="Currency 5 2 2 2 2 2 10 2" xfId="27742" xr:uid="{24142449-E14E-4BE3-9E36-CA901F68BAB0}"/>
    <cellStyle name="Currency 5 2 2 2 2 2 10 3" xfId="18443" xr:uid="{651DC573-0864-45E2-9635-DBEBC3EDCD00}"/>
    <cellStyle name="Currency 5 2 2 2 2 2 11" xfId="19050" xr:uid="{F0B2055D-337B-4F68-8D24-ED0220758921}"/>
    <cellStyle name="Currency 5 2 2 2 2 2 12" xfId="9751" xr:uid="{8C0E23A2-EF80-458B-A307-B83D05AC6320}"/>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2 2 2" xfId="25826" xr:uid="{F5F3B4C7-BFAC-4B5C-BDA5-1A22B389F9E7}"/>
    <cellStyle name="Currency 5 2 2 2 2 2 2 2 2 3" xfId="16527" xr:uid="{495541B9-9397-4DC6-B244-6BBC12380D59}"/>
    <cellStyle name="Currency 5 2 2 2 2 2 2 2 3" xfId="21609" xr:uid="{2A34B5D8-C72A-48C5-91A6-D9EBDAF83692}"/>
    <cellStyle name="Currency 5 2 2 2 2 2 2 2 4" xfId="12310" xr:uid="{8553BF99-AB53-4AE3-8716-CDCD8F1BD196}"/>
    <cellStyle name="Currency 5 2 2 2 2 2 2 3" xfId="5056" xr:uid="{00000000-0005-0000-0000-0000730B0000}"/>
    <cellStyle name="Currency 5 2 2 2 2 2 2 3 2" xfId="23681" xr:uid="{7882EA3A-FFBB-4E87-A9FF-24BD711CCE60}"/>
    <cellStyle name="Currency 5 2 2 2 2 2 2 3 3" xfId="14382" xr:uid="{031CA114-7D4B-4DE7-8C55-E1EF68CD20D4}"/>
    <cellStyle name="Currency 5 2 2 2 2 2 2 4" xfId="9544" xr:uid="{77881B28-843C-4677-B92C-D2A5804BDB97}"/>
    <cellStyle name="Currency 5 2 2 2 2 2 2 4 2" xfId="28158" xr:uid="{B3893A46-96FA-42D8-B4B3-ECDB3F76F47A}"/>
    <cellStyle name="Currency 5 2 2 2 2 2 2 4 3" xfId="18859" xr:uid="{8BF98F96-3661-4EB6-8528-A6280A76DCBB}"/>
    <cellStyle name="Currency 5 2 2 2 2 2 2 5" xfId="19464" xr:uid="{98810F87-2460-451F-91C2-F9690E194A41}"/>
    <cellStyle name="Currency 5 2 2 2 2 2 2 6" xfId="10165" xr:uid="{47A6542B-2FBC-45A5-87CF-36268789B9C6}"/>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2 2 2" xfId="26239" xr:uid="{A6F9685D-DCD4-4DAD-9AD8-91065CBCD0CF}"/>
    <cellStyle name="Currency 5 2 2 2 2 2 3 2 2 3" xfId="16940" xr:uid="{7B010425-4ECC-4CB6-9644-5FC0BD4D84F7}"/>
    <cellStyle name="Currency 5 2 2 2 2 2 3 2 3" xfId="22022" xr:uid="{80DDF076-2D87-4EFA-8C58-883740711B2C}"/>
    <cellStyle name="Currency 5 2 2 2 2 2 3 2 4" xfId="12723" xr:uid="{2486EF2B-88B1-424E-9015-7F19B31A456A}"/>
    <cellStyle name="Currency 5 2 2 2 2 2 3 3" xfId="5469" xr:uid="{00000000-0005-0000-0000-0000770B0000}"/>
    <cellStyle name="Currency 5 2 2 2 2 2 3 3 2" xfId="24094" xr:uid="{B5EABA8F-3199-43E4-8B6D-77F35C31EDE2}"/>
    <cellStyle name="Currency 5 2 2 2 2 2 3 3 3" xfId="14795" xr:uid="{9AFCD91E-E4BE-4184-830C-DA9EFC718515}"/>
    <cellStyle name="Currency 5 2 2 2 2 2 3 4" xfId="19877" xr:uid="{E559D82F-014A-4CFB-931C-ACC61344CBA8}"/>
    <cellStyle name="Currency 5 2 2 2 2 2 3 5" xfId="10578" xr:uid="{9DDF4ADF-C90A-480B-9C57-EB5BFADBB548}"/>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2 2 2" xfId="26652" xr:uid="{524FD54B-66F0-4A1E-8BCC-61B550A23821}"/>
    <cellStyle name="Currency 5 2 2 2 2 2 4 2 2 3" xfId="17353" xr:uid="{9FB2FFD8-7034-40AC-B5AE-735B26D83419}"/>
    <cellStyle name="Currency 5 2 2 2 2 2 4 2 3" xfId="22435" xr:uid="{7002BEE1-04DA-4A5E-8F0D-B6B84AAD245B}"/>
    <cellStyle name="Currency 5 2 2 2 2 2 4 2 4" xfId="13136" xr:uid="{42C426E8-D3BE-454B-8809-C2DCBB414433}"/>
    <cellStyle name="Currency 5 2 2 2 2 2 4 3" xfId="5882" xr:uid="{00000000-0005-0000-0000-00007B0B0000}"/>
    <cellStyle name="Currency 5 2 2 2 2 2 4 3 2" xfId="24507" xr:uid="{25DA768A-1459-4652-BAE2-AB3C52509276}"/>
    <cellStyle name="Currency 5 2 2 2 2 2 4 3 3" xfId="15208" xr:uid="{56298D3E-D986-4F16-85C7-E504E519C2DC}"/>
    <cellStyle name="Currency 5 2 2 2 2 2 4 4" xfId="20290" xr:uid="{39570D15-B6A4-4316-9AED-884571A20389}"/>
    <cellStyle name="Currency 5 2 2 2 2 2 4 5" xfId="10991" xr:uid="{3A0EC243-27C4-4A29-8C61-5978D8C07093}"/>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2 2 2" xfId="27065" xr:uid="{388D7CF3-A43A-48FC-8B09-6426E1B7035E}"/>
    <cellStyle name="Currency 5 2 2 2 2 2 5 2 2 3" xfId="17766" xr:uid="{FE08BB26-5803-4D4F-9425-E016E005A867}"/>
    <cellStyle name="Currency 5 2 2 2 2 2 5 2 3" xfId="22848" xr:uid="{DE1DA031-5126-47CF-82A3-DAD8C484CFF4}"/>
    <cellStyle name="Currency 5 2 2 2 2 2 5 2 4" xfId="13549" xr:uid="{066A35C6-7FF6-40CB-A932-EF97EFFF1A0F}"/>
    <cellStyle name="Currency 5 2 2 2 2 2 5 3" xfId="6295" xr:uid="{00000000-0005-0000-0000-00007F0B0000}"/>
    <cellStyle name="Currency 5 2 2 2 2 2 5 3 2" xfId="24920" xr:uid="{E1E9B792-AAE1-457E-8ACC-7A0F105F9B86}"/>
    <cellStyle name="Currency 5 2 2 2 2 2 5 3 3" xfId="15621" xr:uid="{58D663B6-3759-45F6-BE80-FDDB2C9E9F82}"/>
    <cellStyle name="Currency 5 2 2 2 2 2 5 4" xfId="20703" xr:uid="{4BEA0AC6-8438-4938-B2C3-5C1BC59302A1}"/>
    <cellStyle name="Currency 5 2 2 2 2 2 5 5" xfId="11404" xr:uid="{5916373A-4F1A-423B-BE90-26C512F024C7}"/>
    <cellStyle name="Currency 5 2 2 2 2 2 6" xfId="2424" xr:uid="{00000000-0005-0000-0000-0000800B0000}"/>
    <cellStyle name="Currency 5 2 2 2 2 2 6 2" xfId="6708" xr:uid="{00000000-0005-0000-0000-0000810B0000}"/>
    <cellStyle name="Currency 5 2 2 2 2 2 6 2 2" xfId="25333" xr:uid="{60D52B66-7F56-4CFA-A1C1-10C8FDB13956}"/>
    <cellStyle name="Currency 5 2 2 2 2 2 6 2 3" xfId="16034" xr:uid="{DBAFFE94-A326-4E67-8082-D67C5CD9C89B}"/>
    <cellStyle name="Currency 5 2 2 2 2 2 6 3" xfId="21116" xr:uid="{50F410C5-3D6F-498F-93EB-C321DB45AC40}"/>
    <cellStyle name="Currency 5 2 2 2 2 2 6 4" xfId="11817" xr:uid="{B6190BDE-2ED3-4AA7-A488-444FFAFE7EF1}"/>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8 2 2" xfId="25650" xr:uid="{DD67B14F-6930-4B5D-A5C3-9567E9B3F495}"/>
    <cellStyle name="Currency 5 2 2 2 2 2 8 2 3" xfId="16351" xr:uid="{7AAE5138-E755-43B7-825D-9CBA4239A249}"/>
    <cellStyle name="Currency 5 2 2 2 2 2 8 3" xfId="21433" xr:uid="{33CC540F-20A5-4BEF-B34B-013C1E3A8BED}"/>
    <cellStyle name="Currency 5 2 2 2 2 2 8 4" xfId="12134" xr:uid="{D79B564D-FAD4-48A5-80E7-46B42B1AD7ED}"/>
    <cellStyle name="Currency 5 2 2 2 2 2 9" xfId="4642" xr:uid="{00000000-0005-0000-0000-0000850B0000}"/>
    <cellStyle name="Currency 5 2 2 2 2 2 9 2" xfId="23267" xr:uid="{2407CB11-2657-4917-A584-BAFE748D3F89}"/>
    <cellStyle name="Currency 5 2 2 2 2 2 9 3" xfId="13968" xr:uid="{EA12F992-69FF-4F92-9D64-C8814C31CDE8}"/>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2 2 2" xfId="25825" xr:uid="{96D018A0-4915-4201-9304-E73BB4F685E1}"/>
    <cellStyle name="Currency 5 2 2 2 2 3 2 2 3" xfId="16526" xr:uid="{F47363B8-A387-47AD-B410-87285412B573}"/>
    <cellStyle name="Currency 5 2 2 2 2 3 2 3" xfId="21608" xr:uid="{62E9D507-DE3F-49F1-94F3-25601BD89E8E}"/>
    <cellStyle name="Currency 5 2 2 2 2 3 2 4" xfId="12309" xr:uid="{C10594B7-6A28-4637-AB89-242BA49EFE56}"/>
    <cellStyle name="Currency 5 2 2 2 2 3 3" xfId="5055" xr:uid="{00000000-0005-0000-0000-0000890B0000}"/>
    <cellStyle name="Currency 5 2 2 2 2 3 3 2" xfId="23680" xr:uid="{0EB26257-5E91-4BAF-BB43-7228CA5C2AD8}"/>
    <cellStyle name="Currency 5 2 2 2 2 3 3 3" xfId="14381" xr:uid="{392C7C50-9131-43BC-B451-61A67C9B85C3}"/>
    <cellStyle name="Currency 5 2 2 2 2 3 4" xfId="9337" xr:uid="{A1FF44B9-A8E0-4A4E-9BE9-DA7FD7E326AE}"/>
    <cellStyle name="Currency 5 2 2 2 2 3 4 2" xfId="27951" xr:uid="{F11E5866-983A-4619-81DC-0E71DD50454B}"/>
    <cellStyle name="Currency 5 2 2 2 2 3 4 3" xfId="18652" xr:uid="{210D060A-69B9-4542-8A7A-B9613F36EB21}"/>
    <cellStyle name="Currency 5 2 2 2 2 3 5" xfId="19463" xr:uid="{2D0DEEF6-A8AF-4CC9-B790-FBDB20320226}"/>
    <cellStyle name="Currency 5 2 2 2 2 3 6" xfId="10164" xr:uid="{60C3B78D-D311-4704-AFA2-3C9BE64ADFEA}"/>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2 2 2" xfId="26238" xr:uid="{5A59882D-CC08-4002-98FB-5E70DCFD3BCB}"/>
    <cellStyle name="Currency 5 2 2 2 2 4 2 2 3" xfId="16939" xr:uid="{2C6C4F27-8D91-44DE-B50F-A11419A8638B}"/>
    <cellStyle name="Currency 5 2 2 2 2 4 2 3" xfId="22021" xr:uid="{B282D926-D909-49DF-9424-724617EFF2F3}"/>
    <cellStyle name="Currency 5 2 2 2 2 4 2 4" xfId="12722" xr:uid="{4F62B22E-5BC3-490E-840E-18DE9C85E71B}"/>
    <cellStyle name="Currency 5 2 2 2 2 4 3" xfId="5468" xr:uid="{00000000-0005-0000-0000-00008D0B0000}"/>
    <cellStyle name="Currency 5 2 2 2 2 4 3 2" xfId="24093" xr:uid="{46DAF113-689E-4DA1-A3D5-3D73266A7B34}"/>
    <cellStyle name="Currency 5 2 2 2 2 4 3 3" xfId="14794" xr:uid="{9A603D26-CB63-46B9-B42D-2B0B94749987}"/>
    <cellStyle name="Currency 5 2 2 2 2 4 4" xfId="19876" xr:uid="{BE18CC90-E429-468C-BEB5-C32FD04B7F73}"/>
    <cellStyle name="Currency 5 2 2 2 2 4 5" xfId="10577" xr:uid="{F7CE7C3A-839D-47FC-800A-960393370CDF}"/>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2 2 2" xfId="26651" xr:uid="{75BA377F-12BC-4C30-B74A-DF28FE44D4FC}"/>
    <cellStyle name="Currency 5 2 2 2 2 5 2 2 3" xfId="17352" xr:uid="{56E5E4A4-D463-4C8F-8BC2-41154BC65E93}"/>
    <cellStyle name="Currency 5 2 2 2 2 5 2 3" xfId="22434" xr:uid="{BEAB0EA2-D378-4BB9-9E29-89D134766182}"/>
    <cellStyle name="Currency 5 2 2 2 2 5 2 4" xfId="13135" xr:uid="{27822D9C-D7D2-4874-91F2-D10CEDC04527}"/>
    <cellStyle name="Currency 5 2 2 2 2 5 3" xfId="5881" xr:uid="{00000000-0005-0000-0000-0000910B0000}"/>
    <cellStyle name="Currency 5 2 2 2 2 5 3 2" xfId="24506" xr:uid="{D4AA97A6-62BC-4216-B217-4ADCE05C213B}"/>
    <cellStyle name="Currency 5 2 2 2 2 5 3 3" xfId="15207" xr:uid="{6CAE79FC-B1E6-4502-92B0-14E56501F4AE}"/>
    <cellStyle name="Currency 5 2 2 2 2 5 4" xfId="20289" xr:uid="{4F683455-1799-416C-8A4E-708689A28CC3}"/>
    <cellStyle name="Currency 5 2 2 2 2 5 5" xfId="10990" xr:uid="{9F5DFAA6-1400-451C-976B-528A863177B9}"/>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2 2 2" xfId="27064" xr:uid="{134FA4E5-3FD2-4398-B9DC-C75DDF15F65D}"/>
    <cellStyle name="Currency 5 2 2 2 2 6 2 2 3" xfId="17765" xr:uid="{9F488AB5-38CE-4DB3-B160-42B343C731D9}"/>
    <cellStyle name="Currency 5 2 2 2 2 6 2 3" xfId="22847" xr:uid="{E950E50D-AA77-4AAE-A0FB-9DA74CF63400}"/>
    <cellStyle name="Currency 5 2 2 2 2 6 2 4" xfId="13548" xr:uid="{48FF703A-686D-4BF2-A4EF-FA7479EFAA7F}"/>
    <cellStyle name="Currency 5 2 2 2 2 6 3" xfId="6294" xr:uid="{00000000-0005-0000-0000-0000950B0000}"/>
    <cellStyle name="Currency 5 2 2 2 2 6 3 2" xfId="24919" xr:uid="{9E613301-0065-4117-9C63-8B64BAE3FD4E}"/>
    <cellStyle name="Currency 5 2 2 2 2 6 3 3" xfId="15620" xr:uid="{126007DA-14E3-4E08-8955-BBE6AB7C58BB}"/>
    <cellStyle name="Currency 5 2 2 2 2 6 4" xfId="20702" xr:uid="{1B644A75-A9B7-4630-9241-CD7EDAF8C4D6}"/>
    <cellStyle name="Currency 5 2 2 2 2 6 5" xfId="11403" xr:uid="{997095A8-7F71-4069-BAF9-0F358EC25657}"/>
    <cellStyle name="Currency 5 2 2 2 2 7" xfId="2423" xr:uid="{00000000-0005-0000-0000-0000960B0000}"/>
    <cellStyle name="Currency 5 2 2 2 2 7 2" xfId="6707" xr:uid="{00000000-0005-0000-0000-0000970B0000}"/>
    <cellStyle name="Currency 5 2 2 2 2 7 2 2" xfId="25332" xr:uid="{01EE657D-1B38-4DA5-B1B2-858A968743FB}"/>
    <cellStyle name="Currency 5 2 2 2 2 7 2 3" xfId="16033" xr:uid="{7980F9BF-A094-4E09-82BB-0B6007799770}"/>
    <cellStyle name="Currency 5 2 2 2 2 7 3" xfId="21115" xr:uid="{C53A17FE-6F89-47DC-8649-C6D5FE63AD34}"/>
    <cellStyle name="Currency 5 2 2 2 2 7 4" xfId="11816" xr:uid="{C07BA222-2437-4E34-97EE-3D6FCD66F382}"/>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2 9 2 2" xfId="25649" xr:uid="{E1736504-A502-45D6-990B-5CCD2AB450B2}"/>
    <cellStyle name="Currency 5 2 2 2 2 9 2 3" xfId="16350" xr:uid="{FC277263-FA38-43D2-9EF1-D6268348916A}"/>
    <cellStyle name="Currency 5 2 2 2 2 9 3" xfId="21432" xr:uid="{A297CD30-8F50-4FA4-80E0-F8766C2EC0EF}"/>
    <cellStyle name="Currency 5 2 2 2 2 9 4" xfId="12133" xr:uid="{62CFB5A7-D224-4D48-AA2E-1C55094848A0}"/>
    <cellStyle name="Currency 5 2 2 2 3" xfId="199" xr:uid="{00000000-0005-0000-0000-00009B0B0000}"/>
    <cellStyle name="Currency 5 2 2 2 3 10" xfId="9016" xr:uid="{706F9706-E49D-4995-B402-A842C879DBC8}"/>
    <cellStyle name="Currency 5 2 2 2 3 10 2" xfId="27639" xr:uid="{8A3B3899-BF4C-4910-94FD-6F9045F1B4DC}"/>
    <cellStyle name="Currency 5 2 2 2 3 10 3" xfId="18340" xr:uid="{21FE1194-783D-43BA-82CE-736A758070AE}"/>
    <cellStyle name="Currency 5 2 2 2 3 11" xfId="19051" xr:uid="{87A5A914-6A7B-4487-AD30-4E4B3983B1C2}"/>
    <cellStyle name="Currency 5 2 2 2 3 12" xfId="9752" xr:uid="{69B432F0-0D72-43E2-97B9-5F5D6C8CD0DA}"/>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2 2 2" xfId="25827" xr:uid="{E4C103D4-937D-4014-86FE-13CA543DB640}"/>
    <cellStyle name="Currency 5 2 2 2 3 2 2 2 3" xfId="16528" xr:uid="{C85EC144-C117-4ED6-ADE9-A193C42A3B86}"/>
    <cellStyle name="Currency 5 2 2 2 3 2 2 3" xfId="21610" xr:uid="{DF491BC5-DA0A-497E-BAAE-78BA8C2E3412}"/>
    <cellStyle name="Currency 5 2 2 2 3 2 2 4" xfId="12311" xr:uid="{D9D4F88D-980E-45FC-A18B-DECB9510EDEB}"/>
    <cellStyle name="Currency 5 2 2 2 3 2 3" xfId="5057" xr:uid="{00000000-0005-0000-0000-00009F0B0000}"/>
    <cellStyle name="Currency 5 2 2 2 3 2 3 2" xfId="23682" xr:uid="{33A8CF8F-3721-4F52-97C6-0F3E90B0CBF0}"/>
    <cellStyle name="Currency 5 2 2 2 3 2 3 3" xfId="14383" xr:uid="{CD6AFB34-DF64-4DB6-9596-C3120F9362F5}"/>
    <cellStyle name="Currency 5 2 2 2 3 2 4" xfId="9441" xr:uid="{B7048274-E02F-4E6A-9C9A-FAD4299F19B1}"/>
    <cellStyle name="Currency 5 2 2 2 3 2 4 2" xfId="28055" xr:uid="{5B890DD8-472B-486C-B903-F5A9E23CB3F2}"/>
    <cellStyle name="Currency 5 2 2 2 3 2 4 3" xfId="18756" xr:uid="{5C643032-C7F3-4C88-AA35-1F30609BAD4B}"/>
    <cellStyle name="Currency 5 2 2 2 3 2 5" xfId="19465" xr:uid="{847584DC-5FB3-484D-A1E1-6618060B58B5}"/>
    <cellStyle name="Currency 5 2 2 2 3 2 6" xfId="10166" xr:uid="{F0FB45D1-372A-42B3-BA83-A285A76C90D6}"/>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2 2 2" xfId="26240" xr:uid="{8D5BB156-CAF0-492E-94E1-A1CAEF0FBAA0}"/>
    <cellStyle name="Currency 5 2 2 2 3 3 2 2 3" xfId="16941" xr:uid="{A63774B7-4BFF-45F8-8C98-93553AA692A7}"/>
    <cellStyle name="Currency 5 2 2 2 3 3 2 3" xfId="22023" xr:uid="{D022E93D-DA13-46EB-AC86-A5CCB039431F}"/>
    <cellStyle name="Currency 5 2 2 2 3 3 2 4" xfId="12724" xr:uid="{18CE96FA-43BE-4B28-8CB6-7139E1E3C1B2}"/>
    <cellStyle name="Currency 5 2 2 2 3 3 3" xfId="5470" xr:uid="{00000000-0005-0000-0000-0000A30B0000}"/>
    <cellStyle name="Currency 5 2 2 2 3 3 3 2" xfId="24095" xr:uid="{CCBC75D6-FF7D-4A8F-8BF9-1046C55DFBC5}"/>
    <cellStyle name="Currency 5 2 2 2 3 3 3 3" xfId="14796" xr:uid="{DA502018-36AC-4719-8C68-359376127F24}"/>
    <cellStyle name="Currency 5 2 2 2 3 3 4" xfId="19878" xr:uid="{2EAAB194-0331-46BE-8772-AE69E4D0137C}"/>
    <cellStyle name="Currency 5 2 2 2 3 3 5" xfId="10579" xr:uid="{D89AD04F-DBDC-4FAD-9FA5-E8891D6340E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2 2 2" xfId="26653" xr:uid="{95540259-9194-4961-B6FC-A20CF0FB7F34}"/>
    <cellStyle name="Currency 5 2 2 2 3 4 2 2 3" xfId="17354" xr:uid="{48CFEDE7-F62B-4F39-A2BE-3B662FCC2AC3}"/>
    <cellStyle name="Currency 5 2 2 2 3 4 2 3" xfId="22436" xr:uid="{2692B773-CC0F-4D67-B50D-378B3E3180DC}"/>
    <cellStyle name="Currency 5 2 2 2 3 4 2 4" xfId="13137" xr:uid="{C4761463-1513-4932-9865-402D9524A815}"/>
    <cellStyle name="Currency 5 2 2 2 3 4 3" xfId="5883" xr:uid="{00000000-0005-0000-0000-0000A70B0000}"/>
    <cellStyle name="Currency 5 2 2 2 3 4 3 2" xfId="24508" xr:uid="{2695E44D-3A43-4F1D-9F40-88C9B1FAA967}"/>
    <cellStyle name="Currency 5 2 2 2 3 4 3 3" xfId="15209" xr:uid="{25AF2942-6B95-4E03-83E7-287BEBF3F3E8}"/>
    <cellStyle name="Currency 5 2 2 2 3 4 4" xfId="20291" xr:uid="{685DD076-DE69-406A-A329-AA6FED8C3450}"/>
    <cellStyle name="Currency 5 2 2 2 3 4 5" xfId="10992" xr:uid="{47A5C80A-B225-425D-81F9-A113AA70C865}"/>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2 2 2" xfId="27066" xr:uid="{71D99C45-800D-4E59-8550-13EB754F751D}"/>
    <cellStyle name="Currency 5 2 2 2 3 5 2 2 3" xfId="17767" xr:uid="{13F8D947-0A15-408E-81C8-9D360202EE49}"/>
    <cellStyle name="Currency 5 2 2 2 3 5 2 3" xfId="22849" xr:uid="{3CDBBED4-617B-4134-A242-D75A736D67B8}"/>
    <cellStyle name="Currency 5 2 2 2 3 5 2 4" xfId="13550" xr:uid="{C8B08634-FC7E-4538-8A78-0A243C708726}"/>
    <cellStyle name="Currency 5 2 2 2 3 5 3" xfId="6296" xr:uid="{00000000-0005-0000-0000-0000AB0B0000}"/>
    <cellStyle name="Currency 5 2 2 2 3 5 3 2" xfId="24921" xr:uid="{B0FF595E-AFB2-4F11-863E-BF526EEF3A47}"/>
    <cellStyle name="Currency 5 2 2 2 3 5 3 3" xfId="15622" xr:uid="{5038A3C2-7CC3-4A93-91C7-8A873276C4CF}"/>
    <cellStyle name="Currency 5 2 2 2 3 5 4" xfId="20704" xr:uid="{71DA92F3-4733-48EB-9294-792A297ECA4F}"/>
    <cellStyle name="Currency 5 2 2 2 3 5 5" xfId="11405" xr:uid="{34DFCB2C-E31F-4458-994C-E6EC710118FF}"/>
    <cellStyle name="Currency 5 2 2 2 3 6" xfId="2425" xr:uid="{00000000-0005-0000-0000-0000AC0B0000}"/>
    <cellStyle name="Currency 5 2 2 2 3 6 2" xfId="6709" xr:uid="{00000000-0005-0000-0000-0000AD0B0000}"/>
    <cellStyle name="Currency 5 2 2 2 3 6 2 2" xfId="25334" xr:uid="{32F81B00-4D04-4515-83EF-65DDD6BC5515}"/>
    <cellStyle name="Currency 5 2 2 2 3 6 2 3" xfId="16035" xr:uid="{F1704A6D-4B11-4859-984A-87DF46344326}"/>
    <cellStyle name="Currency 5 2 2 2 3 6 3" xfId="21117" xr:uid="{35E18F82-03B7-494B-BEF5-7317A03E0BD9}"/>
    <cellStyle name="Currency 5 2 2 2 3 6 4" xfId="11818" xr:uid="{22479E79-88AD-4D94-A21E-9A20938186DD}"/>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8 2 2" xfId="25651" xr:uid="{0826969E-5388-4FED-8661-6F994AD7F871}"/>
    <cellStyle name="Currency 5 2 2 2 3 8 2 3" xfId="16352" xr:uid="{9E750F7D-B93D-4A9B-A427-67667291A3D4}"/>
    <cellStyle name="Currency 5 2 2 2 3 8 3" xfId="21434" xr:uid="{3D23F79A-574E-490B-870B-233562966D97}"/>
    <cellStyle name="Currency 5 2 2 2 3 8 4" xfId="12135" xr:uid="{46B47178-8F76-4717-91AD-CD45B13D2094}"/>
    <cellStyle name="Currency 5 2 2 2 3 9" xfId="4643" xr:uid="{00000000-0005-0000-0000-0000B10B0000}"/>
    <cellStyle name="Currency 5 2 2 2 3 9 2" xfId="23268" xr:uid="{73B8D74A-6354-4477-AE2F-30EE5C4EAB72}"/>
    <cellStyle name="Currency 5 2 2 2 3 9 3" xfId="13969" xr:uid="{4D288794-AA4F-415C-9480-5458DA906786}"/>
    <cellStyle name="Currency 5 2 2 2 4" xfId="723" xr:uid="{00000000-0005-0000-0000-0000B20B0000}"/>
    <cellStyle name="Currency 5 2 2 2 4 2" xfId="2977" xr:uid="{00000000-0005-0000-0000-0000B30B0000}"/>
    <cellStyle name="Currency 5 2 2 2 4 2 2" xfId="7199" xr:uid="{00000000-0005-0000-0000-0000B40B0000}"/>
    <cellStyle name="Currency 5 2 2 2 4 2 2 2" xfId="25824" xr:uid="{4BA2CFE2-D219-48B9-85E2-8B555FCC070C}"/>
    <cellStyle name="Currency 5 2 2 2 4 2 2 3" xfId="16525" xr:uid="{A4D4CD48-B4A1-42C4-BFC2-24DA29473F2C}"/>
    <cellStyle name="Currency 5 2 2 2 4 2 3" xfId="21607" xr:uid="{959B2EB7-3FA3-40C6-9947-F1D2DAC14591}"/>
    <cellStyle name="Currency 5 2 2 2 4 2 4" xfId="12308" xr:uid="{4306092D-17E3-4EEE-BB74-51DB014F6A07}"/>
    <cellStyle name="Currency 5 2 2 2 4 3" xfId="5054" xr:uid="{00000000-0005-0000-0000-0000B50B0000}"/>
    <cellStyle name="Currency 5 2 2 2 4 3 2" xfId="23679" xr:uid="{66F7C9B2-0E6C-4CD4-B3B9-7110012600A4}"/>
    <cellStyle name="Currency 5 2 2 2 4 3 3" xfId="14380" xr:uid="{19A65D1A-538C-4A12-91EA-5F26E48BBF03}"/>
    <cellStyle name="Currency 5 2 2 2 4 4" xfId="9234" xr:uid="{AAF147FE-13D8-48BD-A722-062B96166D61}"/>
    <cellStyle name="Currency 5 2 2 2 4 4 2" xfId="27848" xr:uid="{3CA28D79-59AA-44DB-8296-AE89310ACE02}"/>
    <cellStyle name="Currency 5 2 2 2 4 4 3" xfId="18549" xr:uid="{FD3853A1-CC42-470C-8B72-B4E05AEB4354}"/>
    <cellStyle name="Currency 5 2 2 2 4 5" xfId="19462" xr:uid="{0590ED57-03EE-420D-BB67-5106E7D3B54F}"/>
    <cellStyle name="Currency 5 2 2 2 4 6" xfId="10163" xr:uid="{F85FBEF7-DF53-4C48-AEB6-4B1665FAD46F}"/>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2 2 2" xfId="26237" xr:uid="{B9041ABC-CBEF-48B7-9B33-8A1635DBECFB}"/>
    <cellStyle name="Currency 5 2 2 2 5 2 2 3" xfId="16938" xr:uid="{9F11555F-21BF-432D-AC3B-2547BAA4C0EE}"/>
    <cellStyle name="Currency 5 2 2 2 5 2 3" xfId="22020" xr:uid="{09A0A16B-8C78-4BB1-924A-BEB1762F9461}"/>
    <cellStyle name="Currency 5 2 2 2 5 2 4" xfId="12721" xr:uid="{891AD922-48FF-49A4-91E3-35875A0B9CAF}"/>
    <cellStyle name="Currency 5 2 2 2 5 3" xfId="5467" xr:uid="{00000000-0005-0000-0000-0000B90B0000}"/>
    <cellStyle name="Currency 5 2 2 2 5 3 2" xfId="24092" xr:uid="{B2A5ED15-AA0C-4E19-85E9-3669C3F1A83F}"/>
    <cellStyle name="Currency 5 2 2 2 5 3 3" xfId="14793" xr:uid="{FE97636A-E2B5-4449-AB8F-3FC3324BAC36}"/>
    <cellStyle name="Currency 5 2 2 2 5 4" xfId="19875" xr:uid="{62508639-0161-411F-8ACB-52AA9F971BB1}"/>
    <cellStyle name="Currency 5 2 2 2 5 5" xfId="10576" xr:uid="{67E1285A-89CC-4B12-9E6B-AC5F4EBC50A7}"/>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2 2 2" xfId="26650" xr:uid="{409FED2A-604E-4484-932E-9BE6C816AFB2}"/>
    <cellStyle name="Currency 5 2 2 2 6 2 2 3" xfId="17351" xr:uid="{9416F653-4F5C-4204-8AC8-52B5F69468B2}"/>
    <cellStyle name="Currency 5 2 2 2 6 2 3" xfId="22433" xr:uid="{0F0C98CE-1413-46BE-8954-E58A4E544448}"/>
    <cellStyle name="Currency 5 2 2 2 6 2 4" xfId="13134" xr:uid="{70D156F8-0617-4DDF-A5D6-35999CB13F99}"/>
    <cellStyle name="Currency 5 2 2 2 6 3" xfId="5880" xr:uid="{00000000-0005-0000-0000-0000BD0B0000}"/>
    <cellStyle name="Currency 5 2 2 2 6 3 2" xfId="24505" xr:uid="{BEA9A3E7-1451-4C05-91BD-E9E6233C11CF}"/>
    <cellStyle name="Currency 5 2 2 2 6 3 3" xfId="15206" xr:uid="{479BFD2A-B1B7-4A9F-AAAB-CCEF7AD0F97E}"/>
    <cellStyle name="Currency 5 2 2 2 6 4" xfId="20288" xr:uid="{D08E126B-4147-41F7-987C-D3B8B1A1481E}"/>
    <cellStyle name="Currency 5 2 2 2 6 5" xfId="10989" xr:uid="{967DC5DB-5445-42A1-AD8C-E259DFBBDDC3}"/>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2 2 2" xfId="27063" xr:uid="{27CB5925-8E20-4226-8912-E7FA53F13B79}"/>
    <cellStyle name="Currency 5 2 2 2 7 2 2 3" xfId="17764" xr:uid="{B952068F-CC52-4D4C-90A6-757938716820}"/>
    <cellStyle name="Currency 5 2 2 2 7 2 3" xfId="22846" xr:uid="{E11BF160-A146-43C3-949F-9A629C76F1C0}"/>
    <cellStyle name="Currency 5 2 2 2 7 2 4" xfId="13547" xr:uid="{1F8477FA-300B-48E2-A6FF-8BFDBEF978FD}"/>
    <cellStyle name="Currency 5 2 2 2 7 3" xfId="6293" xr:uid="{00000000-0005-0000-0000-0000C10B0000}"/>
    <cellStyle name="Currency 5 2 2 2 7 3 2" xfId="24918" xr:uid="{B4BBB13E-E6A7-4811-A433-A499AAC67D73}"/>
    <cellStyle name="Currency 5 2 2 2 7 3 3" xfId="15619" xr:uid="{2DBB0004-8598-4C81-A135-9A048AE694CC}"/>
    <cellStyle name="Currency 5 2 2 2 7 4" xfId="20701" xr:uid="{B8C1393D-E504-443C-B727-4DEE49548544}"/>
    <cellStyle name="Currency 5 2 2 2 7 5" xfId="11402" xr:uid="{6E88BC4E-D79F-4D51-B24B-00A1637241E5}"/>
    <cellStyle name="Currency 5 2 2 2 8" xfId="2422" xr:uid="{00000000-0005-0000-0000-0000C20B0000}"/>
    <cellStyle name="Currency 5 2 2 2 8 2" xfId="6706" xr:uid="{00000000-0005-0000-0000-0000C30B0000}"/>
    <cellStyle name="Currency 5 2 2 2 8 2 2" xfId="25331" xr:uid="{C3961D29-17FA-4578-8CBE-D07D72EB513B}"/>
    <cellStyle name="Currency 5 2 2 2 8 2 3" xfId="16032" xr:uid="{AAB8174B-13DB-452B-A690-8B9DA8BFF0A6}"/>
    <cellStyle name="Currency 5 2 2 2 8 3" xfId="21114" xr:uid="{7188F820-BD03-4E37-9ABB-32706C62A566}"/>
    <cellStyle name="Currency 5 2 2 2 8 4" xfId="11815" xr:uid="{B782395D-6FEF-421F-B0D8-3C6E9C51F502}"/>
    <cellStyle name="Currency 5 2 2 2 9" xfId="2719" xr:uid="{00000000-0005-0000-0000-0000C40B0000}"/>
    <cellStyle name="Currency 5 2 2 3" xfId="200" xr:uid="{00000000-0005-0000-0000-0000C50B0000}"/>
    <cellStyle name="Currency 5 2 2 3 10" xfId="4644" xr:uid="{00000000-0005-0000-0000-0000C60B0000}"/>
    <cellStyle name="Currency 5 2 2 3 10 2" xfId="23269" xr:uid="{889E2E7A-A7C7-4D8B-A1A7-AAAD5757C225}"/>
    <cellStyle name="Currency 5 2 2 3 10 3" xfId="13970" xr:uid="{09DE091E-3537-493F-9F33-BFDBFB4D685E}"/>
    <cellStyle name="Currency 5 2 2 3 11" xfId="8890" xr:uid="{F313D4EC-7666-4BAA-9452-39176957C213}"/>
    <cellStyle name="Currency 5 2 2 3 11 2" xfId="27513" xr:uid="{7AE05A05-5E2F-4A5B-8CF8-9B13FCDB6CF0}"/>
    <cellStyle name="Currency 5 2 2 3 11 3" xfId="18214" xr:uid="{0DB602EA-8613-47C4-BC87-55168B81E6FB}"/>
    <cellStyle name="Currency 5 2 2 3 12" xfId="19052" xr:uid="{EDBB15AA-0D1B-49BE-A70B-345344DEF06F}"/>
    <cellStyle name="Currency 5 2 2 3 13" xfId="9753" xr:uid="{9E39FC37-F727-41D4-B7EE-50DF8B542FE7}"/>
    <cellStyle name="Currency 5 2 2 3 2" xfId="201" xr:uid="{00000000-0005-0000-0000-0000C70B0000}"/>
    <cellStyle name="Currency 5 2 2 3 2 10" xfId="9097" xr:uid="{74199D2F-F17A-42DD-AC8B-D958FBFFCA8B}"/>
    <cellStyle name="Currency 5 2 2 3 2 10 2" xfId="27720" xr:uid="{7752FF31-8A71-4EA5-BFC0-07436D4970CC}"/>
    <cellStyle name="Currency 5 2 2 3 2 10 3" xfId="18421" xr:uid="{846D50AD-92B3-479D-927C-EB0B59D325E8}"/>
    <cellStyle name="Currency 5 2 2 3 2 11" xfId="19053" xr:uid="{CE0A4C13-2AB6-457F-A362-F2041F73D257}"/>
    <cellStyle name="Currency 5 2 2 3 2 12" xfId="9754" xr:uid="{82D67958-B1D9-45BB-A47B-D1C37DC70DD9}"/>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2 2 2" xfId="25829" xr:uid="{FE39C29C-8E56-4350-BA90-2CD338399815}"/>
    <cellStyle name="Currency 5 2 2 3 2 2 2 2 3" xfId="16530" xr:uid="{E8E7F7B5-723C-44AB-BEA9-DB2DA769715E}"/>
    <cellStyle name="Currency 5 2 2 3 2 2 2 3" xfId="21612" xr:uid="{40E5E27A-6F00-41C7-BD3D-35C45D99527F}"/>
    <cellStyle name="Currency 5 2 2 3 2 2 2 4" xfId="12313" xr:uid="{25B71909-D2FF-45D1-8E61-77C6E8144821}"/>
    <cellStyle name="Currency 5 2 2 3 2 2 3" xfId="5059" xr:uid="{00000000-0005-0000-0000-0000CB0B0000}"/>
    <cellStyle name="Currency 5 2 2 3 2 2 3 2" xfId="23684" xr:uid="{346E5E7A-B0E1-445A-8851-B239429CC0A0}"/>
    <cellStyle name="Currency 5 2 2 3 2 2 3 3" xfId="14385" xr:uid="{03908105-B1C9-46B9-8DB3-D575DDEE52AD}"/>
    <cellStyle name="Currency 5 2 2 3 2 2 4" xfId="9522" xr:uid="{58EAFCD4-DA5B-47CB-A637-29DA003AA3FD}"/>
    <cellStyle name="Currency 5 2 2 3 2 2 4 2" xfId="28136" xr:uid="{D418AC5B-1A08-4F85-B910-5B63C6E5AE39}"/>
    <cellStyle name="Currency 5 2 2 3 2 2 4 3" xfId="18837" xr:uid="{40937AE0-77D0-4042-A5C7-539465188ED3}"/>
    <cellStyle name="Currency 5 2 2 3 2 2 5" xfId="19467" xr:uid="{94D31CA2-3D95-4741-A9A8-02A695C4A6AD}"/>
    <cellStyle name="Currency 5 2 2 3 2 2 6" xfId="10168" xr:uid="{2C92B812-DAFC-4EF8-8793-210498677B5E}"/>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2 2 2" xfId="26242" xr:uid="{3CEAAE1D-6021-4B8A-9446-2E3AB3C278A3}"/>
    <cellStyle name="Currency 5 2 2 3 2 3 2 2 3" xfId="16943" xr:uid="{93FFB6D5-6001-4CD1-9D32-17E9DC425A10}"/>
    <cellStyle name="Currency 5 2 2 3 2 3 2 3" xfId="22025" xr:uid="{89D04914-D215-4CB1-A41C-007A3559CA43}"/>
    <cellStyle name="Currency 5 2 2 3 2 3 2 4" xfId="12726" xr:uid="{8DB8AFD1-C2CA-4E69-9D33-3D04FD4D5EC2}"/>
    <cellStyle name="Currency 5 2 2 3 2 3 3" xfId="5472" xr:uid="{00000000-0005-0000-0000-0000CF0B0000}"/>
    <cellStyle name="Currency 5 2 2 3 2 3 3 2" xfId="24097" xr:uid="{5B3E1254-1AFC-4A7F-942C-4CDA17A94019}"/>
    <cellStyle name="Currency 5 2 2 3 2 3 3 3" xfId="14798" xr:uid="{6B13737D-DDA1-436A-8ED7-058E295215F7}"/>
    <cellStyle name="Currency 5 2 2 3 2 3 4" xfId="19880" xr:uid="{A93A7A37-C0AB-4C1A-B5A8-41B62A0DE425}"/>
    <cellStyle name="Currency 5 2 2 3 2 3 5" xfId="10581" xr:uid="{65F1FE78-9921-4D50-ACB3-EB4AB90768DB}"/>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2 2 2" xfId="26655" xr:uid="{27C526DC-FC80-4DB4-8EDB-1BE0B42F7E57}"/>
    <cellStyle name="Currency 5 2 2 3 2 4 2 2 3" xfId="17356" xr:uid="{C6CC683A-06A8-4CAE-A327-5072709C1CD2}"/>
    <cellStyle name="Currency 5 2 2 3 2 4 2 3" xfId="22438" xr:uid="{870B11C8-34FC-4F32-8EE6-D4485447675C}"/>
    <cellStyle name="Currency 5 2 2 3 2 4 2 4" xfId="13139" xr:uid="{1F263E70-6E33-429A-B255-9567FD4C2D9F}"/>
    <cellStyle name="Currency 5 2 2 3 2 4 3" xfId="5885" xr:uid="{00000000-0005-0000-0000-0000D30B0000}"/>
    <cellStyle name="Currency 5 2 2 3 2 4 3 2" xfId="24510" xr:uid="{E151B98C-68C1-4245-9B49-1C49CB74BA8B}"/>
    <cellStyle name="Currency 5 2 2 3 2 4 3 3" xfId="15211" xr:uid="{50E65679-A000-40C4-A212-BC3F5E2A7760}"/>
    <cellStyle name="Currency 5 2 2 3 2 4 4" xfId="20293" xr:uid="{B87E4252-2E7A-4794-A760-41959F728836}"/>
    <cellStyle name="Currency 5 2 2 3 2 4 5" xfId="10994" xr:uid="{57057BA6-C53F-4880-A440-DC01AA70F0AD}"/>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2 2 2" xfId="27068" xr:uid="{6F5AF5FE-E564-48CB-85B1-EBD391B88411}"/>
    <cellStyle name="Currency 5 2 2 3 2 5 2 2 3" xfId="17769" xr:uid="{BB148A7B-FC0B-403A-AF6F-4A424E9FF28B}"/>
    <cellStyle name="Currency 5 2 2 3 2 5 2 3" xfId="22851" xr:uid="{92FD331B-D992-4259-BDC8-747FA971A8A9}"/>
    <cellStyle name="Currency 5 2 2 3 2 5 2 4" xfId="13552" xr:uid="{86143A5B-D487-42A1-AC97-6A24AA2EB5D2}"/>
    <cellStyle name="Currency 5 2 2 3 2 5 3" xfId="6298" xr:uid="{00000000-0005-0000-0000-0000D70B0000}"/>
    <cellStyle name="Currency 5 2 2 3 2 5 3 2" xfId="24923" xr:uid="{F7D91F91-D6EE-4CEB-811D-E7BF335A0562}"/>
    <cellStyle name="Currency 5 2 2 3 2 5 3 3" xfId="15624" xr:uid="{753FBAC2-AFC4-4305-84A2-0D8650534C31}"/>
    <cellStyle name="Currency 5 2 2 3 2 5 4" xfId="20706" xr:uid="{746514B4-C0A8-442A-9B88-1BAB7C52EE7C}"/>
    <cellStyle name="Currency 5 2 2 3 2 5 5" xfId="11407" xr:uid="{96F09276-B7F8-4EDB-BD43-54265B253B6B}"/>
    <cellStyle name="Currency 5 2 2 3 2 6" xfId="2427" xr:uid="{00000000-0005-0000-0000-0000D80B0000}"/>
    <cellStyle name="Currency 5 2 2 3 2 6 2" xfId="6711" xr:uid="{00000000-0005-0000-0000-0000D90B0000}"/>
    <cellStyle name="Currency 5 2 2 3 2 6 2 2" xfId="25336" xr:uid="{9348BE63-E609-41A5-B862-ACCBC481357D}"/>
    <cellStyle name="Currency 5 2 2 3 2 6 2 3" xfId="16037" xr:uid="{128F1FBD-8C76-4AEE-B545-8E91596A55A2}"/>
    <cellStyle name="Currency 5 2 2 3 2 6 3" xfId="21119" xr:uid="{693DD4DA-2432-46EB-B78D-F6A938CE403A}"/>
    <cellStyle name="Currency 5 2 2 3 2 6 4" xfId="11820" xr:uid="{AF204E14-F5E9-4F8D-8530-BC6CF4A46DA5}"/>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8 2 2" xfId="25653" xr:uid="{011A5D97-C4D0-4966-88C5-6107556F2D48}"/>
    <cellStyle name="Currency 5 2 2 3 2 8 2 3" xfId="16354" xr:uid="{FF930F0A-10C2-459A-BDA6-3C8B87B21C2A}"/>
    <cellStyle name="Currency 5 2 2 3 2 8 3" xfId="21436" xr:uid="{8763CCB9-2FFF-4429-A9E2-FC6147D23689}"/>
    <cellStyle name="Currency 5 2 2 3 2 8 4" xfId="12137" xr:uid="{0C0D5662-AEDF-47A8-98C5-C8D4C9712E6B}"/>
    <cellStyle name="Currency 5 2 2 3 2 9" xfId="4645" xr:uid="{00000000-0005-0000-0000-0000DD0B0000}"/>
    <cellStyle name="Currency 5 2 2 3 2 9 2" xfId="23270" xr:uid="{56ABD661-4EF9-4B5F-87FA-7E9BA2DD677F}"/>
    <cellStyle name="Currency 5 2 2 3 2 9 3" xfId="13971" xr:uid="{8E32FAAD-9890-4A8F-9502-AE99D1796254}"/>
    <cellStyle name="Currency 5 2 2 3 3" xfId="727" xr:uid="{00000000-0005-0000-0000-0000DE0B0000}"/>
    <cellStyle name="Currency 5 2 2 3 3 2" xfId="2981" xr:uid="{00000000-0005-0000-0000-0000DF0B0000}"/>
    <cellStyle name="Currency 5 2 2 3 3 2 2" xfId="7203" xr:uid="{00000000-0005-0000-0000-0000E00B0000}"/>
    <cellStyle name="Currency 5 2 2 3 3 2 2 2" xfId="25828" xr:uid="{1E9CCE42-CC7C-47B3-A6B2-59B78DDC51E2}"/>
    <cellStyle name="Currency 5 2 2 3 3 2 2 3" xfId="16529" xr:uid="{5411F28B-ACFE-42F2-B53A-DA93F391D11C}"/>
    <cellStyle name="Currency 5 2 2 3 3 2 3" xfId="21611" xr:uid="{E567222C-A2AB-41B2-90A8-C4ED08ED83CA}"/>
    <cellStyle name="Currency 5 2 2 3 3 2 4" xfId="12312" xr:uid="{D4CCD49B-332F-47ED-8FE6-BECEDE0F1542}"/>
    <cellStyle name="Currency 5 2 2 3 3 3" xfId="5058" xr:uid="{00000000-0005-0000-0000-0000E10B0000}"/>
    <cellStyle name="Currency 5 2 2 3 3 3 2" xfId="23683" xr:uid="{87897081-169D-4F68-B437-5A7B10067C20}"/>
    <cellStyle name="Currency 5 2 2 3 3 3 3" xfId="14384" xr:uid="{D507FD29-A9B3-4CD9-906D-A51B2DA2291D}"/>
    <cellStyle name="Currency 5 2 2 3 3 4" xfId="9315" xr:uid="{A76EC348-1CDB-41C1-B9B8-9215FF30C619}"/>
    <cellStyle name="Currency 5 2 2 3 3 4 2" xfId="27929" xr:uid="{F2BDCB85-A8FA-42FC-BF55-999B1BC55375}"/>
    <cellStyle name="Currency 5 2 2 3 3 4 3" xfId="18630" xr:uid="{CCEE3790-2DD7-4BB5-A646-0D79C443D9D8}"/>
    <cellStyle name="Currency 5 2 2 3 3 5" xfId="19466" xr:uid="{BBEDBF64-EC24-4698-A5EF-50D3F69ACB45}"/>
    <cellStyle name="Currency 5 2 2 3 3 6" xfId="10167" xr:uid="{CCA6BCF1-DAA9-423A-B79B-11A2B374E295}"/>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2 2 2" xfId="26241" xr:uid="{96CAF540-F011-4890-8C71-B14ABB2AB227}"/>
    <cellStyle name="Currency 5 2 2 3 4 2 2 3" xfId="16942" xr:uid="{3B07AF6A-A1EF-418F-A5A2-85AF2695AB36}"/>
    <cellStyle name="Currency 5 2 2 3 4 2 3" xfId="22024" xr:uid="{AACDAEE0-88FC-4AAD-8306-B20A8FBCB2D6}"/>
    <cellStyle name="Currency 5 2 2 3 4 2 4" xfId="12725" xr:uid="{E1B7066E-3629-4EED-938E-F4DF87DB6397}"/>
    <cellStyle name="Currency 5 2 2 3 4 3" xfId="5471" xr:uid="{00000000-0005-0000-0000-0000E50B0000}"/>
    <cellStyle name="Currency 5 2 2 3 4 3 2" xfId="24096" xr:uid="{39DAEEC0-7D63-46BD-9894-8650612B6285}"/>
    <cellStyle name="Currency 5 2 2 3 4 3 3" xfId="14797" xr:uid="{B09D3C15-F1C1-47F2-B448-A5ABE0BBB6F7}"/>
    <cellStyle name="Currency 5 2 2 3 4 4" xfId="19879" xr:uid="{12345618-DB46-4E2C-BF0E-F89D0A83E98A}"/>
    <cellStyle name="Currency 5 2 2 3 4 5" xfId="10580" xr:uid="{87447B81-39DE-4002-B5E6-4759CBCBEECC}"/>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2 2 2" xfId="26654" xr:uid="{EB081D0B-6980-4352-8DAC-136BDFA806DD}"/>
    <cellStyle name="Currency 5 2 2 3 5 2 2 3" xfId="17355" xr:uid="{B384287A-FAFD-4AD5-928D-D0FF15D4A0C1}"/>
    <cellStyle name="Currency 5 2 2 3 5 2 3" xfId="22437" xr:uid="{B8CE10AF-C708-4C19-954E-471AA977651A}"/>
    <cellStyle name="Currency 5 2 2 3 5 2 4" xfId="13138" xr:uid="{BEF88E73-2DD0-4AA1-9E9A-01DF6C990A32}"/>
    <cellStyle name="Currency 5 2 2 3 5 3" xfId="5884" xr:uid="{00000000-0005-0000-0000-0000E90B0000}"/>
    <cellStyle name="Currency 5 2 2 3 5 3 2" xfId="24509" xr:uid="{FEB730AA-B2F4-494E-817C-035F4FA58C90}"/>
    <cellStyle name="Currency 5 2 2 3 5 3 3" xfId="15210" xr:uid="{DB514EB8-C813-4FF8-B92C-DD6390BEA609}"/>
    <cellStyle name="Currency 5 2 2 3 5 4" xfId="20292" xr:uid="{088CB148-18A6-42D8-8EB0-E40F052E8AE8}"/>
    <cellStyle name="Currency 5 2 2 3 5 5" xfId="10993" xr:uid="{DB8B7060-6BE9-488C-B685-10B877094C2B}"/>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2 2 2" xfId="27067" xr:uid="{B896A6E7-9475-4B38-A006-B84E14BE0500}"/>
    <cellStyle name="Currency 5 2 2 3 6 2 2 3" xfId="17768" xr:uid="{D9F62B1E-675A-4D3E-9D6B-BF30CA4807F2}"/>
    <cellStyle name="Currency 5 2 2 3 6 2 3" xfId="22850" xr:uid="{506E7F0D-59CA-44A1-89F1-CED021906582}"/>
    <cellStyle name="Currency 5 2 2 3 6 2 4" xfId="13551" xr:uid="{F1B80EF7-F73A-4EDC-9D05-A6EE5B3459C0}"/>
    <cellStyle name="Currency 5 2 2 3 6 3" xfId="6297" xr:uid="{00000000-0005-0000-0000-0000ED0B0000}"/>
    <cellStyle name="Currency 5 2 2 3 6 3 2" xfId="24922" xr:uid="{04729AF4-BFDE-4C27-8B50-70ECAE10E2AE}"/>
    <cellStyle name="Currency 5 2 2 3 6 3 3" xfId="15623" xr:uid="{31B4E477-00C8-49AF-9AE0-BAFD58374D9C}"/>
    <cellStyle name="Currency 5 2 2 3 6 4" xfId="20705" xr:uid="{88A98AE6-1DCE-40EE-BE91-462E2FC5FCB2}"/>
    <cellStyle name="Currency 5 2 2 3 6 5" xfId="11406" xr:uid="{81393F89-42A3-49FF-B940-121903A5A1AB}"/>
    <cellStyle name="Currency 5 2 2 3 7" xfId="2426" xr:uid="{00000000-0005-0000-0000-0000EE0B0000}"/>
    <cellStyle name="Currency 5 2 2 3 7 2" xfId="6710" xr:uid="{00000000-0005-0000-0000-0000EF0B0000}"/>
    <cellStyle name="Currency 5 2 2 3 7 2 2" xfId="25335" xr:uid="{3DB21430-2773-4744-8393-7D9B5D48534F}"/>
    <cellStyle name="Currency 5 2 2 3 7 2 3" xfId="16036" xr:uid="{63025BA6-59DB-41AF-B656-2DD3CC1B57EF}"/>
    <cellStyle name="Currency 5 2 2 3 7 3" xfId="21118" xr:uid="{60496B47-1FB4-4C65-A175-443A58AD6F9F}"/>
    <cellStyle name="Currency 5 2 2 3 7 4" xfId="11819" xr:uid="{77E0DDC7-107B-41EE-92CA-E2B2A42FBE91}"/>
    <cellStyle name="Currency 5 2 2 3 8" xfId="2723" xr:uid="{00000000-0005-0000-0000-0000F00B0000}"/>
    <cellStyle name="Currency 5 2 2 3 9" xfId="2804" xr:uid="{00000000-0005-0000-0000-0000F10B0000}"/>
    <cellStyle name="Currency 5 2 2 3 9 2" xfId="7027" xr:uid="{00000000-0005-0000-0000-0000F20B0000}"/>
    <cellStyle name="Currency 5 2 2 3 9 2 2" xfId="25652" xr:uid="{EDED6A06-252C-4A58-9569-D828A5903467}"/>
    <cellStyle name="Currency 5 2 2 3 9 2 3" xfId="16353" xr:uid="{6CC3A825-A260-4449-8CB0-CC99220C66C6}"/>
    <cellStyle name="Currency 5 2 2 3 9 3" xfId="21435" xr:uid="{77F00FD3-73CF-41DF-A17F-EBAD57EB0A27}"/>
    <cellStyle name="Currency 5 2 2 3 9 4" xfId="12136" xr:uid="{1179ED07-BEBC-4511-A431-5D28A6F5186A}"/>
    <cellStyle name="Currency 5 2 2 4" xfId="202" xr:uid="{00000000-0005-0000-0000-0000F30B0000}"/>
    <cellStyle name="Currency 5 2 2 4 10" xfId="8994" xr:uid="{484CCE7A-1288-4C7F-ABD6-C45948DC4EC0}"/>
    <cellStyle name="Currency 5 2 2 4 10 2" xfId="27617" xr:uid="{EBC3D305-2C18-4BDC-AF41-CCD4C92ACDB5}"/>
    <cellStyle name="Currency 5 2 2 4 10 3" xfId="18318" xr:uid="{E826DDD1-8040-4AAB-8A97-BEAE956C6212}"/>
    <cellStyle name="Currency 5 2 2 4 11" xfId="19054" xr:uid="{B5E20F81-C8C6-4A2E-B6B4-83C5BE654F84}"/>
    <cellStyle name="Currency 5 2 2 4 12" xfId="9755" xr:uid="{A6E50EF8-B4E6-4C13-89FA-7236BF4CAC71}"/>
    <cellStyle name="Currency 5 2 2 4 2" xfId="729" xr:uid="{00000000-0005-0000-0000-0000F40B0000}"/>
    <cellStyle name="Currency 5 2 2 4 2 2" xfId="2983" xr:uid="{00000000-0005-0000-0000-0000F50B0000}"/>
    <cellStyle name="Currency 5 2 2 4 2 2 2" xfId="7205" xr:uid="{00000000-0005-0000-0000-0000F60B0000}"/>
    <cellStyle name="Currency 5 2 2 4 2 2 2 2" xfId="25830" xr:uid="{26B2922D-E248-4062-96CF-292D37BE9E3E}"/>
    <cellStyle name="Currency 5 2 2 4 2 2 2 3" xfId="16531" xr:uid="{0E315459-553B-47D3-A9DF-5F547151D97F}"/>
    <cellStyle name="Currency 5 2 2 4 2 2 3" xfId="21613" xr:uid="{AE8EFEFC-3A90-4072-8290-75ACA5717C93}"/>
    <cellStyle name="Currency 5 2 2 4 2 2 4" xfId="12314" xr:uid="{E697385C-9096-469B-A069-C3A4158482A7}"/>
    <cellStyle name="Currency 5 2 2 4 2 3" xfId="5060" xr:uid="{00000000-0005-0000-0000-0000F70B0000}"/>
    <cellStyle name="Currency 5 2 2 4 2 3 2" xfId="23685" xr:uid="{119DB0C2-9DC7-4DA4-81BB-B09F742213B9}"/>
    <cellStyle name="Currency 5 2 2 4 2 3 3" xfId="14386" xr:uid="{56B125D4-4088-417A-B13F-27796FFCACEA}"/>
    <cellStyle name="Currency 5 2 2 4 2 4" xfId="9419" xr:uid="{F03E4D2E-3BA9-4D5B-9C35-959DB128CBAE}"/>
    <cellStyle name="Currency 5 2 2 4 2 4 2" xfId="28033" xr:uid="{9D01F507-602F-4891-9AE5-A7D9F28ADFFC}"/>
    <cellStyle name="Currency 5 2 2 4 2 4 3" xfId="18734" xr:uid="{4F895E40-0E43-47C6-9A39-3D44612CC899}"/>
    <cellStyle name="Currency 5 2 2 4 2 5" xfId="19468" xr:uid="{DCE02B48-C599-48EA-9323-13E6E0986A32}"/>
    <cellStyle name="Currency 5 2 2 4 2 6" xfId="10169" xr:uid="{236AF263-B08A-4695-9D31-BC4B74B162F6}"/>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2 2 2" xfId="26243" xr:uid="{19B78779-CD3C-4B29-AE9D-ADA80BEAACFB}"/>
    <cellStyle name="Currency 5 2 2 4 3 2 2 3" xfId="16944" xr:uid="{D2FC1FC4-0847-43EB-ABF8-52C06867BA72}"/>
    <cellStyle name="Currency 5 2 2 4 3 2 3" xfId="22026" xr:uid="{6319391A-D79B-409C-A48B-86FAF59596DB}"/>
    <cellStyle name="Currency 5 2 2 4 3 2 4" xfId="12727" xr:uid="{2E68A81F-AD93-4720-8CCC-912092A7345F}"/>
    <cellStyle name="Currency 5 2 2 4 3 3" xfId="5473" xr:uid="{00000000-0005-0000-0000-0000FB0B0000}"/>
    <cellStyle name="Currency 5 2 2 4 3 3 2" xfId="24098" xr:uid="{6B9A4F90-4DA4-4D21-836D-4DCA4166CDB9}"/>
    <cellStyle name="Currency 5 2 2 4 3 3 3" xfId="14799" xr:uid="{5FD5C9C2-7461-4DB5-8F89-15AD1E4E2F3D}"/>
    <cellStyle name="Currency 5 2 2 4 3 4" xfId="19881" xr:uid="{050915B2-DA3C-4BA4-8665-C4DDFC610997}"/>
    <cellStyle name="Currency 5 2 2 4 3 5" xfId="10582" xr:uid="{30DD21E5-FD53-4C29-AB4D-525AE9A0A7F9}"/>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2 2 2" xfId="26656" xr:uid="{40B9E5F7-3FE3-4856-8F0E-36812BA40D0A}"/>
    <cellStyle name="Currency 5 2 2 4 4 2 2 3" xfId="17357" xr:uid="{4BFF7852-D035-4930-AF9A-463C640F97F9}"/>
    <cellStyle name="Currency 5 2 2 4 4 2 3" xfId="22439" xr:uid="{3A237F8C-ED28-4864-A274-64A4644FEF53}"/>
    <cellStyle name="Currency 5 2 2 4 4 2 4" xfId="13140" xr:uid="{0D307053-3323-446B-856A-DA885D3C41CB}"/>
    <cellStyle name="Currency 5 2 2 4 4 3" xfId="5886" xr:uid="{00000000-0005-0000-0000-0000FF0B0000}"/>
    <cellStyle name="Currency 5 2 2 4 4 3 2" xfId="24511" xr:uid="{B648A50C-FDD2-496B-B5D2-0A140D2B1487}"/>
    <cellStyle name="Currency 5 2 2 4 4 3 3" xfId="15212" xr:uid="{58935F80-0D14-4049-B8EA-A42002E7D19C}"/>
    <cellStyle name="Currency 5 2 2 4 4 4" xfId="20294" xr:uid="{F2C173E0-8986-4481-96D7-1097F9DDB9DC}"/>
    <cellStyle name="Currency 5 2 2 4 4 5" xfId="10995" xr:uid="{968B19A7-5968-4035-8E46-3854AF391334}"/>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2 2 2" xfId="27069" xr:uid="{8B7D5558-4F5E-4B42-8E83-0443DA13DD7F}"/>
    <cellStyle name="Currency 5 2 2 4 5 2 2 3" xfId="17770" xr:uid="{F66CA52C-F575-4655-B0F6-EE4991BFB332}"/>
    <cellStyle name="Currency 5 2 2 4 5 2 3" xfId="22852" xr:uid="{5DF5D4F7-76FB-4443-8FDA-BF2B3AA3BABB}"/>
    <cellStyle name="Currency 5 2 2 4 5 2 4" xfId="13553" xr:uid="{1EB08C3A-5782-471C-B63F-7CEAC4389084}"/>
    <cellStyle name="Currency 5 2 2 4 5 3" xfId="6299" xr:uid="{00000000-0005-0000-0000-0000030C0000}"/>
    <cellStyle name="Currency 5 2 2 4 5 3 2" xfId="24924" xr:uid="{4A0CBBA1-A801-4234-8F66-16F6F9FE5707}"/>
    <cellStyle name="Currency 5 2 2 4 5 3 3" xfId="15625" xr:uid="{78B39478-EC1F-4329-941E-BCA7B40341D6}"/>
    <cellStyle name="Currency 5 2 2 4 5 4" xfId="20707" xr:uid="{06F5764C-6715-4FF4-A72C-926537BD4F33}"/>
    <cellStyle name="Currency 5 2 2 4 5 5" xfId="11408" xr:uid="{C2A73463-1F06-4EB1-A86F-182A6240AA3D}"/>
    <cellStyle name="Currency 5 2 2 4 6" xfId="2428" xr:uid="{00000000-0005-0000-0000-0000040C0000}"/>
    <cellStyle name="Currency 5 2 2 4 6 2" xfId="6712" xr:uid="{00000000-0005-0000-0000-0000050C0000}"/>
    <cellStyle name="Currency 5 2 2 4 6 2 2" xfId="25337" xr:uid="{4E411890-4612-406A-B6F7-C27C1C4EF013}"/>
    <cellStyle name="Currency 5 2 2 4 6 2 3" xfId="16038" xr:uid="{FD2A14EA-ACAB-431A-A0B4-56332303B12D}"/>
    <cellStyle name="Currency 5 2 2 4 6 3" xfId="21120" xr:uid="{A6DD20E7-0ED9-48BC-A113-DFE0ED0C7CDE}"/>
    <cellStyle name="Currency 5 2 2 4 6 4" xfId="11821" xr:uid="{BD243221-2C37-4E0E-B1C2-7F13A03AE7FE}"/>
    <cellStyle name="Currency 5 2 2 4 7" xfId="2725" xr:uid="{00000000-0005-0000-0000-0000060C0000}"/>
    <cellStyle name="Currency 5 2 2 4 8" xfId="2806" xr:uid="{00000000-0005-0000-0000-0000070C0000}"/>
    <cellStyle name="Currency 5 2 2 4 8 2" xfId="7029" xr:uid="{00000000-0005-0000-0000-0000080C0000}"/>
    <cellStyle name="Currency 5 2 2 4 8 2 2" xfId="25654" xr:uid="{F11B9FB0-6566-4CCB-B0E5-1A83C0428498}"/>
    <cellStyle name="Currency 5 2 2 4 8 2 3" xfId="16355" xr:uid="{38DDE659-C4A3-415D-BBAF-9E02AB093AF0}"/>
    <cellStyle name="Currency 5 2 2 4 8 3" xfId="21437" xr:uid="{028ECCD4-D09F-4429-BB8A-C4046CAABCF4}"/>
    <cellStyle name="Currency 5 2 2 4 8 4" xfId="12138" xr:uid="{78683888-1CEB-439A-A984-0BF8BEF59579}"/>
    <cellStyle name="Currency 5 2 2 4 9" xfId="4646" xr:uid="{00000000-0005-0000-0000-0000090C0000}"/>
    <cellStyle name="Currency 5 2 2 4 9 2" xfId="23271" xr:uid="{647DF406-4E7B-46F6-8336-0C83FA84434C}"/>
    <cellStyle name="Currency 5 2 2 4 9 3" xfId="13972" xr:uid="{5FAEA8A4-DE8F-4CB7-83CE-73155AAFEA72}"/>
    <cellStyle name="Currency 5 2 2 5" xfId="203" xr:uid="{00000000-0005-0000-0000-00000A0C0000}"/>
    <cellStyle name="Currency 5 2 2 5 10" xfId="9211" xr:uid="{586E1D8D-A72F-44A2-BAB5-A0BAD4827F6D}"/>
    <cellStyle name="Currency 5 2 2 5 10 2" xfId="27826" xr:uid="{5F05D320-0765-44A6-ACC5-247E9E81F820}"/>
    <cellStyle name="Currency 5 2 2 5 10 3" xfId="18527" xr:uid="{0836563C-EFF3-409D-BEF3-081DBD3AE4D4}"/>
    <cellStyle name="Currency 5 2 2 5 11" xfId="19055" xr:uid="{F9FD74DA-EBEA-491A-8901-E93A65A2BC67}"/>
    <cellStyle name="Currency 5 2 2 5 12" xfId="9756" xr:uid="{E785F62F-C67E-461A-966B-37F33CF7B963}"/>
    <cellStyle name="Currency 5 2 2 5 2" xfId="730" xr:uid="{00000000-0005-0000-0000-00000B0C0000}"/>
    <cellStyle name="Currency 5 2 2 5 2 2" xfId="2984" xr:uid="{00000000-0005-0000-0000-00000C0C0000}"/>
    <cellStyle name="Currency 5 2 2 5 2 2 2" xfId="7206" xr:uid="{00000000-0005-0000-0000-00000D0C0000}"/>
    <cellStyle name="Currency 5 2 2 5 2 2 2 2" xfId="25831" xr:uid="{EB3E60BA-2FFB-44BD-A9DB-C847B6DFC923}"/>
    <cellStyle name="Currency 5 2 2 5 2 2 2 3" xfId="16532" xr:uid="{F3EE9832-3F11-4178-8A1C-D1A746AC6652}"/>
    <cellStyle name="Currency 5 2 2 5 2 2 3" xfId="21614" xr:uid="{817D0BD7-0D7B-4892-B0FB-B6705E5A80D0}"/>
    <cellStyle name="Currency 5 2 2 5 2 2 4" xfId="12315" xr:uid="{E724B644-8D0E-40EA-89F8-953CDD5B779E}"/>
    <cellStyle name="Currency 5 2 2 5 2 3" xfId="5061" xr:uid="{00000000-0005-0000-0000-00000E0C0000}"/>
    <cellStyle name="Currency 5 2 2 5 2 3 2" xfId="23686" xr:uid="{04CAE321-FEFE-4C06-BA76-030E24DE52FF}"/>
    <cellStyle name="Currency 5 2 2 5 2 3 3" xfId="14387" xr:uid="{8DE9DBAD-55A0-4E8B-A3EB-7F5E1FF20CCF}"/>
    <cellStyle name="Currency 5 2 2 5 2 4" xfId="9598" xr:uid="{EBD3270B-608E-49E1-8A20-C5ADF81FBC1B}"/>
    <cellStyle name="Currency 5 2 2 5 2 4 2" xfId="28201" xr:uid="{AC5AC9E7-4BD1-4726-9021-C814B1C642CC}"/>
    <cellStyle name="Currency 5 2 2 5 2 4 3" xfId="18902" xr:uid="{A3436B72-C51E-4B8A-9187-EDD68BE69BCB}"/>
    <cellStyle name="Currency 5 2 2 5 2 5" xfId="19469" xr:uid="{6EA98698-268D-462C-B81D-9C5AB0C1ABAF}"/>
    <cellStyle name="Currency 5 2 2 5 2 6" xfId="10170" xr:uid="{CD2CB1A7-68B6-4D76-8543-65393D222EE5}"/>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2 2 2" xfId="26244" xr:uid="{36075A06-8E1C-4CDC-93A0-09F11143938D}"/>
    <cellStyle name="Currency 5 2 2 5 3 2 2 3" xfId="16945" xr:uid="{443F4290-6A78-497C-98D0-59B54C67E6A6}"/>
    <cellStyle name="Currency 5 2 2 5 3 2 3" xfId="22027" xr:uid="{D44F5C54-0212-4BB2-96E8-77A57F7BA3EB}"/>
    <cellStyle name="Currency 5 2 2 5 3 2 4" xfId="12728" xr:uid="{D3FAA82E-4B5E-4D88-BE60-1EDFB7572B75}"/>
    <cellStyle name="Currency 5 2 2 5 3 3" xfId="5474" xr:uid="{00000000-0005-0000-0000-0000120C0000}"/>
    <cellStyle name="Currency 5 2 2 5 3 3 2" xfId="24099" xr:uid="{D4EBC19F-AEBA-40D6-A996-630C5FF486CA}"/>
    <cellStyle name="Currency 5 2 2 5 3 3 3" xfId="14800" xr:uid="{00BBABFA-6BD1-44A4-A11B-EBCF42DCA757}"/>
    <cellStyle name="Currency 5 2 2 5 3 4" xfId="19882" xr:uid="{86AB31A1-D9A2-4D3C-A5AC-353863C09081}"/>
    <cellStyle name="Currency 5 2 2 5 3 5" xfId="10583" xr:uid="{5797552A-B9D1-49EA-AC2A-622A83513842}"/>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2 2 2" xfId="26657" xr:uid="{7714DE8D-F87F-40D0-8BE1-A7D5A8A93EAE}"/>
    <cellStyle name="Currency 5 2 2 5 4 2 2 3" xfId="17358" xr:uid="{C689D9EA-526E-4E8E-B01D-9E016F4A0726}"/>
    <cellStyle name="Currency 5 2 2 5 4 2 3" xfId="22440" xr:uid="{3C1ED2B1-B2BB-461A-998C-6C1E920BBB71}"/>
    <cellStyle name="Currency 5 2 2 5 4 2 4" xfId="13141" xr:uid="{C4FC22FE-EFC5-4CB5-98AA-F4E5E6102885}"/>
    <cellStyle name="Currency 5 2 2 5 4 3" xfId="5887" xr:uid="{00000000-0005-0000-0000-0000160C0000}"/>
    <cellStyle name="Currency 5 2 2 5 4 3 2" xfId="24512" xr:uid="{34DDC053-9A64-4846-9AF9-9C8DB22E302F}"/>
    <cellStyle name="Currency 5 2 2 5 4 3 3" xfId="15213" xr:uid="{A6F1643B-CE1F-4124-88D1-0D9E6374F604}"/>
    <cellStyle name="Currency 5 2 2 5 4 4" xfId="20295" xr:uid="{79FE7951-0CAE-4100-A3D3-DB3D37FA352D}"/>
    <cellStyle name="Currency 5 2 2 5 4 5" xfId="10996" xr:uid="{CE585FC7-6641-4890-9524-442FDB45DE53}"/>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2 2 2" xfId="27070" xr:uid="{BA2B0F0A-C96A-4D61-B795-54192F64890F}"/>
    <cellStyle name="Currency 5 2 2 5 5 2 2 3" xfId="17771" xr:uid="{D2DCFEEA-DD0A-43B5-8E4E-6E6AE1BD81DE}"/>
    <cellStyle name="Currency 5 2 2 5 5 2 3" xfId="22853" xr:uid="{A026B93F-EBDC-4400-A9EA-50E14EFB2FB3}"/>
    <cellStyle name="Currency 5 2 2 5 5 2 4" xfId="13554" xr:uid="{5521640A-C4E0-4918-94AB-7CF9819F4910}"/>
    <cellStyle name="Currency 5 2 2 5 5 3" xfId="6300" xr:uid="{00000000-0005-0000-0000-00001A0C0000}"/>
    <cellStyle name="Currency 5 2 2 5 5 3 2" xfId="24925" xr:uid="{BAECFEA7-EC54-4B70-A17A-781020FD1B49}"/>
    <cellStyle name="Currency 5 2 2 5 5 3 3" xfId="15626" xr:uid="{605ECB8E-BA77-41D0-ACE0-FD4B06AF4409}"/>
    <cellStyle name="Currency 5 2 2 5 5 4" xfId="20708" xr:uid="{960ACAA7-C47E-4318-97A8-7C8275AAE666}"/>
    <cellStyle name="Currency 5 2 2 5 5 5" xfId="11409" xr:uid="{20F3D9D8-C8BA-467B-8305-92D869E5ACEA}"/>
    <cellStyle name="Currency 5 2 2 5 6" xfId="2429" xr:uid="{00000000-0005-0000-0000-00001B0C0000}"/>
    <cellStyle name="Currency 5 2 2 5 6 2" xfId="6713" xr:uid="{00000000-0005-0000-0000-00001C0C0000}"/>
    <cellStyle name="Currency 5 2 2 5 6 2 2" xfId="25338" xr:uid="{5901475C-F09B-46E9-B76E-9ABA6667509F}"/>
    <cellStyle name="Currency 5 2 2 5 6 2 3" xfId="16039" xr:uid="{FA93F1F1-9279-48A2-8479-A537AD11C085}"/>
    <cellStyle name="Currency 5 2 2 5 6 3" xfId="21121" xr:uid="{50EF4D7C-FEC6-490E-B591-05114A7007BE}"/>
    <cellStyle name="Currency 5 2 2 5 6 4" xfId="11822" xr:uid="{E35A841A-5ECB-4A80-875A-FA47B2A8FED0}"/>
    <cellStyle name="Currency 5 2 2 5 7" xfId="2726" xr:uid="{00000000-0005-0000-0000-00001D0C0000}"/>
    <cellStyle name="Currency 5 2 2 5 8" xfId="2807" xr:uid="{00000000-0005-0000-0000-00001E0C0000}"/>
    <cellStyle name="Currency 5 2 2 5 8 2" xfId="7030" xr:uid="{00000000-0005-0000-0000-00001F0C0000}"/>
    <cellStyle name="Currency 5 2 2 5 8 2 2" xfId="25655" xr:uid="{AE6CF242-F319-4C2D-9B07-0ECBAFFEB553}"/>
    <cellStyle name="Currency 5 2 2 5 8 2 3" xfId="16356" xr:uid="{F34BDFBC-4964-48AC-9E7F-55F51A041106}"/>
    <cellStyle name="Currency 5 2 2 5 8 3" xfId="21438" xr:uid="{3D7BC02E-75A9-42CB-AFDF-46D0BE40040E}"/>
    <cellStyle name="Currency 5 2 2 5 8 4" xfId="12139" xr:uid="{0BE1EB24-99FE-40EA-B73A-463BBC9B1069}"/>
    <cellStyle name="Currency 5 2 2 5 9" xfId="4647" xr:uid="{00000000-0005-0000-0000-0000200C0000}"/>
    <cellStyle name="Currency 5 2 2 5 9 2" xfId="23272" xr:uid="{2F245F38-C0C2-4AB6-B215-A884D03AD13F}"/>
    <cellStyle name="Currency 5 2 2 5 9 3" xfId="13973" xr:uid="{C1EDB381-7E62-4505-8802-DFE9CC406817}"/>
    <cellStyle name="Currency 5 2 2 6" xfId="9584" xr:uid="{DC5749FB-A314-4F8C-B61F-309C27A570F5}"/>
    <cellStyle name="Currency 5 2 2 7" xfId="8787" xr:uid="{822EE7D8-70A6-49D7-843D-E84C848DC397}"/>
    <cellStyle name="Currency 5 2 2 7 2" xfId="27410" xr:uid="{AA2CAAAB-54B6-412D-9FE3-2EF88CB68D3E}"/>
    <cellStyle name="Currency 5 2 2 7 3" xfId="18111" xr:uid="{9485BFD3-D461-4A00-AD52-ED5C2306DC1B}"/>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0 2" xfId="23273" xr:uid="{BCA6587E-1FC8-48AC-A17F-41FF100FA6F6}"/>
    <cellStyle name="Currency 5 2 4 10 3" xfId="13974" xr:uid="{13C64731-46E2-441D-9767-846BABAD9EAB}"/>
    <cellStyle name="Currency 5 2 4 11" xfId="8859" xr:uid="{D3A5F8AD-5F4E-4BEA-A9B4-9A705A015524}"/>
    <cellStyle name="Currency 5 2 4 11 2" xfId="27482" xr:uid="{7456FE66-C1FC-4825-8A80-566E2FAD3106}"/>
    <cellStyle name="Currency 5 2 4 11 3" xfId="18183" xr:uid="{4F14F3BD-5E0B-48D6-810E-0DEE05F7AD58}"/>
    <cellStyle name="Currency 5 2 4 12" xfId="19056" xr:uid="{97148114-A917-484B-B991-F76AC9C113C8}"/>
    <cellStyle name="Currency 5 2 4 13" xfId="9757" xr:uid="{23761A65-2124-41CF-B18C-F17596E11331}"/>
    <cellStyle name="Currency 5 2 4 2" xfId="206" xr:uid="{00000000-0005-0000-0000-0000250C0000}"/>
    <cellStyle name="Currency 5 2 4 2 10" xfId="9066" xr:uid="{2F7A28AF-2120-4AAF-A58B-33C2E07F597D}"/>
    <cellStyle name="Currency 5 2 4 2 10 2" xfId="27689" xr:uid="{38423EF8-31A7-48B5-8094-050B95CE6D3C}"/>
    <cellStyle name="Currency 5 2 4 2 10 3" xfId="18390" xr:uid="{47B5F104-4E90-45D1-9199-A9988661BC18}"/>
    <cellStyle name="Currency 5 2 4 2 11" xfId="19057" xr:uid="{75CD303F-163A-4901-976E-7E7CC9453D50}"/>
    <cellStyle name="Currency 5 2 4 2 12" xfId="9758" xr:uid="{37EB977C-0A17-435B-9AFE-D7CC49092B53}"/>
    <cellStyle name="Currency 5 2 4 2 2" xfId="733" xr:uid="{00000000-0005-0000-0000-0000260C0000}"/>
    <cellStyle name="Currency 5 2 4 2 2 2" xfId="2986" xr:uid="{00000000-0005-0000-0000-0000270C0000}"/>
    <cellStyle name="Currency 5 2 4 2 2 2 2" xfId="7208" xr:uid="{00000000-0005-0000-0000-0000280C0000}"/>
    <cellStyle name="Currency 5 2 4 2 2 2 2 2" xfId="25833" xr:uid="{CA5CE6B6-CAD3-49D8-8337-1A905699D14F}"/>
    <cellStyle name="Currency 5 2 4 2 2 2 2 3" xfId="16534" xr:uid="{A403C4CF-5114-4198-BF1C-C8C90F195421}"/>
    <cellStyle name="Currency 5 2 4 2 2 2 3" xfId="21616" xr:uid="{73C2053A-653B-4C5E-9C74-AD2121020661}"/>
    <cellStyle name="Currency 5 2 4 2 2 2 4" xfId="12317" xr:uid="{A5D739A4-A2C6-42AD-AF44-B8F1C02FB406}"/>
    <cellStyle name="Currency 5 2 4 2 2 3" xfId="5063" xr:uid="{00000000-0005-0000-0000-0000290C0000}"/>
    <cellStyle name="Currency 5 2 4 2 2 3 2" xfId="23688" xr:uid="{64A52DCE-B19E-45DD-A92D-A2EE716D9860}"/>
    <cellStyle name="Currency 5 2 4 2 2 3 3" xfId="14389" xr:uid="{6BC84E35-7708-4BF2-A42D-698876F8C3C5}"/>
    <cellStyle name="Currency 5 2 4 2 2 4" xfId="9491" xr:uid="{64B868C7-9024-4970-9E74-7DF82417BD7A}"/>
    <cellStyle name="Currency 5 2 4 2 2 4 2" xfId="28105" xr:uid="{E98E29DB-C835-45E9-87E9-F0E03AB53424}"/>
    <cellStyle name="Currency 5 2 4 2 2 4 3" xfId="18806" xr:uid="{A976C7EB-AB22-4CF0-9141-3F72C52F8552}"/>
    <cellStyle name="Currency 5 2 4 2 2 5" xfId="19471" xr:uid="{65E08864-9D4D-48E2-811F-5292A29327C3}"/>
    <cellStyle name="Currency 5 2 4 2 2 6" xfId="10172" xr:uid="{45E7168C-0E13-47AD-B635-6D9659F065F9}"/>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2 2 2" xfId="26246" xr:uid="{EBD4F21A-8D46-4E92-B8A3-1DE6ABF39BCD}"/>
    <cellStyle name="Currency 5 2 4 2 3 2 2 3" xfId="16947" xr:uid="{B1D9A83C-B6C9-4D89-9B11-B5692CB04F00}"/>
    <cellStyle name="Currency 5 2 4 2 3 2 3" xfId="22029" xr:uid="{727271B7-E5F9-4E72-B5C5-AF8DA1035DD8}"/>
    <cellStyle name="Currency 5 2 4 2 3 2 4" xfId="12730" xr:uid="{15001993-D063-44B6-8188-F9F7AA83A11D}"/>
    <cellStyle name="Currency 5 2 4 2 3 3" xfId="5476" xr:uid="{00000000-0005-0000-0000-00002D0C0000}"/>
    <cellStyle name="Currency 5 2 4 2 3 3 2" xfId="24101" xr:uid="{D5CE7E21-87E7-4B1F-BD16-99F555A9F780}"/>
    <cellStyle name="Currency 5 2 4 2 3 3 3" xfId="14802" xr:uid="{65BB8E09-F074-4321-A4ED-31A1B20FFA88}"/>
    <cellStyle name="Currency 5 2 4 2 3 4" xfId="19884" xr:uid="{BEBEB414-FF8A-4FD7-B109-954D8C3F681A}"/>
    <cellStyle name="Currency 5 2 4 2 3 5" xfId="10585" xr:uid="{536849B3-40F9-4050-B974-E1F5FFE2C1FE}"/>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2 2 2" xfId="26659" xr:uid="{AC5BDADE-0EC7-4CEB-8BA4-3837758892FC}"/>
    <cellStyle name="Currency 5 2 4 2 4 2 2 3" xfId="17360" xr:uid="{57DBFEDB-F5ED-40E4-AA17-21B48960019D}"/>
    <cellStyle name="Currency 5 2 4 2 4 2 3" xfId="22442" xr:uid="{9663B14E-8E58-4804-B58A-D91D3A0B9293}"/>
    <cellStyle name="Currency 5 2 4 2 4 2 4" xfId="13143" xr:uid="{E83AE86E-F6DD-466C-A49F-29E60B383145}"/>
    <cellStyle name="Currency 5 2 4 2 4 3" xfId="5889" xr:uid="{00000000-0005-0000-0000-0000310C0000}"/>
    <cellStyle name="Currency 5 2 4 2 4 3 2" xfId="24514" xr:uid="{4E894BBD-03EA-407A-A400-95B43FFAA0F3}"/>
    <cellStyle name="Currency 5 2 4 2 4 3 3" xfId="15215" xr:uid="{0932C1A8-1BA3-4436-83F1-EACD002B6C56}"/>
    <cellStyle name="Currency 5 2 4 2 4 4" xfId="20297" xr:uid="{F576218D-01DD-4BBB-AB87-5DEEC03966B0}"/>
    <cellStyle name="Currency 5 2 4 2 4 5" xfId="10998" xr:uid="{158701CB-F7A2-40AD-9175-94486C4104DC}"/>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2 2 2" xfId="27072" xr:uid="{C6C20C13-FB0F-4B82-B4B6-136789FF24F4}"/>
    <cellStyle name="Currency 5 2 4 2 5 2 2 3" xfId="17773" xr:uid="{8A5C230A-B036-4B91-A801-F75E46A62442}"/>
    <cellStyle name="Currency 5 2 4 2 5 2 3" xfId="22855" xr:uid="{DA5EBC5A-A960-4455-873B-12E92FA61C87}"/>
    <cellStyle name="Currency 5 2 4 2 5 2 4" xfId="13556" xr:uid="{B5128334-3401-4C3B-811F-50DF0AF168AC}"/>
    <cellStyle name="Currency 5 2 4 2 5 3" xfId="6302" xr:uid="{00000000-0005-0000-0000-0000350C0000}"/>
    <cellStyle name="Currency 5 2 4 2 5 3 2" xfId="24927" xr:uid="{C25BA910-CD97-456B-92E1-E27AB72BCBBD}"/>
    <cellStyle name="Currency 5 2 4 2 5 3 3" xfId="15628" xr:uid="{33D17426-8370-4305-AF9D-8358E6F5043E}"/>
    <cellStyle name="Currency 5 2 4 2 5 4" xfId="20710" xr:uid="{77D5C390-3CB5-4E9D-BCE5-433DC0DF114A}"/>
    <cellStyle name="Currency 5 2 4 2 5 5" xfId="11411" xr:uid="{E8800358-3977-4ABC-A29C-4FC0240B97EC}"/>
    <cellStyle name="Currency 5 2 4 2 6" xfId="2431" xr:uid="{00000000-0005-0000-0000-0000360C0000}"/>
    <cellStyle name="Currency 5 2 4 2 6 2" xfId="6715" xr:uid="{00000000-0005-0000-0000-0000370C0000}"/>
    <cellStyle name="Currency 5 2 4 2 6 2 2" xfId="25340" xr:uid="{C138E6F6-20C9-4F85-90C4-7A6560AF7E58}"/>
    <cellStyle name="Currency 5 2 4 2 6 2 3" xfId="16041" xr:uid="{D9F1E917-0ABE-4902-AF94-2AD4137E4EF0}"/>
    <cellStyle name="Currency 5 2 4 2 6 3" xfId="21123" xr:uid="{B7040858-7D85-4495-A4BF-0211792F1D94}"/>
    <cellStyle name="Currency 5 2 4 2 6 4" xfId="11824" xr:uid="{C930483E-A54F-48A6-AD1D-B59DD84EC366}"/>
    <cellStyle name="Currency 5 2 4 2 7" xfId="2728" xr:uid="{00000000-0005-0000-0000-0000380C0000}"/>
    <cellStyle name="Currency 5 2 4 2 8" xfId="2809" xr:uid="{00000000-0005-0000-0000-0000390C0000}"/>
    <cellStyle name="Currency 5 2 4 2 8 2" xfId="7032" xr:uid="{00000000-0005-0000-0000-00003A0C0000}"/>
    <cellStyle name="Currency 5 2 4 2 8 2 2" xfId="25657" xr:uid="{1B580572-5F34-4A99-BBE6-39AB82F20324}"/>
    <cellStyle name="Currency 5 2 4 2 8 2 3" xfId="16358" xr:uid="{6EAE3933-9F89-4088-9252-63D5C4595A97}"/>
    <cellStyle name="Currency 5 2 4 2 8 3" xfId="21440" xr:uid="{8469C788-173D-4ADA-8D55-AD91BF121E64}"/>
    <cellStyle name="Currency 5 2 4 2 8 4" xfId="12141" xr:uid="{9570CB68-F094-427F-80EC-217614A7A7E7}"/>
    <cellStyle name="Currency 5 2 4 2 9" xfId="4649" xr:uid="{00000000-0005-0000-0000-00003B0C0000}"/>
    <cellStyle name="Currency 5 2 4 2 9 2" xfId="23274" xr:uid="{DDF5A2C2-BBAD-4930-8E6C-3323A20F683C}"/>
    <cellStyle name="Currency 5 2 4 2 9 3" xfId="13975" xr:uid="{C31E44DD-8250-49C7-B981-AC9B137AF811}"/>
    <cellStyle name="Currency 5 2 4 3" xfId="732" xr:uid="{00000000-0005-0000-0000-00003C0C0000}"/>
    <cellStyle name="Currency 5 2 4 3 2" xfId="2985" xr:uid="{00000000-0005-0000-0000-00003D0C0000}"/>
    <cellStyle name="Currency 5 2 4 3 2 2" xfId="7207" xr:uid="{00000000-0005-0000-0000-00003E0C0000}"/>
    <cellStyle name="Currency 5 2 4 3 2 2 2" xfId="25832" xr:uid="{88A66603-6882-4D33-9C93-8D5D04E30212}"/>
    <cellStyle name="Currency 5 2 4 3 2 2 3" xfId="16533" xr:uid="{A2FEFA83-D9B6-4CA2-8371-BD47F3DD081B}"/>
    <cellStyle name="Currency 5 2 4 3 2 3" xfId="21615" xr:uid="{87D3E244-44AC-49F0-B79C-3728876B4315}"/>
    <cellStyle name="Currency 5 2 4 3 2 4" xfId="12316" xr:uid="{7B58765A-2940-4FF8-B03B-BD6C48F129BF}"/>
    <cellStyle name="Currency 5 2 4 3 3" xfId="5062" xr:uid="{00000000-0005-0000-0000-00003F0C0000}"/>
    <cellStyle name="Currency 5 2 4 3 3 2" xfId="23687" xr:uid="{34F8A16A-DA1F-46DE-B52D-93C4DBE14513}"/>
    <cellStyle name="Currency 5 2 4 3 3 3" xfId="14388" xr:uid="{5F19968D-22A2-4052-BEC5-A2EE09F5AAE3}"/>
    <cellStyle name="Currency 5 2 4 3 4" xfId="9284" xr:uid="{1D0B72AC-AFAC-428F-8BF0-6DFF9565613D}"/>
    <cellStyle name="Currency 5 2 4 3 4 2" xfId="27898" xr:uid="{CC885C0D-331E-4E9B-A330-D027AF4D2140}"/>
    <cellStyle name="Currency 5 2 4 3 4 3" xfId="18599" xr:uid="{5A3109AF-2AC0-40CE-8169-1DDF6CD7E1E8}"/>
    <cellStyle name="Currency 5 2 4 3 5" xfId="19470" xr:uid="{509AC918-DBB2-45BC-A94F-DF8EEFFF06BA}"/>
    <cellStyle name="Currency 5 2 4 3 6" xfId="10171" xr:uid="{1F380751-5682-4E88-999E-9486506094FE}"/>
    <cellStyle name="Currency 5 2 4 4" xfId="1167" xr:uid="{00000000-0005-0000-0000-0000400C0000}"/>
    <cellStyle name="Currency 5 2 4 4 2" xfId="3398" xr:uid="{00000000-0005-0000-0000-0000410C0000}"/>
    <cellStyle name="Currency 5 2 4 4 2 2" xfId="7620" xr:uid="{00000000-0005-0000-0000-0000420C0000}"/>
    <cellStyle name="Currency 5 2 4 4 2 2 2" xfId="26245" xr:uid="{889DDFF4-2375-4A51-B8DD-6E9B59360DE1}"/>
    <cellStyle name="Currency 5 2 4 4 2 2 3" xfId="16946" xr:uid="{418E0055-4E6C-4094-A57D-0FA5BCE93632}"/>
    <cellStyle name="Currency 5 2 4 4 2 3" xfId="22028" xr:uid="{DBE3E4C4-8636-46A1-9776-C9BAB3B50FFA}"/>
    <cellStyle name="Currency 5 2 4 4 2 4" xfId="12729" xr:uid="{4C907094-5E21-4049-BBA4-6E99E2B136CD}"/>
    <cellStyle name="Currency 5 2 4 4 3" xfId="5475" xr:uid="{00000000-0005-0000-0000-0000430C0000}"/>
    <cellStyle name="Currency 5 2 4 4 3 2" xfId="24100" xr:uid="{5CAFC466-952C-49DA-B3F1-E10C4C2C060A}"/>
    <cellStyle name="Currency 5 2 4 4 3 3" xfId="14801" xr:uid="{028B86B6-5509-444A-85C5-0F4699C9C5D4}"/>
    <cellStyle name="Currency 5 2 4 4 4" xfId="19883" xr:uid="{3DBDB973-319F-4CCC-918D-62FDCF48358D}"/>
    <cellStyle name="Currency 5 2 4 4 5" xfId="10584" xr:uid="{1C879519-A73E-44E1-9172-C9EF0EB19A59}"/>
    <cellStyle name="Currency 5 2 4 5" xfId="1581" xr:uid="{00000000-0005-0000-0000-0000440C0000}"/>
    <cellStyle name="Currency 5 2 4 5 2" xfId="3811" xr:uid="{00000000-0005-0000-0000-0000450C0000}"/>
    <cellStyle name="Currency 5 2 4 5 2 2" xfId="8033" xr:uid="{00000000-0005-0000-0000-0000460C0000}"/>
    <cellStyle name="Currency 5 2 4 5 2 2 2" xfId="26658" xr:uid="{4C8E13AF-B822-4611-9191-030CBB4147A7}"/>
    <cellStyle name="Currency 5 2 4 5 2 2 3" xfId="17359" xr:uid="{812027A9-4531-4BBD-AE41-06F9B166FE7B}"/>
    <cellStyle name="Currency 5 2 4 5 2 3" xfId="22441" xr:uid="{8786714C-BF6C-4D69-95DA-8CE927C4E4C0}"/>
    <cellStyle name="Currency 5 2 4 5 2 4" xfId="13142" xr:uid="{66859D6F-8001-4CF7-A5F9-EFB00747D296}"/>
    <cellStyle name="Currency 5 2 4 5 3" xfId="5888" xr:uid="{00000000-0005-0000-0000-0000470C0000}"/>
    <cellStyle name="Currency 5 2 4 5 3 2" xfId="24513" xr:uid="{E2745FD2-33C5-4C30-AFDD-AA1B5DC1EC68}"/>
    <cellStyle name="Currency 5 2 4 5 3 3" xfId="15214" xr:uid="{0A340153-7D61-4FC5-8E63-76D311DF705C}"/>
    <cellStyle name="Currency 5 2 4 5 4" xfId="20296" xr:uid="{1E5D3433-5D2F-48FB-99B7-ACBFA064C279}"/>
    <cellStyle name="Currency 5 2 4 5 5" xfId="10997" xr:uid="{84C59B85-E6A7-4B98-8A05-46052C122018}"/>
    <cellStyle name="Currency 5 2 4 6" xfId="1995" xr:uid="{00000000-0005-0000-0000-0000480C0000}"/>
    <cellStyle name="Currency 5 2 4 6 2" xfId="4224" xr:uid="{00000000-0005-0000-0000-0000490C0000}"/>
    <cellStyle name="Currency 5 2 4 6 2 2" xfId="8446" xr:uid="{00000000-0005-0000-0000-00004A0C0000}"/>
    <cellStyle name="Currency 5 2 4 6 2 2 2" xfId="27071" xr:uid="{991A7CC5-72CB-491F-91B3-E73BE93288F8}"/>
    <cellStyle name="Currency 5 2 4 6 2 2 3" xfId="17772" xr:uid="{5DF421B5-5654-4E0C-8C8C-78738834F79A}"/>
    <cellStyle name="Currency 5 2 4 6 2 3" xfId="22854" xr:uid="{FE4CCAA6-4F2A-4506-9F96-EA44A0149B3A}"/>
    <cellStyle name="Currency 5 2 4 6 2 4" xfId="13555" xr:uid="{510D5DD1-9DE1-48F2-91DD-9BD21BA273A5}"/>
    <cellStyle name="Currency 5 2 4 6 3" xfId="6301" xr:uid="{00000000-0005-0000-0000-00004B0C0000}"/>
    <cellStyle name="Currency 5 2 4 6 3 2" xfId="24926" xr:uid="{4CF36540-6202-48B5-91AE-486003AE4408}"/>
    <cellStyle name="Currency 5 2 4 6 3 3" xfId="15627" xr:uid="{8F74B61F-1841-4A96-B3E6-C8B1279A9C65}"/>
    <cellStyle name="Currency 5 2 4 6 4" xfId="20709" xr:uid="{EFDC2607-8BD0-4504-9208-790CBF348BF4}"/>
    <cellStyle name="Currency 5 2 4 6 5" xfId="11410" xr:uid="{B5F06250-9F7D-4F82-9790-4A66F38592AC}"/>
    <cellStyle name="Currency 5 2 4 7" xfId="2430" xr:uid="{00000000-0005-0000-0000-00004C0C0000}"/>
    <cellStyle name="Currency 5 2 4 7 2" xfId="6714" xr:uid="{00000000-0005-0000-0000-00004D0C0000}"/>
    <cellStyle name="Currency 5 2 4 7 2 2" xfId="25339" xr:uid="{C71DA501-C88E-4B34-8880-CE4CD5ECCC98}"/>
    <cellStyle name="Currency 5 2 4 7 2 3" xfId="16040" xr:uid="{4E2F00DE-83D6-4988-B437-AD394A61D473}"/>
    <cellStyle name="Currency 5 2 4 7 3" xfId="21122" xr:uid="{AA196591-3449-454D-ADD0-B35A2C7E9EAB}"/>
    <cellStyle name="Currency 5 2 4 7 4" xfId="11823" xr:uid="{681DFA30-8389-46AA-8AF9-866BE2724FBC}"/>
    <cellStyle name="Currency 5 2 4 8" xfId="2727" xr:uid="{00000000-0005-0000-0000-00004E0C0000}"/>
    <cellStyle name="Currency 5 2 4 9" xfId="2808" xr:uid="{00000000-0005-0000-0000-00004F0C0000}"/>
    <cellStyle name="Currency 5 2 4 9 2" xfId="7031" xr:uid="{00000000-0005-0000-0000-0000500C0000}"/>
    <cellStyle name="Currency 5 2 4 9 2 2" xfId="25656" xr:uid="{283E5E07-80FD-444B-BC73-3341FA2F7EA5}"/>
    <cellStyle name="Currency 5 2 4 9 2 3" xfId="16357" xr:uid="{520EECFE-358D-43A6-8D9B-7656E163D354}"/>
    <cellStyle name="Currency 5 2 4 9 3" xfId="21439" xr:uid="{4CDCDF6D-0785-4FBB-B0B4-5353AA9C7688}"/>
    <cellStyle name="Currency 5 2 4 9 4" xfId="12140" xr:uid="{E75FBE17-F971-4CBF-B6E4-1DE05854A3CC}"/>
    <cellStyle name="Currency 5 2 5" xfId="207" xr:uid="{00000000-0005-0000-0000-0000510C0000}"/>
    <cellStyle name="Currency 5 2 5 10" xfId="8975" xr:uid="{3422EC31-C47F-46E0-A50C-FE05B1979387}"/>
    <cellStyle name="Currency 5 2 5 10 2" xfId="27598" xr:uid="{B028311D-3474-4A8D-95CE-507D858456B9}"/>
    <cellStyle name="Currency 5 2 5 10 3" xfId="18299" xr:uid="{AE0321F2-976E-48E0-859D-0B2FC2074CB3}"/>
    <cellStyle name="Currency 5 2 5 11" xfId="19058" xr:uid="{BB889432-CA19-4F34-9F72-AC9BC1DDA3A8}"/>
    <cellStyle name="Currency 5 2 5 12" xfId="9759" xr:uid="{48C0C241-761A-4C07-9E68-8698486E4F15}"/>
    <cellStyle name="Currency 5 2 5 2" xfId="734" xr:uid="{00000000-0005-0000-0000-0000520C0000}"/>
    <cellStyle name="Currency 5 2 5 2 2" xfId="2987" xr:uid="{00000000-0005-0000-0000-0000530C0000}"/>
    <cellStyle name="Currency 5 2 5 2 2 2" xfId="7209" xr:uid="{00000000-0005-0000-0000-0000540C0000}"/>
    <cellStyle name="Currency 5 2 5 2 2 2 2" xfId="25834" xr:uid="{3D2956EF-BDA5-4D90-9B46-97A62563B491}"/>
    <cellStyle name="Currency 5 2 5 2 2 2 3" xfId="16535" xr:uid="{08FA8B4A-12CE-40D1-BD23-84065DC66D21}"/>
    <cellStyle name="Currency 5 2 5 2 2 3" xfId="21617" xr:uid="{6BE73F33-A31E-41CE-A8E1-D1FAC99962AE}"/>
    <cellStyle name="Currency 5 2 5 2 2 4" xfId="12318" xr:uid="{AB109D64-150D-44B6-8B1A-84B1A029B838}"/>
    <cellStyle name="Currency 5 2 5 2 3" xfId="5064" xr:uid="{00000000-0005-0000-0000-0000550C0000}"/>
    <cellStyle name="Currency 5 2 5 2 3 2" xfId="23689" xr:uid="{5E3ADEED-42D2-461E-AD7D-6641420D604C}"/>
    <cellStyle name="Currency 5 2 5 2 3 3" xfId="14390" xr:uid="{CAB7B473-98E8-44B9-BAD8-95F19D05A350}"/>
    <cellStyle name="Currency 5 2 5 2 4" xfId="9400" xr:uid="{6620DDCD-05C0-4AFD-8A83-F1190101CCB3}"/>
    <cellStyle name="Currency 5 2 5 2 4 2" xfId="28014" xr:uid="{DD387D58-AA3D-4F44-B3EC-B3EF09C3DE0E}"/>
    <cellStyle name="Currency 5 2 5 2 4 3" xfId="18715" xr:uid="{755DD897-5513-4F11-BD05-E901F03C80F7}"/>
    <cellStyle name="Currency 5 2 5 2 5" xfId="19472" xr:uid="{CBD0ED21-C881-4021-A68E-873D67753CE9}"/>
    <cellStyle name="Currency 5 2 5 2 6" xfId="10173" xr:uid="{B3C95FC8-26BB-4D4C-A5E2-5C849DCA3AEC}"/>
    <cellStyle name="Currency 5 2 5 3" xfId="1169" xr:uid="{00000000-0005-0000-0000-0000560C0000}"/>
    <cellStyle name="Currency 5 2 5 3 2" xfId="3400" xr:uid="{00000000-0005-0000-0000-0000570C0000}"/>
    <cellStyle name="Currency 5 2 5 3 2 2" xfId="7622" xr:uid="{00000000-0005-0000-0000-0000580C0000}"/>
    <cellStyle name="Currency 5 2 5 3 2 2 2" xfId="26247" xr:uid="{86637748-CDA4-464A-A1F2-8E14DA733CEF}"/>
    <cellStyle name="Currency 5 2 5 3 2 2 3" xfId="16948" xr:uid="{E78C7FC0-2EB6-4BCD-A368-4E5404AA6C7C}"/>
    <cellStyle name="Currency 5 2 5 3 2 3" xfId="22030" xr:uid="{2C78531F-0D1F-422B-B12C-616D97433CA0}"/>
    <cellStyle name="Currency 5 2 5 3 2 4" xfId="12731" xr:uid="{AE5499B0-1E84-48FB-BC00-821DCBE28C87}"/>
    <cellStyle name="Currency 5 2 5 3 3" xfId="5477" xr:uid="{00000000-0005-0000-0000-0000590C0000}"/>
    <cellStyle name="Currency 5 2 5 3 3 2" xfId="24102" xr:uid="{29C718EB-BE83-43FB-8313-04175BA52C8E}"/>
    <cellStyle name="Currency 5 2 5 3 3 3" xfId="14803" xr:uid="{D8389D48-04FB-4100-8D65-70622F2151B9}"/>
    <cellStyle name="Currency 5 2 5 3 4" xfId="19885" xr:uid="{9E3BD6B2-7A7C-4EFC-9D67-7CD7D436AA04}"/>
    <cellStyle name="Currency 5 2 5 3 5" xfId="10586" xr:uid="{49F42921-C883-4676-8B05-439AB6D22E6C}"/>
    <cellStyle name="Currency 5 2 5 4" xfId="1583" xr:uid="{00000000-0005-0000-0000-00005A0C0000}"/>
    <cellStyle name="Currency 5 2 5 4 2" xfId="3813" xr:uid="{00000000-0005-0000-0000-00005B0C0000}"/>
    <cellStyle name="Currency 5 2 5 4 2 2" xfId="8035" xr:uid="{00000000-0005-0000-0000-00005C0C0000}"/>
    <cellStyle name="Currency 5 2 5 4 2 2 2" xfId="26660" xr:uid="{42958DCD-3015-47BD-9CC7-4D5AD64ED5DE}"/>
    <cellStyle name="Currency 5 2 5 4 2 2 3" xfId="17361" xr:uid="{54623C6C-8136-4DE3-B58E-6BE62440F2C5}"/>
    <cellStyle name="Currency 5 2 5 4 2 3" xfId="22443" xr:uid="{F5B5F386-8400-459D-ABBA-D39F63597559}"/>
    <cellStyle name="Currency 5 2 5 4 2 4" xfId="13144" xr:uid="{C5F82527-08FC-49C9-AD9E-CA84108019A6}"/>
    <cellStyle name="Currency 5 2 5 4 3" xfId="5890" xr:uid="{00000000-0005-0000-0000-00005D0C0000}"/>
    <cellStyle name="Currency 5 2 5 4 3 2" xfId="24515" xr:uid="{A7916A20-73A2-4806-8C9A-2E681253DE05}"/>
    <cellStyle name="Currency 5 2 5 4 3 3" xfId="15216" xr:uid="{3D85377C-5622-4C9F-9F79-26E5F1E8E231}"/>
    <cellStyle name="Currency 5 2 5 4 4" xfId="20298" xr:uid="{008859E8-D035-4388-869F-FC6633B66F58}"/>
    <cellStyle name="Currency 5 2 5 4 5" xfId="10999" xr:uid="{56B8603D-9AF8-47F8-8747-2637E2E814C4}"/>
    <cellStyle name="Currency 5 2 5 5" xfId="1997" xr:uid="{00000000-0005-0000-0000-00005E0C0000}"/>
    <cellStyle name="Currency 5 2 5 5 2" xfId="4226" xr:uid="{00000000-0005-0000-0000-00005F0C0000}"/>
    <cellStyle name="Currency 5 2 5 5 2 2" xfId="8448" xr:uid="{00000000-0005-0000-0000-0000600C0000}"/>
    <cellStyle name="Currency 5 2 5 5 2 2 2" xfId="27073" xr:uid="{E4DE01E5-C84E-4A68-B77C-B09F70639980}"/>
    <cellStyle name="Currency 5 2 5 5 2 2 3" xfId="17774" xr:uid="{3F7E5B51-4C37-447F-BBF5-2A8142E34679}"/>
    <cellStyle name="Currency 5 2 5 5 2 3" xfId="22856" xr:uid="{AE0F6470-E386-4457-AAAC-3EC30706D4E2}"/>
    <cellStyle name="Currency 5 2 5 5 2 4" xfId="13557" xr:uid="{77E71109-FDE4-4CEC-9AEC-94CE1B3318DE}"/>
    <cellStyle name="Currency 5 2 5 5 3" xfId="6303" xr:uid="{00000000-0005-0000-0000-0000610C0000}"/>
    <cellStyle name="Currency 5 2 5 5 3 2" xfId="24928" xr:uid="{D709217B-F7E9-4687-B05B-EDC47081643C}"/>
    <cellStyle name="Currency 5 2 5 5 3 3" xfId="15629" xr:uid="{C1ECF9FC-67C8-4191-9855-D4495F4025A4}"/>
    <cellStyle name="Currency 5 2 5 5 4" xfId="20711" xr:uid="{3A3D5DBE-1EDA-401D-A31E-23C42CC57331}"/>
    <cellStyle name="Currency 5 2 5 5 5" xfId="11412" xr:uid="{F8745A9F-0439-4CCD-BB46-92077BA9AAE4}"/>
    <cellStyle name="Currency 5 2 5 6" xfId="2432" xr:uid="{00000000-0005-0000-0000-0000620C0000}"/>
    <cellStyle name="Currency 5 2 5 6 2" xfId="6716" xr:uid="{00000000-0005-0000-0000-0000630C0000}"/>
    <cellStyle name="Currency 5 2 5 6 2 2" xfId="25341" xr:uid="{F6CC6D15-A576-4E5E-B9B8-A695A6A8EEF1}"/>
    <cellStyle name="Currency 5 2 5 6 2 3" xfId="16042" xr:uid="{1459EC60-977F-4198-B123-5FA2AACE6EEC}"/>
    <cellStyle name="Currency 5 2 5 6 3" xfId="21124" xr:uid="{B09B39BD-51D6-4193-85ED-67177AA28E4C}"/>
    <cellStyle name="Currency 5 2 5 6 4" xfId="11825" xr:uid="{0B714410-AB38-4E03-BF6A-45BF87817DE2}"/>
    <cellStyle name="Currency 5 2 5 7" xfId="2729" xr:uid="{00000000-0005-0000-0000-0000640C0000}"/>
    <cellStyle name="Currency 5 2 5 8" xfId="2810" xr:uid="{00000000-0005-0000-0000-0000650C0000}"/>
    <cellStyle name="Currency 5 2 5 8 2" xfId="7033" xr:uid="{00000000-0005-0000-0000-0000660C0000}"/>
    <cellStyle name="Currency 5 2 5 8 2 2" xfId="25658" xr:uid="{8153E02D-7017-47E2-ABBE-F89BC62BD350}"/>
    <cellStyle name="Currency 5 2 5 8 2 3" xfId="16359" xr:uid="{827EDBD6-977B-4A3D-8F8C-F664A0C92E3A}"/>
    <cellStyle name="Currency 5 2 5 8 3" xfId="21441" xr:uid="{2A90EAF5-7427-4B38-A5C6-6074CF2FE762}"/>
    <cellStyle name="Currency 5 2 5 8 4" xfId="12142" xr:uid="{C193D51D-5973-45E2-BAAE-2E2A110861F7}"/>
    <cellStyle name="Currency 5 2 5 9" xfId="4650" xr:uid="{00000000-0005-0000-0000-0000670C0000}"/>
    <cellStyle name="Currency 5 2 5 9 2" xfId="23275" xr:uid="{0BC54618-07A4-46BA-B576-53942E7B0427}"/>
    <cellStyle name="Currency 5 2 5 9 3" xfId="13976" xr:uid="{4D625ACB-C695-42B7-A1F5-F3DC2E735153}"/>
    <cellStyle name="Currency 5 2 6" xfId="208" xr:uid="{00000000-0005-0000-0000-0000680C0000}"/>
    <cellStyle name="Currency 5 2 6 10" xfId="9178" xr:uid="{19F6D70E-88E4-4E39-A1A9-3FF3D840E2F9}"/>
    <cellStyle name="Currency 5 2 6 10 2" xfId="27795" xr:uid="{BD871245-7FF9-4899-ABBE-DC7BE3E34097}"/>
    <cellStyle name="Currency 5 2 6 10 3" xfId="18496" xr:uid="{8F56C1D9-8048-4C55-B8CE-6D6317DCE95A}"/>
    <cellStyle name="Currency 5 2 6 11" xfId="19059" xr:uid="{397A21CE-16ED-4C8B-97CA-FA48B7ECCCAD}"/>
    <cellStyle name="Currency 5 2 6 12" xfId="9760" xr:uid="{2DFF9BE2-B864-4CF5-86B0-2AB3687E6CB6}"/>
    <cellStyle name="Currency 5 2 6 2" xfId="735" xr:uid="{00000000-0005-0000-0000-0000690C0000}"/>
    <cellStyle name="Currency 5 2 6 2 2" xfId="2988" xr:uid="{00000000-0005-0000-0000-00006A0C0000}"/>
    <cellStyle name="Currency 5 2 6 2 2 2" xfId="7210" xr:uid="{00000000-0005-0000-0000-00006B0C0000}"/>
    <cellStyle name="Currency 5 2 6 2 2 2 2" xfId="25835" xr:uid="{B93EDFF1-5540-4045-B7A3-44BD8E88ECCA}"/>
    <cellStyle name="Currency 5 2 6 2 2 2 3" xfId="16536" xr:uid="{A3FD3293-FFEF-415F-B44E-F9AF484EA246}"/>
    <cellStyle name="Currency 5 2 6 2 2 3" xfId="21618" xr:uid="{9C90EAA8-456C-4E78-B005-281C99DF0786}"/>
    <cellStyle name="Currency 5 2 6 2 2 4" xfId="12319" xr:uid="{626154B4-8C38-4DE9-A24A-2EFEAA6F22DB}"/>
    <cellStyle name="Currency 5 2 6 2 3" xfId="5065" xr:uid="{00000000-0005-0000-0000-00006C0C0000}"/>
    <cellStyle name="Currency 5 2 6 2 3 2" xfId="23690" xr:uid="{0F8F5E1B-5AE2-4BE9-A36F-8176B60F3B22}"/>
    <cellStyle name="Currency 5 2 6 2 3 3" xfId="14391" xr:uid="{91BA31CC-DD44-41AC-9343-A9AE125A58B1}"/>
    <cellStyle name="Currency 5 2 6 2 4" xfId="9599" xr:uid="{C2EE182C-D73D-4E6C-9671-0484CB4E8D68}"/>
    <cellStyle name="Currency 5 2 6 2 4 2" xfId="28202" xr:uid="{68D28515-133B-46F3-97D2-8DDEE4BA4FB7}"/>
    <cellStyle name="Currency 5 2 6 2 4 3" xfId="18903" xr:uid="{072AF45A-FC11-43ED-851E-FB7E39973FF2}"/>
    <cellStyle name="Currency 5 2 6 2 5" xfId="19473" xr:uid="{6B43353F-99EF-4A20-A127-3A5F42BA2FC0}"/>
    <cellStyle name="Currency 5 2 6 2 6" xfId="10174" xr:uid="{01CFB6D1-DD39-404C-9E0F-6B5C39B6B06A}"/>
    <cellStyle name="Currency 5 2 6 3" xfId="1170" xr:uid="{00000000-0005-0000-0000-00006D0C0000}"/>
    <cellStyle name="Currency 5 2 6 3 2" xfId="3401" xr:uid="{00000000-0005-0000-0000-00006E0C0000}"/>
    <cellStyle name="Currency 5 2 6 3 2 2" xfId="7623" xr:uid="{00000000-0005-0000-0000-00006F0C0000}"/>
    <cellStyle name="Currency 5 2 6 3 2 2 2" xfId="26248" xr:uid="{45806A12-29C2-40AD-8225-F300BB032018}"/>
    <cellStyle name="Currency 5 2 6 3 2 2 3" xfId="16949" xr:uid="{3F88822A-8CA7-4FDE-9CD2-D03E092A4395}"/>
    <cellStyle name="Currency 5 2 6 3 2 3" xfId="22031" xr:uid="{CAC722C6-625C-49AB-A203-E6CD8D707757}"/>
    <cellStyle name="Currency 5 2 6 3 2 4" xfId="12732" xr:uid="{9264F1AC-41A1-4E10-A924-A3B81589D4AF}"/>
    <cellStyle name="Currency 5 2 6 3 3" xfId="5478" xr:uid="{00000000-0005-0000-0000-0000700C0000}"/>
    <cellStyle name="Currency 5 2 6 3 3 2" xfId="24103" xr:uid="{76479691-0998-441A-BF8B-936B3FD3034C}"/>
    <cellStyle name="Currency 5 2 6 3 3 3" xfId="14804" xr:uid="{D2CAA764-4B68-427E-BBAD-000955E1DC13}"/>
    <cellStyle name="Currency 5 2 6 3 4" xfId="19886" xr:uid="{1C410C52-10D0-4BA1-92CA-596894213E5D}"/>
    <cellStyle name="Currency 5 2 6 3 5" xfId="10587" xr:uid="{A8C82EB7-EDF9-4BF5-9869-7911AF234320}"/>
    <cellStyle name="Currency 5 2 6 4" xfId="1584" xr:uid="{00000000-0005-0000-0000-0000710C0000}"/>
    <cellStyle name="Currency 5 2 6 4 2" xfId="3814" xr:uid="{00000000-0005-0000-0000-0000720C0000}"/>
    <cellStyle name="Currency 5 2 6 4 2 2" xfId="8036" xr:uid="{00000000-0005-0000-0000-0000730C0000}"/>
    <cellStyle name="Currency 5 2 6 4 2 2 2" xfId="26661" xr:uid="{28C1653A-D130-4207-8924-E6C1183152EB}"/>
    <cellStyle name="Currency 5 2 6 4 2 2 3" xfId="17362" xr:uid="{2FFCE947-851F-4987-882C-1B58196CB668}"/>
    <cellStyle name="Currency 5 2 6 4 2 3" xfId="22444" xr:uid="{9864CA6E-407F-489E-A41E-29B20AF9CD2B}"/>
    <cellStyle name="Currency 5 2 6 4 2 4" xfId="13145" xr:uid="{90C8F219-F8CC-428F-A475-E5DDD0F66EF6}"/>
    <cellStyle name="Currency 5 2 6 4 3" xfId="5891" xr:uid="{00000000-0005-0000-0000-0000740C0000}"/>
    <cellStyle name="Currency 5 2 6 4 3 2" xfId="24516" xr:uid="{EB82DC12-8682-4704-B47F-00213A64D73E}"/>
    <cellStyle name="Currency 5 2 6 4 3 3" xfId="15217" xr:uid="{3D86677C-A0E6-416C-97E2-B3A3AAEE2D6E}"/>
    <cellStyle name="Currency 5 2 6 4 4" xfId="20299" xr:uid="{A1735140-A4E3-4DEE-AFCB-749320E1505E}"/>
    <cellStyle name="Currency 5 2 6 4 5" xfId="11000" xr:uid="{FF5E2D1A-1169-4F55-8D6A-CFD8DC7B53A9}"/>
    <cellStyle name="Currency 5 2 6 5" xfId="1998" xr:uid="{00000000-0005-0000-0000-0000750C0000}"/>
    <cellStyle name="Currency 5 2 6 5 2" xfId="4227" xr:uid="{00000000-0005-0000-0000-0000760C0000}"/>
    <cellStyle name="Currency 5 2 6 5 2 2" xfId="8449" xr:uid="{00000000-0005-0000-0000-0000770C0000}"/>
    <cellStyle name="Currency 5 2 6 5 2 2 2" xfId="27074" xr:uid="{B6DD81E1-1CF9-405F-AAEA-1E9DA7F2083C}"/>
    <cellStyle name="Currency 5 2 6 5 2 2 3" xfId="17775" xr:uid="{4D453F46-A706-48D0-9CBC-6F54B8C7D7F5}"/>
    <cellStyle name="Currency 5 2 6 5 2 3" xfId="22857" xr:uid="{6F8A176D-CB25-428D-B935-414A51EE7451}"/>
    <cellStyle name="Currency 5 2 6 5 2 4" xfId="13558" xr:uid="{7F15F74F-49A8-41CE-A0D8-881DEC47CE24}"/>
    <cellStyle name="Currency 5 2 6 5 3" xfId="6304" xr:uid="{00000000-0005-0000-0000-0000780C0000}"/>
    <cellStyle name="Currency 5 2 6 5 3 2" xfId="24929" xr:uid="{A2DDB5AD-A3C2-45ED-8838-987DA8F8FA9C}"/>
    <cellStyle name="Currency 5 2 6 5 3 3" xfId="15630" xr:uid="{58E01416-3FA2-48A8-A483-949ACF0D728C}"/>
    <cellStyle name="Currency 5 2 6 5 4" xfId="20712" xr:uid="{C6E62B70-98C4-4E8E-AC97-4000986F35F8}"/>
    <cellStyle name="Currency 5 2 6 5 5" xfId="11413" xr:uid="{09BB58E7-1968-4211-B873-E96E6C230497}"/>
    <cellStyle name="Currency 5 2 6 6" xfId="2433" xr:uid="{00000000-0005-0000-0000-0000790C0000}"/>
    <cellStyle name="Currency 5 2 6 6 2" xfId="6717" xr:uid="{00000000-0005-0000-0000-00007A0C0000}"/>
    <cellStyle name="Currency 5 2 6 6 2 2" xfId="25342" xr:uid="{C1023399-8AA1-426B-869F-67BFA6C179A5}"/>
    <cellStyle name="Currency 5 2 6 6 2 3" xfId="16043" xr:uid="{36D8DC92-9548-4107-B2E9-4E3DF494B5D3}"/>
    <cellStyle name="Currency 5 2 6 6 3" xfId="21125" xr:uid="{9075DBAC-A202-4E7B-A8BE-D63FF68BFD31}"/>
    <cellStyle name="Currency 5 2 6 6 4" xfId="11826" xr:uid="{D0D701BE-B504-4963-8916-029C14A02306}"/>
    <cellStyle name="Currency 5 2 6 7" xfId="2730" xr:uid="{00000000-0005-0000-0000-00007B0C0000}"/>
    <cellStyle name="Currency 5 2 6 8" xfId="2811" xr:uid="{00000000-0005-0000-0000-00007C0C0000}"/>
    <cellStyle name="Currency 5 2 6 8 2" xfId="7034" xr:uid="{00000000-0005-0000-0000-00007D0C0000}"/>
    <cellStyle name="Currency 5 2 6 8 2 2" xfId="25659" xr:uid="{88E0832D-9201-4059-B7B2-D8A3987836F8}"/>
    <cellStyle name="Currency 5 2 6 8 2 3" xfId="16360" xr:uid="{3113F9A8-238B-424F-8B3F-E4ED9E718880}"/>
    <cellStyle name="Currency 5 2 6 8 3" xfId="21442" xr:uid="{C4B87A61-98CB-4EFD-9445-052A8FA9DF6B}"/>
    <cellStyle name="Currency 5 2 6 8 4" xfId="12143" xr:uid="{968928F2-2619-49D8-9F52-66BCCA8C94C4}"/>
    <cellStyle name="Currency 5 2 6 9" xfId="4651" xr:uid="{00000000-0005-0000-0000-00007E0C0000}"/>
    <cellStyle name="Currency 5 2 6 9 2" xfId="23276" xr:uid="{9E79EDAC-383F-4D91-9E49-5DC84A80163A}"/>
    <cellStyle name="Currency 5 2 6 9 3" xfId="13977" xr:uid="{CEC0A7F2-D84B-48CA-BCF6-FD61D5F7FCAC}"/>
    <cellStyle name="Currency 5 2 7" xfId="722" xr:uid="{00000000-0005-0000-0000-00007F0C0000}"/>
    <cellStyle name="Currency 5 2 8" xfId="8756" xr:uid="{D16196A2-D0A3-46A2-9B14-6B017B4CC82F}"/>
    <cellStyle name="Currency 5 2 8 2" xfId="27379" xr:uid="{FE0B3F04-EE3C-4C4C-B62D-DE940A36A0D7}"/>
    <cellStyle name="Currency 5 2 8 3" xfId="18080" xr:uid="{88A085D6-3202-4865-86C5-91843B676FE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0 2 2" xfId="25660" xr:uid="{A1DDC332-CABB-4CFF-9B2F-B6DA6BD190BB}"/>
    <cellStyle name="Currency 5 3 2 10 2 3" xfId="16361" xr:uid="{14F53E90-BA14-4698-9F68-0414E6F19678}"/>
    <cellStyle name="Currency 5 3 2 10 3" xfId="21443" xr:uid="{23424C7F-6A40-4594-B0D5-D82395C7841F}"/>
    <cellStyle name="Currency 5 3 2 10 4" xfId="12144" xr:uid="{CED38F46-A427-47CD-AB88-3081CFF09D15}"/>
    <cellStyle name="Currency 5 3 2 11" xfId="4652" xr:uid="{00000000-0005-0000-0000-0000840C0000}"/>
    <cellStyle name="Currency 5 3 2 11 2" xfId="23277" xr:uid="{4FE29163-239F-46B0-8F8B-982280315B70}"/>
    <cellStyle name="Currency 5 3 2 11 3" xfId="13978" xr:uid="{1FA8B5B1-08A3-400B-BEFE-352DD4C36999}"/>
    <cellStyle name="Currency 5 3 2 12" xfId="8810" xr:uid="{C5234FF9-D509-4CD8-ADA1-D3604CCF3D1F}"/>
    <cellStyle name="Currency 5 3 2 12 2" xfId="27433" xr:uid="{F9D56354-E3B0-4550-BBE0-3F367D69073D}"/>
    <cellStyle name="Currency 5 3 2 12 3" xfId="18134" xr:uid="{9588C281-82D0-4FFF-9987-4EFB0B0D30B1}"/>
    <cellStyle name="Currency 5 3 2 13" xfId="19060" xr:uid="{7AD46843-F6D4-49CB-8C96-BA7E9127D37C}"/>
    <cellStyle name="Currency 5 3 2 14" xfId="9761" xr:uid="{38D825FB-73DD-44E8-9F5E-7BBF2DAFBEAE}"/>
    <cellStyle name="Currency 5 3 2 2" xfId="211" xr:uid="{00000000-0005-0000-0000-0000850C0000}"/>
    <cellStyle name="Currency 5 3 2 2 10" xfId="4653" xr:uid="{00000000-0005-0000-0000-0000860C0000}"/>
    <cellStyle name="Currency 5 3 2 2 10 2" xfId="23278" xr:uid="{665472C0-9A72-43A8-92E5-B03583E8125B}"/>
    <cellStyle name="Currency 5 3 2 2 10 3" xfId="13979" xr:uid="{234820DA-3433-4D0E-85D5-70FDC1069352}"/>
    <cellStyle name="Currency 5 3 2 2 11" xfId="8913" xr:uid="{FE033F82-2F16-4925-9899-F927AB9AA612}"/>
    <cellStyle name="Currency 5 3 2 2 11 2" xfId="27536" xr:uid="{9C2F757A-CD7E-4A98-80D8-853ECC21760F}"/>
    <cellStyle name="Currency 5 3 2 2 11 3" xfId="18237" xr:uid="{5A907A81-457C-447E-8CEA-8845BF4CF71A}"/>
    <cellStyle name="Currency 5 3 2 2 12" xfId="19061" xr:uid="{63461560-C910-4AD8-8D38-126AC2B1A3DC}"/>
    <cellStyle name="Currency 5 3 2 2 13" xfId="9762" xr:uid="{ED41A66B-15A4-414C-9CA4-C377513E4E8F}"/>
    <cellStyle name="Currency 5 3 2 2 2" xfId="212" xr:uid="{00000000-0005-0000-0000-0000870C0000}"/>
    <cellStyle name="Currency 5 3 2 2 2 10" xfId="9120" xr:uid="{D5536A1F-8418-4CB5-B1E0-470AD716374A}"/>
    <cellStyle name="Currency 5 3 2 2 2 10 2" xfId="27743" xr:uid="{B77F5CF6-4E3B-4348-B8C0-7CCB7857F907}"/>
    <cellStyle name="Currency 5 3 2 2 2 10 3" xfId="18444" xr:uid="{E3B75A50-CD34-4ECB-9AA1-8DBF053F7892}"/>
    <cellStyle name="Currency 5 3 2 2 2 11" xfId="19062" xr:uid="{CD8641A0-2C76-453A-9849-C2E5D74CD6C7}"/>
    <cellStyle name="Currency 5 3 2 2 2 12" xfId="9763" xr:uid="{4D70697B-FCC5-47BC-A896-2D398A5F3459}"/>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2 2 2" xfId="25838" xr:uid="{85B8F9CA-8C04-4E4D-A68D-7338D986778A}"/>
    <cellStyle name="Currency 5 3 2 2 2 2 2 2 3" xfId="16539" xr:uid="{F4F1353C-D7CB-4FDC-B8B0-5896089C5FB5}"/>
    <cellStyle name="Currency 5 3 2 2 2 2 2 3" xfId="21621" xr:uid="{B0C397E4-441E-4BF2-A4F0-D208BA1FBD0A}"/>
    <cellStyle name="Currency 5 3 2 2 2 2 2 4" xfId="12322" xr:uid="{90F557EE-CA5B-452A-8252-98AF0C3708FD}"/>
    <cellStyle name="Currency 5 3 2 2 2 2 3" xfId="5068" xr:uid="{00000000-0005-0000-0000-00008B0C0000}"/>
    <cellStyle name="Currency 5 3 2 2 2 2 3 2" xfId="23693" xr:uid="{5B6AFC74-4375-4A72-8F7E-996ED4A4C437}"/>
    <cellStyle name="Currency 5 3 2 2 2 2 3 3" xfId="14394" xr:uid="{7B7F6D0D-5858-4155-A46C-243643336454}"/>
    <cellStyle name="Currency 5 3 2 2 2 2 4" xfId="9545" xr:uid="{F6C268D6-0334-42F7-AE4F-535ADD09B625}"/>
    <cellStyle name="Currency 5 3 2 2 2 2 4 2" xfId="28159" xr:uid="{04861B30-D812-43D8-9044-B49008DCD7B5}"/>
    <cellStyle name="Currency 5 3 2 2 2 2 4 3" xfId="18860" xr:uid="{5798B69D-9928-4B64-B986-990D31CF2F39}"/>
    <cellStyle name="Currency 5 3 2 2 2 2 5" xfId="19476" xr:uid="{D3F0ECAD-4B2D-4B9C-93D2-450BE22B69A1}"/>
    <cellStyle name="Currency 5 3 2 2 2 2 6" xfId="10177" xr:uid="{E129D5D2-BDA6-4DD3-B67E-8A87CE8A7EA9}"/>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2 2 2" xfId="26251" xr:uid="{B5D4B5F4-5ADE-47A8-8E6C-47B7062FEB9C}"/>
    <cellStyle name="Currency 5 3 2 2 2 3 2 2 3" xfId="16952" xr:uid="{8DBC7222-811E-4381-BFA8-E03299975EA4}"/>
    <cellStyle name="Currency 5 3 2 2 2 3 2 3" xfId="22034" xr:uid="{75D0AB86-E780-446A-A913-4A7A03B95950}"/>
    <cellStyle name="Currency 5 3 2 2 2 3 2 4" xfId="12735" xr:uid="{FFA000A9-600E-44E8-A712-578F86B24F04}"/>
    <cellStyle name="Currency 5 3 2 2 2 3 3" xfId="5481" xr:uid="{00000000-0005-0000-0000-00008F0C0000}"/>
    <cellStyle name="Currency 5 3 2 2 2 3 3 2" xfId="24106" xr:uid="{EAE158D9-F513-4611-A7F1-763C397827C9}"/>
    <cellStyle name="Currency 5 3 2 2 2 3 3 3" xfId="14807" xr:uid="{4B1414DC-3EBC-4037-9804-985393F2E7E1}"/>
    <cellStyle name="Currency 5 3 2 2 2 3 4" xfId="19889" xr:uid="{8BFE2C7C-A80F-47C6-989E-F261971343B3}"/>
    <cellStyle name="Currency 5 3 2 2 2 3 5" xfId="10590" xr:uid="{60E824DC-77BA-4730-AA66-0259BE578D28}"/>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2 2 2" xfId="26664" xr:uid="{D5D502C0-A407-4988-864B-2D1C493A06A4}"/>
    <cellStyle name="Currency 5 3 2 2 2 4 2 2 3" xfId="17365" xr:uid="{91D7ADD9-61C2-443B-A12C-5C7090CD3570}"/>
    <cellStyle name="Currency 5 3 2 2 2 4 2 3" xfId="22447" xr:uid="{24CC88D7-84CF-4180-9DFA-7D469F516303}"/>
    <cellStyle name="Currency 5 3 2 2 2 4 2 4" xfId="13148" xr:uid="{B29D8F69-D312-4D82-9311-BF459B486A82}"/>
    <cellStyle name="Currency 5 3 2 2 2 4 3" xfId="5894" xr:uid="{00000000-0005-0000-0000-0000930C0000}"/>
    <cellStyle name="Currency 5 3 2 2 2 4 3 2" xfId="24519" xr:uid="{662AAF54-707E-4DCB-B7FC-C529B166D5FB}"/>
    <cellStyle name="Currency 5 3 2 2 2 4 3 3" xfId="15220" xr:uid="{09BB6296-2309-44EF-BFF2-F5C306F78E02}"/>
    <cellStyle name="Currency 5 3 2 2 2 4 4" xfId="20302" xr:uid="{C3046896-6AC8-466B-825E-BFAEE3E199AC}"/>
    <cellStyle name="Currency 5 3 2 2 2 4 5" xfId="11003" xr:uid="{ADEC9B17-80D8-4E47-A5B3-44C391102D3A}"/>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2 2 2" xfId="27077" xr:uid="{8020FA96-7BC9-48B7-8286-7561FBCF8EF8}"/>
    <cellStyle name="Currency 5 3 2 2 2 5 2 2 3" xfId="17778" xr:uid="{30E4A442-B61F-4E39-9872-99BF0C0F985B}"/>
    <cellStyle name="Currency 5 3 2 2 2 5 2 3" xfId="22860" xr:uid="{99D3BB7F-8242-4A03-9AC3-3DDE9117AC80}"/>
    <cellStyle name="Currency 5 3 2 2 2 5 2 4" xfId="13561" xr:uid="{75E2E150-1F46-49DE-A616-442C5BC1BAB7}"/>
    <cellStyle name="Currency 5 3 2 2 2 5 3" xfId="6307" xr:uid="{00000000-0005-0000-0000-0000970C0000}"/>
    <cellStyle name="Currency 5 3 2 2 2 5 3 2" xfId="24932" xr:uid="{F608DF46-0F8A-4435-9BFD-FFC1E5272725}"/>
    <cellStyle name="Currency 5 3 2 2 2 5 3 3" xfId="15633" xr:uid="{773E78DE-D26F-4B33-A95E-2EE82ABC9541}"/>
    <cellStyle name="Currency 5 3 2 2 2 5 4" xfId="20715" xr:uid="{758D197C-CF70-43C3-9364-225EAE7D78A0}"/>
    <cellStyle name="Currency 5 3 2 2 2 5 5" xfId="11416" xr:uid="{B715D669-D05C-4BE4-8E07-B5E914AEE9C8}"/>
    <cellStyle name="Currency 5 3 2 2 2 6" xfId="2436" xr:uid="{00000000-0005-0000-0000-0000980C0000}"/>
    <cellStyle name="Currency 5 3 2 2 2 6 2" xfId="6720" xr:uid="{00000000-0005-0000-0000-0000990C0000}"/>
    <cellStyle name="Currency 5 3 2 2 2 6 2 2" xfId="25345" xr:uid="{436CF51E-068E-4E7A-8FA0-1FD1921EE9F0}"/>
    <cellStyle name="Currency 5 3 2 2 2 6 2 3" xfId="16046" xr:uid="{C01EFEF7-EA4E-4D0C-9BCE-D863B1C2094F}"/>
    <cellStyle name="Currency 5 3 2 2 2 6 3" xfId="21128" xr:uid="{A2E8F82A-4BF1-43B4-89B6-338D522B2548}"/>
    <cellStyle name="Currency 5 3 2 2 2 6 4" xfId="11829" xr:uid="{0B018655-FCE0-4174-B95C-3ADC78F0F09A}"/>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8 2 2" xfId="25662" xr:uid="{36222159-1662-41F8-9D6B-B072ECFD65B5}"/>
    <cellStyle name="Currency 5 3 2 2 2 8 2 3" xfId="16363" xr:uid="{95E7DDC8-0D67-4FD1-9CA0-21DB83165162}"/>
    <cellStyle name="Currency 5 3 2 2 2 8 3" xfId="21445" xr:uid="{F69795D9-8A76-4009-B327-3DEFD65F5596}"/>
    <cellStyle name="Currency 5 3 2 2 2 8 4" xfId="12146" xr:uid="{62938F86-D62E-4E21-8E9F-FB9144CE4710}"/>
    <cellStyle name="Currency 5 3 2 2 2 9" xfId="4654" xr:uid="{00000000-0005-0000-0000-00009D0C0000}"/>
    <cellStyle name="Currency 5 3 2 2 2 9 2" xfId="23279" xr:uid="{11FB49C9-D058-4862-B05B-66746EB78A8F}"/>
    <cellStyle name="Currency 5 3 2 2 2 9 3" xfId="13980" xr:uid="{3AA56B84-8132-4F03-A11C-14BF63C2A998}"/>
    <cellStyle name="Currency 5 3 2 2 3" xfId="737" xr:uid="{00000000-0005-0000-0000-00009E0C0000}"/>
    <cellStyle name="Currency 5 3 2 2 3 2" xfId="2990" xr:uid="{00000000-0005-0000-0000-00009F0C0000}"/>
    <cellStyle name="Currency 5 3 2 2 3 2 2" xfId="7212" xr:uid="{00000000-0005-0000-0000-0000A00C0000}"/>
    <cellStyle name="Currency 5 3 2 2 3 2 2 2" xfId="25837" xr:uid="{201C5167-E1CF-4E45-9466-DBF5559CF8D8}"/>
    <cellStyle name="Currency 5 3 2 2 3 2 2 3" xfId="16538" xr:uid="{83D8B749-8F7E-4B27-810E-1E8299A57A49}"/>
    <cellStyle name="Currency 5 3 2 2 3 2 3" xfId="21620" xr:uid="{994C7A29-D676-4075-AFFF-46D8C54EBFF5}"/>
    <cellStyle name="Currency 5 3 2 2 3 2 4" xfId="12321" xr:uid="{56A0FDFF-3709-4808-A382-30FB8DA1E144}"/>
    <cellStyle name="Currency 5 3 2 2 3 3" xfId="5067" xr:uid="{00000000-0005-0000-0000-0000A10C0000}"/>
    <cellStyle name="Currency 5 3 2 2 3 3 2" xfId="23692" xr:uid="{40D3AEB4-6A04-454D-BF67-69F358667383}"/>
    <cellStyle name="Currency 5 3 2 2 3 3 3" xfId="14393" xr:uid="{B501AFDA-BB8E-4FD3-B1BA-DAA9ED070931}"/>
    <cellStyle name="Currency 5 3 2 2 3 4" xfId="9338" xr:uid="{E79296CA-9516-4DDA-84B2-A3B13AAA9D9D}"/>
    <cellStyle name="Currency 5 3 2 2 3 4 2" xfId="27952" xr:uid="{2D48F4C5-53A8-49B9-A1E9-0C12F845359C}"/>
    <cellStyle name="Currency 5 3 2 2 3 4 3" xfId="18653" xr:uid="{6228C2BF-6F0B-45B2-87C9-7415889F2EBE}"/>
    <cellStyle name="Currency 5 3 2 2 3 5" xfId="19475" xr:uid="{CC78F7E4-7514-43C0-80C2-A7EE22CE159A}"/>
    <cellStyle name="Currency 5 3 2 2 3 6" xfId="10176" xr:uid="{8D74DC5A-4714-4907-8D3B-EC578D701D40}"/>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2 2 2" xfId="26250" xr:uid="{65C3F810-4E11-49EC-B54F-61E5E5DA63EF}"/>
    <cellStyle name="Currency 5 3 2 2 4 2 2 3" xfId="16951" xr:uid="{3F157410-A5B9-49D3-AD02-CC1774C853C5}"/>
    <cellStyle name="Currency 5 3 2 2 4 2 3" xfId="22033" xr:uid="{2FD040E3-0679-4517-A529-BF082B09906B}"/>
    <cellStyle name="Currency 5 3 2 2 4 2 4" xfId="12734" xr:uid="{63F47B92-A337-418F-9213-868E4B0DF21A}"/>
    <cellStyle name="Currency 5 3 2 2 4 3" xfId="5480" xr:uid="{00000000-0005-0000-0000-0000A50C0000}"/>
    <cellStyle name="Currency 5 3 2 2 4 3 2" xfId="24105" xr:uid="{03B10A24-7951-455E-AC16-F07250036AC9}"/>
    <cellStyle name="Currency 5 3 2 2 4 3 3" xfId="14806" xr:uid="{80B2676D-65D6-42DB-9FB3-4DE67CEBB91B}"/>
    <cellStyle name="Currency 5 3 2 2 4 4" xfId="19888" xr:uid="{386DC83E-846B-44FF-8FCB-C05B62A892A9}"/>
    <cellStyle name="Currency 5 3 2 2 4 5" xfId="10589" xr:uid="{D65F27D5-B80A-473C-823C-49A83AF1640D}"/>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2 2 2" xfId="26663" xr:uid="{68F41818-707B-4038-8AF3-887CEAF106EC}"/>
    <cellStyle name="Currency 5 3 2 2 5 2 2 3" xfId="17364" xr:uid="{1CD8D1F1-9B1D-4125-B7C2-600BE1A8BAB1}"/>
    <cellStyle name="Currency 5 3 2 2 5 2 3" xfId="22446" xr:uid="{14644118-1B55-4FF7-8B20-F0C6EF0B2D68}"/>
    <cellStyle name="Currency 5 3 2 2 5 2 4" xfId="13147" xr:uid="{0D2B4521-4A2D-4EC5-801D-7B9AC2C09F22}"/>
    <cellStyle name="Currency 5 3 2 2 5 3" xfId="5893" xr:uid="{00000000-0005-0000-0000-0000A90C0000}"/>
    <cellStyle name="Currency 5 3 2 2 5 3 2" xfId="24518" xr:uid="{C1A0C88B-FCE2-4F15-80CB-BB85F31DC5D2}"/>
    <cellStyle name="Currency 5 3 2 2 5 3 3" xfId="15219" xr:uid="{E1929277-8EF4-4A66-8FC6-842124E5F2E5}"/>
    <cellStyle name="Currency 5 3 2 2 5 4" xfId="20301" xr:uid="{08757CEB-43DB-4F9E-B56D-021DAA0E0420}"/>
    <cellStyle name="Currency 5 3 2 2 5 5" xfId="11002" xr:uid="{E2C09F24-CFA3-468C-9188-00882BE1F88A}"/>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2 2 2" xfId="27076" xr:uid="{0BD8957B-A6E9-47D7-8374-5C6BB52F8F44}"/>
    <cellStyle name="Currency 5 3 2 2 6 2 2 3" xfId="17777" xr:uid="{5A0585B5-B3CF-4B6E-BE9D-A2D35769E885}"/>
    <cellStyle name="Currency 5 3 2 2 6 2 3" xfId="22859" xr:uid="{92815AEB-2A8A-468C-BF37-134DD9D56280}"/>
    <cellStyle name="Currency 5 3 2 2 6 2 4" xfId="13560" xr:uid="{FF8DA317-12DB-41B3-9B64-A90A6EFD7035}"/>
    <cellStyle name="Currency 5 3 2 2 6 3" xfId="6306" xr:uid="{00000000-0005-0000-0000-0000AD0C0000}"/>
    <cellStyle name="Currency 5 3 2 2 6 3 2" xfId="24931" xr:uid="{25540FA0-A8D4-4227-A16C-DED9F422C00F}"/>
    <cellStyle name="Currency 5 3 2 2 6 3 3" xfId="15632" xr:uid="{620E0AEA-FCD6-4CB5-ABAE-75B916C8CA30}"/>
    <cellStyle name="Currency 5 3 2 2 6 4" xfId="20714" xr:uid="{695A8D47-9D03-4F92-93DD-9D41D907B7C2}"/>
    <cellStyle name="Currency 5 3 2 2 6 5" xfId="11415" xr:uid="{A8B79E9C-A030-4AEC-B51F-5E6823C956FC}"/>
    <cellStyle name="Currency 5 3 2 2 7" xfId="2435" xr:uid="{00000000-0005-0000-0000-0000AE0C0000}"/>
    <cellStyle name="Currency 5 3 2 2 7 2" xfId="6719" xr:uid="{00000000-0005-0000-0000-0000AF0C0000}"/>
    <cellStyle name="Currency 5 3 2 2 7 2 2" xfId="25344" xr:uid="{07608FD5-B862-4765-B221-774371D1AE09}"/>
    <cellStyle name="Currency 5 3 2 2 7 2 3" xfId="16045" xr:uid="{29E32F22-B4BC-4B5C-965F-4861E2B42B5D}"/>
    <cellStyle name="Currency 5 3 2 2 7 3" xfId="21127" xr:uid="{97B427C8-14F4-449C-AC4A-747C0152904B}"/>
    <cellStyle name="Currency 5 3 2 2 7 4" xfId="11828" xr:uid="{3A291562-A16E-46B4-A684-4F60CCE97D62}"/>
    <cellStyle name="Currency 5 3 2 2 8" xfId="2732" xr:uid="{00000000-0005-0000-0000-0000B00C0000}"/>
    <cellStyle name="Currency 5 3 2 2 9" xfId="2813" xr:uid="{00000000-0005-0000-0000-0000B10C0000}"/>
    <cellStyle name="Currency 5 3 2 2 9 2" xfId="7036" xr:uid="{00000000-0005-0000-0000-0000B20C0000}"/>
    <cellStyle name="Currency 5 3 2 2 9 2 2" xfId="25661" xr:uid="{153C81B4-CC19-4405-903F-7677E9A04870}"/>
    <cellStyle name="Currency 5 3 2 2 9 2 3" xfId="16362" xr:uid="{92E63FC2-38A3-4D7F-85B3-680813099DC3}"/>
    <cellStyle name="Currency 5 3 2 2 9 3" xfId="21444" xr:uid="{FA2C7EFB-3289-4847-98C4-6EC0223E0377}"/>
    <cellStyle name="Currency 5 3 2 2 9 4" xfId="12145" xr:uid="{B62528C4-1D27-424F-A9F2-D64FF17F8B04}"/>
    <cellStyle name="Currency 5 3 2 3" xfId="213" xr:uid="{00000000-0005-0000-0000-0000B30C0000}"/>
    <cellStyle name="Currency 5 3 2 3 10" xfId="9017" xr:uid="{A6213F8D-EE09-4095-B9BE-99C55DEE210F}"/>
    <cellStyle name="Currency 5 3 2 3 10 2" xfId="27640" xr:uid="{BF01793D-FA8F-4630-935A-36E19B597605}"/>
    <cellStyle name="Currency 5 3 2 3 10 3" xfId="18341" xr:uid="{DF5304B1-691E-401B-AF90-D0B5BA8CAE4C}"/>
    <cellStyle name="Currency 5 3 2 3 11" xfId="19063" xr:uid="{FBD9DDD6-ED1B-4814-A332-A90241784316}"/>
    <cellStyle name="Currency 5 3 2 3 12" xfId="9764" xr:uid="{2E66D9DF-5C67-46B3-82FA-A74BC43A1883}"/>
    <cellStyle name="Currency 5 3 2 3 2" xfId="739" xr:uid="{00000000-0005-0000-0000-0000B40C0000}"/>
    <cellStyle name="Currency 5 3 2 3 2 2" xfId="2992" xr:uid="{00000000-0005-0000-0000-0000B50C0000}"/>
    <cellStyle name="Currency 5 3 2 3 2 2 2" xfId="7214" xr:uid="{00000000-0005-0000-0000-0000B60C0000}"/>
    <cellStyle name="Currency 5 3 2 3 2 2 2 2" xfId="25839" xr:uid="{2EAD202C-E7EC-4E19-ABDD-4404B26A5C1C}"/>
    <cellStyle name="Currency 5 3 2 3 2 2 2 3" xfId="16540" xr:uid="{4787C3A2-9DF5-44D9-9BF0-3AD568973116}"/>
    <cellStyle name="Currency 5 3 2 3 2 2 3" xfId="21622" xr:uid="{04FAFB06-B58C-436D-87D6-E7083564F22F}"/>
    <cellStyle name="Currency 5 3 2 3 2 2 4" xfId="12323" xr:uid="{B2939303-7731-4225-9892-78FF02132398}"/>
    <cellStyle name="Currency 5 3 2 3 2 3" xfId="5069" xr:uid="{00000000-0005-0000-0000-0000B70C0000}"/>
    <cellStyle name="Currency 5 3 2 3 2 3 2" xfId="23694" xr:uid="{3FD112D8-C9B2-48E6-A356-0DFC7880BA60}"/>
    <cellStyle name="Currency 5 3 2 3 2 3 3" xfId="14395" xr:uid="{ED707717-C8E7-483A-9714-4225D73117E3}"/>
    <cellStyle name="Currency 5 3 2 3 2 4" xfId="9442" xr:uid="{AE48BD1F-B5DA-4007-BBEE-128FE2FE74D7}"/>
    <cellStyle name="Currency 5 3 2 3 2 4 2" xfId="28056" xr:uid="{0D04E8EF-88D4-41C9-B236-99306988F9D2}"/>
    <cellStyle name="Currency 5 3 2 3 2 4 3" xfId="18757" xr:uid="{E79D4B36-3013-4C8C-A90B-D3D5E2CDA9B6}"/>
    <cellStyle name="Currency 5 3 2 3 2 5" xfId="19477" xr:uid="{971216B7-D4E4-4B5E-8A65-17AEBB09BBA6}"/>
    <cellStyle name="Currency 5 3 2 3 2 6" xfId="10178" xr:uid="{B0B50808-A5EF-49B7-9B9D-9FB88F053384}"/>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2 2 2" xfId="26252" xr:uid="{08F6992D-8066-436F-9A05-AB593CBF768B}"/>
    <cellStyle name="Currency 5 3 2 3 3 2 2 3" xfId="16953" xr:uid="{BEB18EDE-690D-4C19-8626-D9E97080A9B6}"/>
    <cellStyle name="Currency 5 3 2 3 3 2 3" xfId="22035" xr:uid="{6002C927-DB62-43F0-B1E5-CE36E42EE9BF}"/>
    <cellStyle name="Currency 5 3 2 3 3 2 4" xfId="12736" xr:uid="{A98BFE43-32B1-4495-BE11-5D2BE926C177}"/>
    <cellStyle name="Currency 5 3 2 3 3 3" xfId="5482" xr:uid="{00000000-0005-0000-0000-0000BB0C0000}"/>
    <cellStyle name="Currency 5 3 2 3 3 3 2" xfId="24107" xr:uid="{760DD681-8FFD-4CD3-89FB-701466252BE3}"/>
    <cellStyle name="Currency 5 3 2 3 3 3 3" xfId="14808" xr:uid="{77E5BA2F-3ACD-45E8-BD19-7245A3397B01}"/>
    <cellStyle name="Currency 5 3 2 3 3 4" xfId="19890" xr:uid="{8A087811-75F7-4851-A873-6E1CFA26C4B4}"/>
    <cellStyle name="Currency 5 3 2 3 3 5" xfId="10591" xr:uid="{04B14D05-A151-438D-BE9C-BE86D458654A}"/>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2 2 2" xfId="26665" xr:uid="{2C9BAE82-B313-4EAF-8F26-6C5011E7CF48}"/>
    <cellStyle name="Currency 5 3 2 3 4 2 2 3" xfId="17366" xr:uid="{AF680F36-CBC1-448C-B6FD-2F98845827E1}"/>
    <cellStyle name="Currency 5 3 2 3 4 2 3" xfId="22448" xr:uid="{B9209D68-FFF2-4E8D-AADA-096C7CDF3AAD}"/>
    <cellStyle name="Currency 5 3 2 3 4 2 4" xfId="13149" xr:uid="{F9B730D4-BA7B-4086-B992-1558486A3B48}"/>
    <cellStyle name="Currency 5 3 2 3 4 3" xfId="5895" xr:uid="{00000000-0005-0000-0000-0000BF0C0000}"/>
    <cellStyle name="Currency 5 3 2 3 4 3 2" xfId="24520" xr:uid="{D87A5F55-1EF7-4E05-9759-CFBEFEB0E4B9}"/>
    <cellStyle name="Currency 5 3 2 3 4 3 3" xfId="15221" xr:uid="{9824C868-F8DA-4C46-A290-4E020886B418}"/>
    <cellStyle name="Currency 5 3 2 3 4 4" xfId="20303" xr:uid="{0FC6022D-0668-4C9B-A998-D847BD1FC038}"/>
    <cellStyle name="Currency 5 3 2 3 4 5" xfId="11004" xr:uid="{7A9C530C-6F87-4A6B-912C-219EB527BCEC}"/>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2 2 2" xfId="27078" xr:uid="{4E45070A-0247-45E1-A57F-EB3E44EE07F7}"/>
    <cellStyle name="Currency 5 3 2 3 5 2 2 3" xfId="17779" xr:uid="{A0DA19B4-0411-45F8-81F1-AE15B19BB403}"/>
    <cellStyle name="Currency 5 3 2 3 5 2 3" xfId="22861" xr:uid="{E5415464-EB36-474E-9465-C86B8E67B7D0}"/>
    <cellStyle name="Currency 5 3 2 3 5 2 4" xfId="13562" xr:uid="{7B13F117-CBE3-441D-A3DF-16D237CE3EAD}"/>
    <cellStyle name="Currency 5 3 2 3 5 3" xfId="6308" xr:uid="{00000000-0005-0000-0000-0000C30C0000}"/>
    <cellStyle name="Currency 5 3 2 3 5 3 2" xfId="24933" xr:uid="{FC06D4C1-430C-4D2E-8C4B-ADFEEF2CD8BD}"/>
    <cellStyle name="Currency 5 3 2 3 5 3 3" xfId="15634" xr:uid="{C0809B4A-39C1-48FB-8406-CA06A7F69FC8}"/>
    <cellStyle name="Currency 5 3 2 3 5 4" xfId="20716" xr:uid="{B1B3E3C4-2563-4688-9D75-C88AB9E9E069}"/>
    <cellStyle name="Currency 5 3 2 3 5 5" xfId="11417" xr:uid="{2E0A57C5-10C3-4FEB-969D-4A0AB264485B}"/>
    <cellStyle name="Currency 5 3 2 3 6" xfId="2437" xr:uid="{00000000-0005-0000-0000-0000C40C0000}"/>
    <cellStyle name="Currency 5 3 2 3 6 2" xfId="6721" xr:uid="{00000000-0005-0000-0000-0000C50C0000}"/>
    <cellStyle name="Currency 5 3 2 3 6 2 2" xfId="25346" xr:uid="{6CAA9E7B-74BE-4610-90CD-96F983C1D839}"/>
    <cellStyle name="Currency 5 3 2 3 6 2 3" xfId="16047" xr:uid="{8557A1F6-3ACE-4BCD-B1FE-9C407879F1C0}"/>
    <cellStyle name="Currency 5 3 2 3 6 3" xfId="21129" xr:uid="{F056FC26-4E3E-41F2-9DF8-AE6F31D45BF7}"/>
    <cellStyle name="Currency 5 3 2 3 6 4" xfId="11830" xr:uid="{B72A16D4-1292-4759-979A-24207333ACC2}"/>
    <cellStyle name="Currency 5 3 2 3 7" xfId="2734" xr:uid="{00000000-0005-0000-0000-0000C60C0000}"/>
    <cellStyle name="Currency 5 3 2 3 8" xfId="2815" xr:uid="{00000000-0005-0000-0000-0000C70C0000}"/>
    <cellStyle name="Currency 5 3 2 3 8 2" xfId="7038" xr:uid="{00000000-0005-0000-0000-0000C80C0000}"/>
    <cellStyle name="Currency 5 3 2 3 8 2 2" xfId="25663" xr:uid="{7E180366-2221-445A-835E-A1DAE57D7D56}"/>
    <cellStyle name="Currency 5 3 2 3 8 2 3" xfId="16364" xr:uid="{10B88F2E-CD06-496E-86E2-EABCD8F3A02F}"/>
    <cellStyle name="Currency 5 3 2 3 8 3" xfId="21446" xr:uid="{FE87799A-5E06-4EED-BC12-13951F24FE2E}"/>
    <cellStyle name="Currency 5 3 2 3 8 4" xfId="12147" xr:uid="{04E0C1B3-C7DC-4581-AC38-B01DDC6079F4}"/>
    <cellStyle name="Currency 5 3 2 3 9" xfId="4655" xr:uid="{00000000-0005-0000-0000-0000C90C0000}"/>
    <cellStyle name="Currency 5 3 2 3 9 2" xfId="23280" xr:uid="{3056515A-47AF-4BC6-ADDC-5B7FFB216226}"/>
    <cellStyle name="Currency 5 3 2 3 9 3" xfId="13981" xr:uid="{471E9F3A-FC2D-412C-9ED2-D3C2CA7F598C}"/>
    <cellStyle name="Currency 5 3 2 4" xfId="736" xr:uid="{00000000-0005-0000-0000-0000CA0C0000}"/>
    <cellStyle name="Currency 5 3 2 4 2" xfId="2989" xr:uid="{00000000-0005-0000-0000-0000CB0C0000}"/>
    <cellStyle name="Currency 5 3 2 4 2 2" xfId="7211" xr:uid="{00000000-0005-0000-0000-0000CC0C0000}"/>
    <cellStyle name="Currency 5 3 2 4 2 2 2" xfId="25836" xr:uid="{FBBCB448-E3AA-477E-BE3C-D3B129480B7C}"/>
    <cellStyle name="Currency 5 3 2 4 2 2 3" xfId="16537" xr:uid="{8A6E0B54-0DB7-4D06-8ED6-A6471A63CBC5}"/>
    <cellStyle name="Currency 5 3 2 4 2 3" xfId="21619" xr:uid="{C8C57A63-1CAA-4915-86E1-3FD25EC92271}"/>
    <cellStyle name="Currency 5 3 2 4 2 4" xfId="12320" xr:uid="{CD0D55CE-4030-4566-8D49-CAED0C3B314A}"/>
    <cellStyle name="Currency 5 3 2 4 3" xfId="5066" xr:uid="{00000000-0005-0000-0000-0000CD0C0000}"/>
    <cellStyle name="Currency 5 3 2 4 3 2" xfId="23691" xr:uid="{DBF08C4F-0F9C-4CB1-A695-9BAC45F53B33}"/>
    <cellStyle name="Currency 5 3 2 4 3 3" xfId="14392" xr:uid="{9D02CA29-6DCE-4CF8-9CCA-63E1843D2555}"/>
    <cellStyle name="Currency 5 3 2 4 4" xfId="9235" xr:uid="{F2FD4117-6EF1-4663-964A-AB5B57E6F469}"/>
    <cellStyle name="Currency 5 3 2 4 4 2" xfId="27849" xr:uid="{93081639-4FBE-45DA-A0A7-0C7691ADAE14}"/>
    <cellStyle name="Currency 5 3 2 4 4 3" xfId="18550" xr:uid="{0CBBC6AF-4CA1-48FE-BD8D-0DA4F5048611}"/>
    <cellStyle name="Currency 5 3 2 4 5" xfId="19474" xr:uid="{ED03A6E6-1A31-402A-8709-2F3E4873E4F2}"/>
    <cellStyle name="Currency 5 3 2 4 6" xfId="10175" xr:uid="{DF9612B2-2D64-4BBB-AD64-10DC3CF7DBBC}"/>
    <cellStyle name="Currency 5 3 2 5" xfId="1171" xr:uid="{00000000-0005-0000-0000-0000CE0C0000}"/>
    <cellStyle name="Currency 5 3 2 5 2" xfId="3402" xr:uid="{00000000-0005-0000-0000-0000CF0C0000}"/>
    <cellStyle name="Currency 5 3 2 5 2 2" xfId="7624" xr:uid="{00000000-0005-0000-0000-0000D00C0000}"/>
    <cellStyle name="Currency 5 3 2 5 2 2 2" xfId="26249" xr:uid="{4EB8781E-778C-4DC6-96EE-1EFC19166250}"/>
    <cellStyle name="Currency 5 3 2 5 2 2 3" xfId="16950" xr:uid="{3BF22840-93F5-4FF8-8F28-BE0F3737929A}"/>
    <cellStyle name="Currency 5 3 2 5 2 3" xfId="22032" xr:uid="{9C2BF963-34C2-4B56-8C8A-21AAF1812FDF}"/>
    <cellStyle name="Currency 5 3 2 5 2 4" xfId="12733" xr:uid="{BED225B2-9D6D-4F01-A9D8-08A8D5B94216}"/>
    <cellStyle name="Currency 5 3 2 5 3" xfId="5479" xr:uid="{00000000-0005-0000-0000-0000D10C0000}"/>
    <cellStyle name="Currency 5 3 2 5 3 2" xfId="24104" xr:uid="{E24BCC3C-95B3-4443-8AFE-66A358B57431}"/>
    <cellStyle name="Currency 5 3 2 5 3 3" xfId="14805" xr:uid="{460B5B8F-D59D-45E7-8F5D-653FA15F606C}"/>
    <cellStyle name="Currency 5 3 2 5 4" xfId="19887" xr:uid="{B24787E6-8B03-4868-BE18-9D72FBB7B24B}"/>
    <cellStyle name="Currency 5 3 2 5 5" xfId="10588" xr:uid="{61B4AD9D-EEC8-40C2-920C-3E57BA0ECA03}"/>
    <cellStyle name="Currency 5 3 2 6" xfId="1585" xr:uid="{00000000-0005-0000-0000-0000D20C0000}"/>
    <cellStyle name="Currency 5 3 2 6 2" xfId="3815" xr:uid="{00000000-0005-0000-0000-0000D30C0000}"/>
    <cellStyle name="Currency 5 3 2 6 2 2" xfId="8037" xr:uid="{00000000-0005-0000-0000-0000D40C0000}"/>
    <cellStyle name="Currency 5 3 2 6 2 2 2" xfId="26662" xr:uid="{C80DDBCC-270E-4BBD-B5B3-3CE248B0AA34}"/>
    <cellStyle name="Currency 5 3 2 6 2 2 3" xfId="17363" xr:uid="{73546B0F-F883-4A60-873C-BE06D303FF89}"/>
    <cellStyle name="Currency 5 3 2 6 2 3" xfId="22445" xr:uid="{00F7D7DB-B3D6-4074-8665-7B26A555D320}"/>
    <cellStyle name="Currency 5 3 2 6 2 4" xfId="13146" xr:uid="{4A1CB9F7-62CB-4494-BB3D-7CA722B0B85D}"/>
    <cellStyle name="Currency 5 3 2 6 3" xfId="5892" xr:uid="{00000000-0005-0000-0000-0000D50C0000}"/>
    <cellStyle name="Currency 5 3 2 6 3 2" xfId="24517" xr:uid="{CABFECA9-0F1C-49DB-9D30-1C4E74DEE7C4}"/>
    <cellStyle name="Currency 5 3 2 6 3 3" xfId="15218" xr:uid="{FACE78FF-A052-4780-BF14-B5A3CA5DD097}"/>
    <cellStyle name="Currency 5 3 2 6 4" xfId="20300" xr:uid="{868AACC5-62E4-45BD-BEC9-421433AF238C}"/>
    <cellStyle name="Currency 5 3 2 6 5" xfId="11001" xr:uid="{9B092E01-57FA-4AB0-98E8-3F42687DABF4}"/>
    <cellStyle name="Currency 5 3 2 7" xfId="1999" xr:uid="{00000000-0005-0000-0000-0000D60C0000}"/>
    <cellStyle name="Currency 5 3 2 7 2" xfId="4228" xr:uid="{00000000-0005-0000-0000-0000D70C0000}"/>
    <cellStyle name="Currency 5 3 2 7 2 2" xfId="8450" xr:uid="{00000000-0005-0000-0000-0000D80C0000}"/>
    <cellStyle name="Currency 5 3 2 7 2 2 2" xfId="27075" xr:uid="{AF60B931-76D7-4CD9-9A64-1FECA441B43C}"/>
    <cellStyle name="Currency 5 3 2 7 2 2 3" xfId="17776" xr:uid="{64926E5D-2E7B-4F71-BB43-2AFCD1CB62F4}"/>
    <cellStyle name="Currency 5 3 2 7 2 3" xfId="22858" xr:uid="{4971D495-2693-4B5A-93AA-1A1649EA4BA2}"/>
    <cellStyle name="Currency 5 3 2 7 2 4" xfId="13559" xr:uid="{5645A316-9D33-454D-A0E5-9AC1627B7E74}"/>
    <cellStyle name="Currency 5 3 2 7 3" xfId="6305" xr:uid="{00000000-0005-0000-0000-0000D90C0000}"/>
    <cellStyle name="Currency 5 3 2 7 3 2" xfId="24930" xr:uid="{417221A5-96BA-4352-99AD-06D5AE7FC35D}"/>
    <cellStyle name="Currency 5 3 2 7 3 3" xfId="15631" xr:uid="{D84F091F-C1F6-4082-8E40-036F43938909}"/>
    <cellStyle name="Currency 5 3 2 7 4" xfId="20713" xr:uid="{1E62A82C-2F8F-4644-B907-A5A1F9FC5585}"/>
    <cellStyle name="Currency 5 3 2 7 5" xfId="11414" xr:uid="{7F0F1660-466F-4C11-B5D8-07481656A6D9}"/>
    <cellStyle name="Currency 5 3 2 8" xfId="2434" xr:uid="{00000000-0005-0000-0000-0000DA0C0000}"/>
    <cellStyle name="Currency 5 3 2 8 2" xfId="6718" xr:uid="{00000000-0005-0000-0000-0000DB0C0000}"/>
    <cellStyle name="Currency 5 3 2 8 2 2" xfId="25343" xr:uid="{0255A91B-D3CE-49F1-891C-A5832C970DF2}"/>
    <cellStyle name="Currency 5 3 2 8 2 3" xfId="16044" xr:uid="{B84AAECF-D709-4054-884F-4E80C475E763}"/>
    <cellStyle name="Currency 5 3 2 8 3" xfId="21126" xr:uid="{74DAC909-D8C0-4B30-8134-D779C0DB86C4}"/>
    <cellStyle name="Currency 5 3 2 8 4" xfId="11827" xr:uid="{EE78C215-980B-4EC4-9C35-032F67D6D1A4}"/>
    <cellStyle name="Currency 5 3 2 9" xfId="2731" xr:uid="{00000000-0005-0000-0000-0000DC0C0000}"/>
    <cellStyle name="Currency 5 3 3" xfId="214" xr:uid="{00000000-0005-0000-0000-0000DD0C0000}"/>
    <cellStyle name="Currency 5 3 3 10" xfId="4656" xr:uid="{00000000-0005-0000-0000-0000DE0C0000}"/>
    <cellStyle name="Currency 5 3 3 10 2" xfId="23281" xr:uid="{E0F15F6E-B7F9-4100-9C1D-4B3054C95AF7}"/>
    <cellStyle name="Currency 5 3 3 10 3" xfId="13982" xr:uid="{D13A096B-06D6-446B-AD8A-0591F485B23A}"/>
    <cellStyle name="Currency 5 3 3 11" xfId="8882" xr:uid="{A86B3ED4-B552-42F3-9E77-C6763F86EEE6}"/>
    <cellStyle name="Currency 5 3 3 11 2" xfId="27505" xr:uid="{EA48A698-2991-47C7-9F5C-A72B970DC7EA}"/>
    <cellStyle name="Currency 5 3 3 11 3" xfId="18206" xr:uid="{59157CFA-1042-4299-BD29-39C998BB924F}"/>
    <cellStyle name="Currency 5 3 3 12" xfId="19064" xr:uid="{5F0C59E7-7006-4728-B383-558A130C29AE}"/>
    <cellStyle name="Currency 5 3 3 13" xfId="9765" xr:uid="{DFD4B1FA-8BD1-4B46-BF90-376FBC314DC8}"/>
    <cellStyle name="Currency 5 3 3 2" xfId="215" xr:uid="{00000000-0005-0000-0000-0000DF0C0000}"/>
    <cellStyle name="Currency 5 3 3 2 10" xfId="9089" xr:uid="{7CFB8DCC-02AE-4CC5-8E10-3D33399ECECE}"/>
    <cellStyle name="Currency 5 3 3 2 10 2" xfId="27712" xr:uid="{DFDA3D92-66E2-46B7-9372-7BED10E9006D}"/>
    <cellStyle name="Currency 5 3 3 2 10 3" xfId="18413" xr:uid="{4ECF4A5D-7411-43B0-843B-27D9CFAA8A0F}"/>
    <cellStyle name="Currency 5 3 3 2 11" xfId="19065" xr:uid="{E29AEA24-D96E-4BE4-A1A9-3AA939B238E2}"/>
    <cellStyle name="Currency 5 3 3 2 12" xfId="9766" xr:uid="{210A562A-5312-4730-B98E-FCC5A81436E8}"/>
    <cellStyle name="Currency 5 3 3 2 2" xfId="741" xr:uid="{00000000-0005-0000-0000-0000E00C0000}"/>
    <cellStyle name="Currency 5 3 3 2 2 2" xfId="2994" xr:uid="{00000000-0005-0000-0000-0000E10C0000}"/>
    <cellStyle name="Currency 5 3 3 2 2 2 2" xfId="7216" xr:uid="{00000000-0005-0000-0000-0000E20C0000}"/>
    <cellStyle name="Currency 5 3 3 2 2 2 2 2" xfId="25841" xr:uid="{13D86A8D-08C0-46DA-89CF-B6274EA4909C}"/>
    <cellStyle name="Currency 5 3 3 2 2 2 2 3" xfId="16542" xr:uid="{68D80880-14EE-443F-9410-7AADC0217DB6}"/>
    <cellStyle name="Currency 5 3 3 2 2 2 3" xfId="21624" xr:uid="{ECD61FC7-64A9-49E3-B169-00A9AC5C58E4}"/>
    <cellStyle name="Currency 5 3 3 2 2 2 4" xfId="12325" xr:uid="{775CD916-0668-49E4-A5EF-053319B89F80}"/>
    <cellStyle name="Currency 5 3 3 2 2 3" xfId="5071" xr:uid="{00000000-0005-0000-0000-0000E30C0000}"/>
    <cellStyle name="Currency 5 3 3 2 2 3 2" xfId="23696" xr:uid="{CEBB089C-FF1B-4325-B16C-1764A07C463C}"/>
    <cellStyle name="Currency 5 3 3 2 2 3 3" xfId="14397" xr:uid="{0F00B034-12A7-4B1F-9752-28630FC1E60A}"/>
    <cellStyle name="Currency 5 3 3 2 2 4" xfId="9514" xr:uid="{9A504F43-6423-4200-B7AF-F17B65B2005C}"/>
    <cellStyle name="Currency 5 3 3 2 2 4 2" xfId="28128" xr:uid="{7FCC5BBC-8342-4F4F-A524-5126C0F20021}"/>
    <cellStyle name="Currency 5 3 3 2 2 4 3" xfId="18829" xr:uid="{6158674D-5CEA-4DE8-9B06-E174178B64A4}"/>
    <cellStyle name="Currency 5 3 3 2 2 5" xfId="19479" xr:uid="{DE569923-4489-412D-9936-183A19B0AD79}"/>
    <cellStyle name="Currency 5 3 3 2 2 6" xfId="10180" xr:uid="{27B0CA2A-31A3-491A-91C5-6077047EBEB4}"/>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2 2 2" xfId="26254" xr:uid="{51FE8D88-60A0-4FD0-96DF-D1E47A6A05EA}"/>
    <cellStyle name="Currency 5 3 3 2 3 2 2 3" xfId="16955" xr:uid="{C5FB6670-2A91-4A32-A352-0DC47594E923}"/>
    <cellStyle name="Currency 5 3 3 2 3 2 3" xfId="22037" xr:uid="{CF7E2B2D-787D-4AAF-8248-032144F5CD98}"/>
    <cellStyle name="Currency 5 3 3 2 3 2 4" xfId="12738" xr:uid="{5A244A66-F67A-49E4-AD21-C7C7CB7DFBE0}"/>
    <cellStyle name="Currency 5 3 3 2 3 3" xfId="5484" xr:uid="{00000000-0005-0000-0000-0000E70C0000}"/>
    <cellStyle name="Currency 5 3 3 2 3 3 2" xfId="24109" xr:uid="{4A4E8B76-24D4-4325-B5A7-E09B9AF0385C}"/>
    <cellStyle name="Currency 5 3 3 2 3 3 3" xfId="14810" xr:uid="{AC719404-EDEE-472A-A938-AEE9A0A263DF}"/>
    <cellStyle name="Currency 5 3 3 2 3 4" xfId="19892" xr:uid="{0C8922B6-888F-478C-AECB-8934071A6A15}"/>
    <cellStyle name="Currency 5 3 3 2 3 5" xfId="10593" xr:uid="{3F34194A-DBB2-4C6F-8FDD-EA3A0D28A3E7}"/>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2 2 2" xfId="26667" xr:uid="{0DDBCEBF-B272-4E18-9163-FFCC920C9F88}"/>
    <cellStyle name="Currency 5 3 3 2 4 2 2 3" xfId="17368" xr:uid="{5CE36935-EC86-47F0-8048-A0F5AEC5E697}"/>
    <cellStyle name="Currency 5 3 3 2 4 2 3" xfId="22450" xr:uid="{2B0430BA-5C4D-4401-8E1A-E7793A8F2092}"/>
    <cellStyle name="Currency 5 3 3 2 4 2 4" xfId="13151" xr:uid="{6144D497-436F-4FA8-9554-09DEF35B042C}"/>
    <cellStyle name="Currency 5 3 3 2 4 3" xfId="5897" xr:uid="{00000000-0005-0000-0000-0000EB0C0000}"/>
    <cellStyle name="Currency 5 3 3 2 4 3 2" xfId="24522" xr:uid="{82629B04-8E68-4BF5-A440-924B175C1D39}"/>
    <cellStyle name="Currency 5 3 3 2 4 3 3" xfId="15223" xr:uid="{42C8C0B5-23F2-4D85-83A6-94260078A608}"/>
    <cellStyle name="Currency 5 3 3 2 4 4" xfId="20305" xr:uid="{4E3A1CA7-5AA0-4676-B09C-1FFC8868EA55}"/>
    <cellStyle name="Currency 5 3 3 2 4 5" xfId="11006" xr:uid="{3AF38451-B9DF-460E-9AA5-3F40056FE834}"/>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2 2 2" xfId="27080" xr:uid="{C29F7F28-0AB9-4162-ADB0-954AAC5926E2}"/>
    <cellStyle name="Currency 5 3 3 2 5 2 2 3" xfId="17781" xr:uid="{56BC6959-9E78-4BA4-BFF0-BE02BE1AB5A8}"/>
    <cellStyle name="Currency 5 3 3 2 5 2 3" xfId="22863" xr:uid="{D0C9E6BA-87C1-42A3-97B3-6F678EF4BF70}"/>
    <cellStyle name="Currency 5 3 3 2 5 2 4" xfId="13564" xr:uid="{80F1FC79-FCA0-4E22-977C-EC173A5A6207}"/>
    <cellStyle name="Currency 5 3 3 2 5 3" xfId="6310" xr:uid="{00000000-0005-0000-0000-0000EF0C0000}"/>
    <cellStyle name="Currency 5 3 3 2 5 3 2" xfId="24935" xr:uid="{67B40464-0699-49A5-BFE1-00421920636C}"/>
    <cellStyle name="Currency 5 3 3 2 5 3 3" xfId="15636" xr:uid="{851D2F72-C147-4605-ACAE-661E94FDF916}"/>
    <cellStyle name="Currency 5 3 3 2 5 4" xfId="20718" xr:uid="{F6A1C688-58F1-43F1-BF9E-B87F4667085B}"/>
    <cellStyle name="Currency 5 3 3 2 5 5" xfId="11419" xr:uid="{A5B0BDA3-AD26-4473-9A4B-D0DFDC6A6F14}"/>
    <cellStyle name="Currency 5 3 3 2 6" xfId="2439" xr:uid="{00000000-0005-0000-0000-0000F00C0000}"/>
    <cellStyle name="Currency 5 3 3 2 6 2" xfId="6723" xr:uid="{00000000-0005-0000-0000-0000F10C0000}"/>
    <cellStyle name="Currency 5 3 3 2 6 2 2" xfId="25348" xr:uid="{81D76D6E-3097-4E04-B18B-4FA14F11E244}"/>
    <cellStyle name="Currency 5 3 3 2 6 2 3" xfId="16049" xr:uid="{2E41568B-842A-4233-B98A-9473F4CE6855}"/>
    <cellStyle name="Currency 5 3 3 2 6 3" xfId="21131" xr:uid="{F99CA469-CC2F-40E9-B32E-99629A71EA7D}"/>
    <cellStyle name="Currency 5 3 3 2 6 4" xfId="11832" xr:uid="{9D37B0F3-5208-4B41-9483-C24D3DE35DB9}"/>
    <cellStyle name="Currency 5 3 3 2 7" xfId="2736" xr:uid="{00000000-0005-0000-0000-0000F20C0000}"/>
    <cellStyle name="Currency 5 3 3 2 8" xfId="2817" xr:uid="{00000000-0005-0000-0000-0000F30C0000}"/>
    <cellStyle name="Currency 5 3 3 2 8 2" xfId="7040" xr:uid="{00000000-0005-0000-0000-0000F40C0000}"/>
    <cellStyle name="Currency 5 3 3 2 8 2 2" xfId="25665" xr:uid="{41C64186-E04D-40A4-BB22-437646B6098D}"/>
    <cellStyle name="Currency 5 3 3 2 8 2 3" xfId="16366" xr:uid="{5DBB8F7F-C8FE-4F05-831B-D612F96CB487}"/>
    <cellStyle name="Currency 5 3 3 2 8 3" xfId="21448" xr:uid="{85638B18-34E7-4D95-A846-D35DAB9CC631}"/>
    <cellStyle name="Currency 5 3 3 2 8 4" xfId="12149" xr:uid="{69CB552C-083B-486D-83A0-09AC1431E18C}"/>
    <cellStyle name="Currency 5 3 3 2 9" xfId="4657" xr:uid="{00000000-0005-0000-0000-0000F50C0000}"/>
    <cellStyle name="Currency 5 3 3 2 9 2" xfId="23282" xr:uid="{A13EE9F3-5E07-4BA6-A503-8E07CDCD3098}"/>
    <cellStyle name="Currency 5 3 3 2 9 3" xfId="13983" xr:uid="{42BB57EE-3BEE-4EF6-8862-BD7661421C07}"/>
    <cellStyle name="Currency 5 3 3 3" xfId="740" xr:uid="{00000000-0005-0000-0000-0000F60C0000}"/>
    <cellStyle name="Currency 5 3 3 3 2" xfId="2993" xr:uid="{00000000-0005-0000-0000-0000F70C0000}"/>
    <cellStyle name="Currency 5 3 3 3 2 2" xfId="7215" xr:uid="{00000000-0005-0000-0000-0000F80C0000}"/>
    <cellStyle name="Currency 5 3 3 3 2 2 2" xfId="25840" xr:uid="{BE6A4A70-10F8-42DD-A700-8E99D2C0AA57}"/>
    <cellStyle name="Currency 5 3 3 3 2 2 3" xfId="16541" xr:uid="{64C69C41-B1F5-40EB-96A3-483790533BE7}"/>
    <cellStyle name="Currency 5 3 3 3 2 3" xfId="21623" xr:uid="{D7C7BE4D-11FC-460C-8B9E-B3B75311142D}"/>
    <cellStyle name="Currency 5 3 3 3 2 4" xfId="12324" xr:uid="{EA6817E6-E4E4-4CA2-993C-F7C4E6883DE1}"/>
    <cellStyle name="Currency 5 3 3 3 3" xfId="5070" xr:uid="{00000000-0005-0000-0000-0000F90C0000}"/>
    <cellStyle name="Currency 5 3 3 3 3 2" xfId="23695" xr:uid="{26C067E9-54F9-40FF-9BFF-627676D9A4A8}"/>
    <cellStyle name="Currency 5 3 3 3 3 3" xfId="14396" xr:uid="{E8A29A4F-CDEF-4F32-A417-D9D4CEBD4EE6}"/>
    <cellStyle name="Currency 5 3 3 3 4" xfId="9307" xr:uid="{3F0512A0-B779-46E4-A963-62E327C6AC5F}"/>
    <cellStyle name="Currency 5 3 3 3 4 2" xfId="27921" xr:uid="{5842A396-A201-4CEF-B14A-7A8B105B7081}"/>
    <cellStyle name="Currency 5 3 3 3 4 3" xfId="18622" xr:uid="{C183B5BF-EE76-4A85-9780-A301A0A756E0}"/>
    <cellStyle name="Currency 5 3 3 3 5" xfId="19478" xr:uid="{9D8F1935-EED9-4CBA-8D97-9A180D1EC559}"/>
    <cellStyle name="Currency 5 3 3 3 6" xfId="10179" xr:uid="{72A6750D-DE4C-4190-A6B3-37C315A69659}"/>
    <cellStyle name="Currency 5 3 3 4" xfId="1175" xr:uid="{00000000-0005-0000-0000-0000FA0C0000}"/>
    <cellStyle name="Currency 5 3 3 4 2" xfId="3406" xr:uid="{00000000-0005-0000-0000-0000FB0C0000}"/>
    <cellStyle name="Currency 5 3 3 4 2 2" xfId="7628" xr:uid="{00000000-0005-0000-0000-0000FC0C0000}"/>
    <cellStyle name="Currency 5 3 3 4 2 2 2" xfId="26253" xr:uid="{8BFDDE26-0148-4B8D-9BF9-6833DED7E5FB}"/>
    <cellStyle name="Currency 5 3 3 4 2 2 3" xfId="16954" xr:uid="{8D72D293-09E1-4FCE-9917-F24EA7513289}"/>
    <cellStyle name="Currency 5 3 3 4 2 3" xfId="22036" xr:uid="{C6C754E0-F5C3-4EBF-9CF7-3D7A59638958}"/>
    <cellStyle name="Currency 5 3 3 4 2 4" xfId="12737" xr:uid="{6753B8ED-E25F-45B0-85B1-258E9A7DBC98}"/>
    <cellStyle name="Currency 5 3 3 4 3" xfId="5483" xr:uid="{00000000-0005-0000-0000-0000FD0C0000}"/>
    <cellStyle name="Currency 5 3 3 4 3 2" xfId="24108" xr:uid="{4CE6419F-50B3-4E3E-AAD4-0270682FEC06}"/>
    <cellStyle name="Currency 5 3 3 4 3 3" xfId="14809" xr:uid="{7F9CC125-8932-4969-8471-62D29D71A5A8}"/>
    <cellStyle name="Currency 5 3 3 4 4" xfId="19891" xr:uid="{A9DF7D2C-D8ED-4C93-A60F-9A1E2EE8F26C}"/>
    <cellStyle name="Currency 5 3 3 4 5" xfId="10592" xr:uid="{4960A7FF-627E-4E40-8FDB-C59A1A8EE8DD}"/>
    <cellStyle name="Currency 5 3 3 5" xfId="1589" xr:uid="{00000000-0005-0000-0000-0000FE0C0000}"/>
    <cellStyle name="Currency 5 3 3 5 2" xfId="3819" xr:uid="{00000000-0005-0000-0000-0000FF0C0000}"/>
    <cellStyle name="Currency 5 3 3 5 2 2" xfId="8041" xr:uid="{00000000-0005-0000-0000-0000000D0000}"/>
    <cellStyle name="Currency 5 3 3 5 2 2 2" xfId="26666" xr:uid="{27B87F38-0839-46F5-9740-9A6D558E0E08}"/>
    <cellStyle name="Currency 5 3 3 5 2 2 3" xfId="17367" xr:uid="{BBE41B2D-3C27-4A6D-8F32-59419858608D}"/>
    <cellStyle name="Currency 5 3 3 5 2 3" xfId="22449" xr:uid="{4DB8E241-3AED-45DA-9876-A9CFDF816180}"/>
    <cellStyle name="Currency 5 3 3 5 2 4" xfId="13150" xr:uid="{89981FD1-57EC-4152-B83E-8C296583AC11}"/>
    <cellStyle name="Currency 5 3 3 5 3" xfId="5896" xr:uid="{00000000-0005-0000-0000-0000010D0000}"/>
    <cellStyle name="Currency 5 3 3 5 3 2" xfId="24521" xr:uid="{05E45F70-1748-48A7-BB14-E9D17F3D78E0}"/>
    <cellStyle name="Currency 5 3 3 5 3 3" xfId="15222" xr:uid="{BE4B7434-59D0-4715-9E5A-1B76C332E772}"/>
    <cellStyle name="Currency 5 3 3 5 4" xfId="20304" xr:uid="{AEF5EB62-48D8-4115-9195-38E2365C67E0}"/>
    <cellStyle name="Currency 5 3 3 5 5" xfId="11005" xr:uid="{78C27654-7140-49F3-9979-3CC072ACB0F3}"/>
    <cellStyle name="Currency 5 3 3 6" xfId="2003" xr:uid="{00000000-0005-0000-0000-0000020D0000}"/>
    <cellStyle name="Currency 5 3 3 6 2" xfId="4232" xr:uid="{00000000-0005-0000-0000-0000030D0000}"/>
    <cellStyle name="Currency 5 3 3 6 2 2" xfId="8454" xr:uid="{00000000-0005-0000-0000-0000040D0000}"/>
    <cellStyle name="Currency 5 3 3 6 2 2 2" xfId="27079" xr:uid="{96407F2F-9DAC-4CAE-AD22-36196A968080}"/>
    <cellStyle name="Currency 5 3 3 6 2 2 3" xfId="17780" xr:uid="{FC785186-863F-401C-89E5-AE9B2FF0C6EA}"/>
    <cellStyle name="Currency 5 3 3 6 2 3" xfId="22862" xr:uid="{71636CB5-CEB1-4C63-BA80-2D011CEB2630}"/>
    <cellStyle name="Currency 5 3 3 6 2 4" xfId="13563" xr:uid="{745EE5F4-A57E-4022-A169-71A1A61DAE4D}"/>
    <cellStyle name="Currency 5 3 3 6 3" xfId="6309" xr:uid="{00000000-0005-0000-0000-0000050D0000}"/>
    <cellStyle name="Currency 5 3 3 6 3 2" xfId="24934" xr:uid="{2F9180F8-F745-4426-BCD7-B961DB662EEE}"/>
    <cellStyle name="Currency 5 3 3 6 3 3" xfId="15635" xr:uid="{8B64519D-2206-4C31-80F5-F4A9E31C1422}"/>
    <cellStyle name="Currency 5 3 3 6 4" xfId="20717" xr:uid="{F59D0964-EE85-4CA1-8D6D-03C9E9B48675}"/>
    <cellStyle name="Currency 5 3 3 6 5" xfId="11418" xr:uid="{EB1F3930-C07B-416F-99E2-02B4B52B345E}"/>
    <cellStyle name="Currency 5 3 3 7" xfId="2438" xr:uid="{00000000-0005-0000-0000-0000060D0000}"/>
    <cellStyle name="Currency 5 3 3 7 2" xfId="6722" xr:uid="{00000000-0005-0000-0000-0000070D0000}"/>
    <cellStyle name="Currency 5 3 3 7 2 2" xfId="25347" xr:uid="{5D34D36B-BF4C-4B5F-8FC5-2EC3B9D48E76}"/>
    <cellStyle name="Currency 5 3 3 7 2 3" xfId="16048" xr:uid="{9CB5CA70-7F4F-480D-8B1A-62991E1FCEEB}"/>
    <cellStyle name="Currency 5 3 3 7 3" xfId="21130" xr:uid="{BCB6096E-29FC-4D8E-B790-A54C19F032D7}"/>
    <cellStyle name="Currency 5 3 3 7 4" xfId="11831" xr:uid="{85B3FEFC-1952-48C6-89F6-6BD4C07ED225}"/>
    <cellStyle name="Currency 5 3 3 8" xfId="2735" xr:uid="{00000000-0005-0000-0000-0000080D0000}"/>
    <cellStyle name="Currency 5 3 3 9" xfId="2816" xr:uid="{00000000-0005-0000-0000-0000090D0000}"/>
    <cellStyle name="Currency 5 3 3 9 2" xfId="7039" xr:uid="{00000000-0005-0000-0000-00000A0D0000}"/>
    <cellStyle name="Currency 5 3 3 9 2 2" xfId="25664" xr:uid="{81FEA347-8B51-403F-859D-D0E42A942ACA}"/>
    <cellStyle name="Currency 5 3 3 9 2 3" xfId="16365" xr:uid="{42ADCF45-0BA8-4D82-B1B7-1AB49DEA6F36}"/>
    <cellStyle name="Currency 5 3 3 9 3" xfId="21447" xr:uid="{2EBDC13C-ACF8-4009-A93D-545D2D974D4B}"/>
    <cellStyle name="Currency 5 3 3 9 4" xfId="12148" xr:uid="{02E76762-1625-4AB4-88BD-9102B2992661}"/>
    <cellStyle name="Currency 5 3 4" xfId="216" xr:uid="{00000000-0005-0000-0000-00000B0D0000}"/>
    <cellStyle name="Currency 5 3 4 10" xfId="8986" xr:uid="{4F6CFA4A-F10A-4043-AD92-C0A3F7F06459}"/>
    <cellStyle name="Currency 5 3 4 10 2" xfId="27609" xr:uid="{0E640D17-75AB-4339-BC73-7069D81006F4}"/>
    <cellStyle name="Currency 5 3 4 10 3" xfId="18310" xr:uid="{07E18D0A-023D-4E09-89FF-7982ED3262AE}"/>
    <cellStyle name="Currency 5 3 4 11" xfId="19066" xr:uid="{42F9048C-9FCC-4A81-AB45-7261EA371EDA}"/>
    <cellStyle name="Currency 5 3 4 12" xfId="9767" xr:uid="{3B22DBC9-FBC2-4905-9D5F-87BA6013C2FE}"/>
    <cellStyle name="Currency 5 3 4 2" xfId="742" xr:uid="{00000000-0005-0000-0000-00000C0D0000}"/>
    <cellStyle name="Currency 5 3 4 2 2" xfId="2995" xr:uid="{00000000-0005-0000-0000-00000D0D0000}"/>
    <cellStyle name="Currency 5 3 4 2 2 2" xfId="7217" xr:uid="{00000000-0005-0000-0000-00000E0D0000}"/>
    <cellStyle name="Currency 5 3 4 2 2 2 2" xfId="25842" xr:uid="{3367CAF7-A5FB-459A-BE0A-E1292B253D44}"/>
    <cellStyle name="Currency 5 3 4 2 2 2 3" xfId="16543" xr:uid="{28280AA1-027E-4A76-933C-0BCB1D6A32E1}"/>
    <cellStyle name="Currency 5 3 4 2 2 3" xfId="21625" xr:uid="{42BD076F-0E75-42E8-9C22-150504BA2CD3}"/>
    <cellStyle name="Currency 5 3 4 2 2 4" xfId="12326" xr:uid="{1ABB0C1C-F499-4546-AD54-AAF4733B69D2}"/>
    <cellStyle name="Currency 5 3 4 2 3" xfId="5072" xr:uid="{00000000-0005-0000-0000-00000F0D0000}"/>
    <cellStyle name="Currency 5 3 4 2 3 2" xfId="23697" xr:uid="{7BC81B14-44C7-42D0-8F3D-3DDECFD8EFD5}"/>
    <cellStyle name="Currency 5 3 4 2 3 3" xfId="14398" xr:uid="{7F734F85-E94A-496F-9AF5-8C69D92FED50}"/>
    <cellStyle name="Currency 5 3 4 2 4" xfId="9411" xr:uid="{2729DEB6-408B-463E-B468-91D932C31FD7}"/>
    <cellStyle name="Currency 5 3 4 2 4 2" xfId="28025" xr:uid="{D7B59ED2-AADA-412C-AE5C-EE5D6AB2D8F8}"/>
    <cellStyle name="Currency 5 3 4 2 4 3" xfId="18726" xr:uid="{6DE2B4E3-C8A1-476B-9DF3-CF3B2FA720F4}"/>
    <cellStyle name="Currency 5 3 4 2 5" xfId="19480" xr:uid="{BC80C1AA-7BF9-427B-B83F-EE6E26BC5BCA}"/>
    <cellStyle name="Currency 5 3 4 2 6" xfId="10181" xr:uid="{36B00C4A-E41A-4290-AA4A-88B30524657B}"/>
    <cellStyle name="Currency 5 3 4 3" xfId="1177" xr:uid="{00000000-0005-0000-0000-0000100D0000}"/>
    <cellStyle name="Currency 5 3 4 3 2" xfId="3408" xr:uid="{00000000-0005-0000-0000-0000110D0000}"/>
    <cellStyle name="Currency 5 3 4 3 2 2" xfId="7630" xr:uid="{00000000-0005-0000-0000-0000120D0000}"/>
    <cellStyle name="Currency 5 3 4 3 2 2 2" xfId="26255" xr:uid="{B6AD4C1A-CDAE-4BBA-8359-3F5F27F672C5}"/>
    <cellStyle name="Currency 5 3 4 3 2 2 3" xfId="16956" xr:uid="{9AA1B29D-CAE8-4827-A9EC-111954223FDE}"/>
    <cellStyle name="Currency 5 3 4 3 2 3" xfId="22038" xr:uid="{6D7F8395-A223-4ABC-8959-987F25D19C29}"/>
    <cellStyle name="Currency 5 3 4 3 2 4" xfId="12739" xr:uid="{C87DD57A-00AC-4D8E-A849-E77028CB86A0}"/>
    <cellStyle name="Currency 5 3 4 3 3" xfId="5485" xr:uid="{00000000-0005-0000-0000-0000130D0000}"/>
    <cellStyle name="Currency 5 3 4 3 3 2" xfId="24110" xr:uid="{C5F6640A-A42C-4483-A5A4-97F835E61084}"/>
    <cellStyle name="Currency 5 3 4 3 3 3" xfId="14811" xr:uid="{7C0E3EE3-7E36-461D-AB52-B13BDB530D4E}"/>
    <cellStyle name="Currency 5 3 4 3 4" xfId="19893" xr:uid="{29DB98BD-0793-459B-8CD6-7F5FE5F1240D}"/>
    <cellStyle name="Currency 5 3 4 3 5" xfId="10594" xr:uid="{232DA3F0-A5A9-4BCF-A234-F79385D40100}"/>
    <cellStyle name="Currency 5 3 4 4" xfId="1591" xr:uid="{00000000-0005-0000-0000-0000140D0000}"/>
    <cellStyle name="Currency 5 3 4 4 2" xfId="3821" xr:uid="{00000000-0005-0000-0000-0000150D0000}"/>
    <cellStyle name="Currency 5 3 4 4 2 2" xfId="8043" xr:uid="{00000000-0005-0000-0000-0000160D0000}"/>
    <cellStyle name="Currency 5 3 4 4 2 2 2" xfId="26668" xr:uid="{C1A62EBC-E869-44B9-B904-0CE73C5B29AF}"/>
    <cellStyle name="Currency 5 3 4 4 2 2 3" xfId="17369" xr:uid="{EFE1BF6C-5804-4E8A-BAE9-B9D66C520B77}"/>
    <cellStyle name="Currency 5 3 4 4 2 3" xfId="22451" xr:uid="{DF38957F-848F-4877-B8B1-30EDBB2AD4B5}"/>
    <cellStyle name="Currency 5 3 4 4 2 4" xfId="13152" xr:uid="{30383658-8B42-4CF0-923A-7F633BA1C1A3}"/>
    <cellStyle name="Currency 5 3 4 4 3" xfId="5898" xr:uid="{00000000-0005-0000-0000-0000170D0000}"/>
    <cellStyle name="Currency 5 3 4 4 3 2" xfId="24523" xr:uid="{3DF64907-EB9F-42E7-AD3F-FC288156CBB4}"/>
    <cellStyle name="Currency 5 3 4 4 3 3" xfId="15224" xr:uid="{A81F1829-13D9-4B93-BF89-ED827DC556CE}"/>
    <cellStyle name="Currency 5 3 4 4 4" xfId="20306" xr:uid="{0389C3F9-606A-44B8-866F-9D358EAA847B}"/>
    <cellStyle name="Currency 5 3 4 4 5" xfId="11007" xr:uid="{386C0537-35AF-439F-B938-B92F0D1CC163}"/>
    <cellStyle name="Currency 5 3 4 5" xfId="2005" xr:uid="{00000000-0005-0000-0000-0000180D0000}"/>
    <cellStyle name="Currency 5 3 4 5 2" xfId="4234" xr:uid="{00000000-0005-0000-0000-0000190D0000}"/>
    <cellStyle name="Currency 5 3 4 5 2 2" xfId="8456" xr:uid="{00000000-0005-0000-0000-00001A0D0000}"/>
    <cellStyle name="Currency 5 3 4 5 2 2 2" xfId="27081" xr:uid="{6829E62D-AA53-4834-95AC-6593F5C6DFE0}"/>
    <cellStyle name="Currency 5 3 4 5 2 2 3" xfId="17782" xr:uid="{7D977BEE-F8B3-49CD-9810-499FA36F0B0F}"/>
    <cellStyle name="Currency 5 3 4 5 2 3" xfId="22864" xr:uid="{0A9A24D9-92F2-4372-A89A-F927DDFCADE0}"/>
    <cellStyle name="Currency 5 3 4 5 2 4" xfId="13565" xr:uid="{3294C5E1-E1FF-4199-8DE1-F56EFBF1BCA7}"/>
    <cellStyle name="Currency 5 3 4 5 3" xfId="6311" xr:uid="{00000000-0005-0000-0000-00001B0D0000}"/>
    <cellStyle name="Currency 5 3 4 5 3 2" xfId="24936" xr:uid="{1732F286-442A-43C5-9D42-B14FBF56AEAE}"/>
    <cellStyle name="Currency 5 3 4 5 3 3" xfId="15637" xr:uid="{5C10C48E-10E5-4E99-9E00-C4A6692556C1}"/>
    <cellStyle name="Currency 5 3 4 5 4" xfId="20719" xr:uid="{BE535BFA-192E-47A5-8CDC-31C6E7476F5D}"/>
    <cellStyle name="Currency 5 3 4 5 5" xfId="11420" xr:uid="{655D6C71-C4C8-478A-9BE0-44B70BB7AC1C}"/>
    <cellStyle name="Currency 5 3 4 6" xfId="2440" xr:uid="{00000000-0005-0000-0000-00001C0D0000}"/>
    <cellStyle name="Currency 5 3 4 6 2" xfId="6724" xr:uid="{00000000-0005-0000-0000-00001D0D0000}"/>
    <cellStyle name="Currency 5 3 4 6 2 2" xfId="25349" xr:uid="{9E820F4C-277A-4A28-B3DF-9F21286D98DC}"/>
    <cellStyle name="Currency 5 3 4 6 2 3" xfId="16050" xr:uid="{523411D2-0057-4B7B-8D78-932B156D27BA}"/>
    <cellStyle name="Currency 5 3 4 6 3" xfId="21132" xr:uid="{D7A675E1-4F06-4394-B818-C177F2913291}"/>
    <cellStyle name="Currency 5 3 4 6 4" xfId="11833" xr:uid="{D19294AA-D2C9-4009-BBDF-4C78B48EDE64}"/>
    <cellStyle name="Currency 5 3 4 7" xfId="2737" xr:uid="{00000000-0005-0000-0000-00001E0D0000}"/>
    <cellStyle name="Currency 5 3 4 8" xfId="2818" xr:uid="{00000000-0005-0000-0000-00001F0D0000}"/>
    <cellStyle name="Currency 5 3 4 8 2" xfId="7041" xr:uid="{00000000-0005-0000-0000-0000200D0000}"/>
    <cellStyle name="Currency 5 3 4 8 2 2" xfId="25666" xr:uid="{7C9D9B88-5750-44A9-A182-C2F7F9141B60}"/>
    <cellStyle name="Currency 5 3 4 8 2 3" xfId="16367" xr:uid="{50B286A6-001A-4BEE-BE73-1D2775137A05}"/>
    <cellStyle name="Currency 5 3 4 8 3" xfId="21449" xr:uid="{EC8D2C56-98C6-48FA-BC96-7270ED5EB9E1}"/>
    <cellStyle name="Currency 5 3 4 8 4" xfId="12150" xr:uid="{C10935F9-8E5F-4881-979B-3E78701042D0}"/>
    <cellStyle name="Currency 5 3 4 9" xfId="4658" xr:uid="{00000000-0005-0000-0000-0000210D0000}"/>
    <cellStyle name="Currency 5 3 4 9 2" xfId="23283" xr:uid="{7C90FCC6-051A-4B7E-AB80-CC194DAA237F}"/>
    <cellStyle name="Currency 5 3 4 9 3" xfId="13984" xr:uid="{6FE19EBF-F422-4E96-923B-CB23584E2F1B}"/>
    <cellStyle name="Currency 5 3 5" xfId="217" xr:uid="{00000000-0005-0000-0000-0000220D0000}"/>
    <cellStyle name="Currency 5 3 5 10" xfId="9203" xr:uid="{6167CBBD-227C-4457-B6B6-18EF5C089771}"/>
    <cellStyle name="Currency 5 3 5 10 2" xfId="27818" xr:uid="{050849F3-7078-4F83-A1C3-3E2D8C3B0C1A}"/>
    <cellStyle name="Currency 5 3 5 10 3" xfId="18519" xr:uid="{C7AADA12-C643-4229-8460-16C41F21AC33}"/>
    <cellStyle name="Currency 5 3 5 11" xfId="19067" xr:uid="{51A231C8-ABEA-49DD-B438-38889CED303F}"/>
    <cellStyle name="Currency 5 3 5 12" xfId="9768" xr:uid="{A90BD12C-F968-47F1-A7AA-AF51EC07901A}"/>
    <cellStyle name="Currency 5 3 5 2" xfId="743" xr:uid="{00000000-0005-0000-0000-0000230D0000}"/>
    <cellStyle name="Currency 5 3 5 2 2" xfId="2996" xr:uid="{00000000-0005-0000-0000-0000240D0000}"/>
    <cellStyle name="Currency 5 3 5 2 2 2" xfId="7218" xr:uid="{00000000-0005-0000-0000-0000250D0000}"/>
    <cellStyle name="Currency 5 3 5 2 2 2 2" xfId="25843" xr:uid="{15F0072A-DAD2-4512-9DFD-E0D310777870}"/>
    <cellStyle name="Currency 5 3 5 2 2 2 3" xfId="16544" xr:uid="{C9CA14AD-71E9-4BBC-AF09-61B26A53E98B}"/>
    <cellStyle name="Currency 5 3 5 2 2 3" xfId="21626" xr:uid="{9EAB5C9E-FC5B-4265-9228-CC79D3FEE143}"/>
    <cellStyle name="Currency 5 3 5 2 2 4" xfId="12327" xr:uid="{1875298E-438C-48B6-8FC6-883220068881}"/>
    <cellStyle name="Currency 5 3 5 2 3" xfId="5073" xr:uid="{00000000-0005-0000-0000-0000260D0000}"/>
    <cellStyle name="Currency 5 3 5 2 3 2" xfId="23698" xr:uid="{CF047E57-CAC0-4C50-BCB6-36A5431E9BBE}"/>
    <cellStyle name="Currency 5 3 5 2 3 3" xfId="14399" xr:uid="{551F2445-96E0-49A1-9E77-3D17C58A380F}"/>
    <cellStyle name="Currency 5 3 5 2 4" xfId="9600" xr:uid="{650A4058-48FE-4F3E-8845-8F52DF332026}"/>
    <cellStyle name="Currency 5 3 5 2 4 2" xfId="28203" xr:uid="{A6D507F6-9AFD-4543-A69F-92BB5E5DBFCC}"/>
    <cellStyle name="Currency 5 3 5 2 4 3" xfId="18904" xr:uid="{47FEFEAA-AD36-434A-A15C-432CD7295798}"/>
    <cellStyle name="Currency 5 3 5 2 5" xfId="19481" xr:uid="{F228B10B-BA85-4401-9ABE-747F03B7C186}"/>
    <cellStyle name="Currency 5 3 5 2 6" xfId="10182" xr:uid="{9E78DC57-D9DC-4939-AE39-116A26E38908}"/>
    <cellStyle name="Currency 5 3 5 3" xfId="1178" xr:uid="{00000000-0005-0000-0000-0000270D0000}"/>
    <cellStyle name="Currency 5 3 5 3 2" xfId="3409" xr:uid="{00000000-0005-0000-0000-0000280D0000}"/>
    <cellStyle name="Currency 5 3 5 3 2 2" xfId="7631" xr:uid="{00000000-0005-0000-0000-0000290D0000}"/>
    <cellStyle name="Currency 5 3 5 3 2 2 2" xfId="26256" xr:uid="{B2E690C6-C331-465C-B0C2-A5733329AFE1}"/>
    <cellStyle name="Currency 5 3 5 3 2 2 3" xfId="16957" xr:uid="{6976913C-CC98-4E82-9DF2-DBBC470A6ED6}"/>
    <cellStyle name="Currency 5 3 5 3 2 3" xfId="22039" xr:uid="{895488D4-3A12-462E-BA49-02732DFCD5E6}"/>
    <cellStyle name="Currency 5 3 5 3 2 4" xfId="12740" xr:uid="{7DB04032-2D8E-48D5-BA77-5E3CB7CEC88E}"/>
    <cellStyle name="Currency 5 3 5 3 3" xfId="5486" xr:uid="{00000000-0005-0000-0000-00002A0D0000}"/>
    <cellStyle name="Currency 5 3 5 3 3 2" xfId="24111" xr:uid="{724C32F7-F3A6-48C2-8362-43EDDCCB0557}"/>
    <cellStyle name="Currency 5 3 5 3 3 3" xfId="14812" xr:uid="{FC64FE23-CF63-4A3B-A1F0-59DDFE99577B}"/>
    <cellStyle name="Currency 5 3 5 3 4" xfId="19894" xr:uid="{614FC90B-119A-45C1-905B-D52B9FEF664C}"/>
    <cellStyle name="Currency 5 3 5 3 5" xfId="10595" xr:uid="{14727204-EAD0-407F-9605-0B1085ADF8AB}"/>
    <cellStyle name="Currency 5 3 5 4" xfId="1592" xr:uid="{00000000-0005-0000-0000-00002B0D0000}"/>
    <cellStyle name="Currency 5 3 5 4 2" xfId="3822" xr:uid="{00000000-0005-0000-0000-00002C0D0000}"/>
    <cellStyle name="Currency 5 3 5 4 2 2" xfId="8044" xr:uid="{00000000-0005-0000-0000-00002D0D0000}"/>
    <cellStyle name="Currency 5 3 5 4 2 2 2" xfId="26669" xr:uid="{43AAED94-A752-4745-8D02-24D9E8976725}"/>
    <cellStyle name="Currency 5 3 5 4 2 2 3" xfId="17370" xr:uid="{6B97FB04-7831-4A1B-B3F0-CC225D025ECB}"/>
    <cellStyle name="Currency 5 3 5 4 2 3" xfId="22452" xr:uid="{B8248A0B-7905-41FB-9007-FAFE35BD3E93}"/>
    <cellStyle name="Currency 5 3 5 4 2 4" xfId="13153" xr:uid="{E2431A8E-DFB2-40CE-ADAC-209C547DCEC6}"/>
    <cellStyle name="Currency 5 3 5 4 3" xfId="5899" xr:uid="{00000000-0005-0000-0000-00002E0D0000}"/>
    <cellStyle name="Currency 5 3 5 4 3 2" xfId="24524" xr:uid="{A23120D3-0B27-48CB-A02E-9DA0E8244D94}"/>
    <cellStyle name="Currency 5 3 5 4 3 3" xfId="15225" xr:uid="{25AC9E8B-C158-4D11-9786-68A3E4F5E35F}"/>
    <cellStyle name="Currency 5 3 5 4 4" xfId="20307" xr:uid="{730B4255-D6A5-4645-A2D3-63C5A5F5376F}"/>
    <cellStyle name="Currency 5 3 5 4 5" xfId="11008" xr:uid="{52868D14-7504-49C0-BDC7-E789932342DD}"/>
    <cellStyle name="Currency 5 3 5 5" xfId="2006" xr:uid="{00000000-0005-0000-0000-00002F0D0000}"/>
    <cellStyle name="Currency 5 3 5 5 2" xfId="4235" xr:uid="{00000000-0005-0000-0000-0000300D0000}"/>
    <cellStyle name="Currency 5 3 5 5 2 2" xfId="8457" xr:uid="{00000000-0005-0000-0000-0000310D0000}"/>
    <cellStyle name="Currency 5 3 5 5 2 2 2" xfId="27082" xr:uid="{C566718B-A5F7-47EB-AB9B-2538076ACF29}"/>
    <cellStyle name="Currency 5 3 5 5 2 2 3" xfId="17783" xr:uid="{34AB9CBA-5291-4BD6-BAB0-7CCB3AA88F6B}"/>
    <cellStyle name="Currency 5 3 5 5 2 3" xfId="22865" xr:uid="{9154B9EF-E77A-484F-BE8A-F1EEA4AE9097}"/>
    <cellStyle name="Currency 5 3 5 5 2 4" xfId="13566" xr:uid="{F3DFFBDE-64F1-4FD6-B417-C0A8C654CC6C}"/>
    <cellStyle name="Currency 5 3 5 5 3" xfId="6312" xr:uid="{00000000-0005-0000-0000-0000320D0000}"/>
    <cellStyle name="Currency 5 3 5 5 3 2" xfId="24937" xr:uid="{D55A8B1C-D8CA-4AEA-AF5D-4AF507811D6D}"/>
    <cellStyle name="Currency 5 3 5 5 3 3" xfId="15638" xr:uid="{39BC5822-05FB-450D-80AE-4E50C97693AB}"/>
    <cellStyle name="Currency 5 3 5 5 4" xfId="20720" xr:uid="{0ED757D0-CCEA-41F3-926E-4ECFC8DFE710}"/>
    <cellStyle name="Currency 5 3 5 5 5" xfId="11421" xr:uid="{D7C41820-D476-4560-B2D4-4C012D1EDA5E}"/>
    <cellStyle name="Currency 5 3 5 6" xfId="2441" xr:uid="{00000000-0005-0000-0000-0000330D0000}"/>
    <cellStyle name="Currency 5 3 5 6 2" xfId="6725" xr:uid="{00000000-0005-0000-0000-0000340D0000}"/>
    <cellStyle name="Currency 5 3 5 6 2 2" xfId="25350" xr:uid="{55ECCCBB-BE70-4C43-88E5-8500F0397A67}"/>
    <cellStyle name="Currency 5 3 5 6 2 3" xfId="16051" xr:uid="{57166F43-B423-4E61-BB5F-2E175F5998AA}"/>
    <cellStyle name="Currency 5 3 5 6 3" xfId="21133" xr:uid="{BFA689B1-CFE1-4176-9F65-3973F481B8DE}"/>
    <cellStyle name="Currency 5 3 5 6 4" xfId="11834" xr:uid="{216B9119-DFF6-4E62-8BE5-6031E3112AD4}"/>
    <cellStyle name="Currency 5 3 5 7" xfId="2738" xr:uid="{00000000-0005-0000-0000-0000350D0000}"/>
    <cellStyle name="Currency 5 3 5 8" xfId="2819" xr:uid="{00000000-0005-0000-0000-0000360D0000}"/>
    <cellStyle name="Currency 5 3 5 8 2" xfId="7042" xr:uid="{00000000-0005-0000-0000-0000370D0000}"/>
    <cellStyle name="Currency 5 3 5 8 2 2" xfId="25667" xr:uid="{F4790FE8-47FE-493A-80C2-3536FA051D54}"/>
    <cellStyle name="Currency 5 3 5 8 2 3" xfId="16368" xr:uid="{16C3CA35-8016-4257-A3BE-5B6B0575FCDF}"/>
    <cellStyle name="Currency 5 3 5 8 3" xfId="21450" xr:uid="{DDDB7F11-6166-415C-84C6-EDE714A0D869}"/>
    <cellStyle name="Currency 5 3 5 8 4" xfId="12151" xr:uid="{5204987F-AC6C-473D-8153-23B3BDB0D2A2}"/>
    <cellStyle name="Currency 5 3 5 9" xfId="4659" xr:uid="{00000000-0005-0000-0000-0000380D0000}"/>
    <cellStyle name="Currency 5 3 5 9 2" xfId="23284" xr:uid="{11F9C2A5-07DA-4733-B6E7-3A1B82511D21}"/>
    <cellStyle name="Currency 5 3 5 9 3" xfId="13985" xr:uid="{4DFEB77F-4359-404F-AAB0-15FB2AA857C7}"/>
    <cellStyle name="Currency 5 3 6" xfId="9585" xr:uid="{F259418A-5AC0-4C4E-A98C-07B5BEE6D673}"/>
    <cellStyle name="Currency 5 3 7" xfId="8779" xr:uid="{856D4C12-E347-4E8F-9200-2EC71AC3E0CB}"/>
    <cellStyle name="Currency 5 3 7 2" xfId="27402" xr:uid="{8A660FF9-BFEB-441E-ABEB-31C94BBDE5A7}"/>
    <cellStyle name="Currency 5 3 7 3" xfId="18103" xr:uid="{465EDB7A-1412-4DBC-A108-95D9D00D6C58}"/>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0 2" xfId="23285" xr:uid="{557557DC-FCFF-4723-AA70-CEEF06A3932B}"/>
    <cellStyle name="Currency 5 5 10 3" xfId="13986" xr:uid="{269A29B0-3E52-4651-B841-AB56C6837309}"/>
    <cellStyle name="Currency 5 5 11" xfId="8850" xr:uid="{8F129173-F323-478F-8B06-1E2599EB26C1}"/>
    <cellStyle name="Currency 5 5 11 2" xfId="27473" xr:uid="{2977F782-C9CC-470C-9884-21037C997FC5}"/>
    <cellStyle name="Currency 5 5 11 3" xfId="18174" xr:uid="{7619774A-8BDD-4E15-9A8A-FD0DB92DA958}"/>
    <cellStyle name="Currency 5 5 12" xfId="19068" xr:uid="{B6551CCA-2354-4955-B789-CACEC7DFA739}"/>
    <cellStyle name="Currency 5 5 13" xfId="9769" xr:uid="{98CE08C3-F993-4135-A70A-5C6F675699B4}"/>
    <cellStyle name="Currency 5 5 2" xfId="220" xr:uid="{00000000-0005-0000-0000-00003D0D0000}"/>
    <cellStyle name="Currency 5 5 2 10" xfId="9057" xr:uid="{90E61E49-0971-4EC1-90D8-E015846E4FB2}"/>
    <cellStyle name="Currency 5 5 2 10 2" xfId="27680" xr:uid="{8ABA9D2E-3AF1-415A-B0ED-FB9686B4FE14}"/>
    <cellStyle name="Currency 5 5 2 10 3" xfId="18381" xr:uid="{07B9388D-B71B-4B25-B1CA-541944EF4911}"/>
    <cellStyle name="Currency 5 5 2 11" xfId="19069" xr:uid="{1AA87480-5E65-4CEF-BDF9-C4883D47101E}"/>
    <cellStyle name="Currency 5 5 2 12" xfId="9770" xr:uid="{371ADE60-0C5F-4A32-B681-CB4E78A5FDED}"/>
    <cellStyle name="Currency 5 5 2 2" xfId="746" xr:uid="{00000000-0005-0000-0000-00003E0D0000}"/>
    <cellStyle name="Currency 5 5 2 2 2" xfId="2998" xr:uid="{00000000-0005-0000-0000-00003F0D0000}"/>
    <cellStyle name="Currency 5 5 2 2 2 2" xfId="7220" xr:uid="{00000000-0005-0000-0000-0000400D0000}"/>
    <cellStyle name="Currency 5 5 2 2 2 2 2" xfId="25845" xr:uid="{21217842-14D8-4269-B823-2EBAE868414A}"/>
    <cellStyle name="Currency 5 5 2 2 2 2 3" xfId="16546" xr:uid="{8B1D0FC0-2A8C-4D3C-9D0F-595DD4A46D64}"/>
    <cellStyle name="Currency 5 5 2 2 2 3" xfId="21628" xr:uid="{A05D9F05-3D31-4C82-888C-EB9667F45C8E}"/>
    <cellStyle name="Currency 5 5 2 2 2 4" xfId="12329" xr:uid="{8832F891-35FC-4FE2-AB0E-BAA220C6FD98}"/>
    <cellStyle name="Currency 5 5 2 2 3" xfId="5075" xr:uid="{00000000-0005-0000-0000-0000410D0000}"/>
    <cellStyle name="Currency 5 5 2 2 3 2" xfId="23700" xr:uid="{46C6D537-7DF8-447F-9C03-7C481869C67C}"/>
    <cellStyle name="Currency 5 5 2 2 3 3" xfId="14401" xr:uid="{7FD91402-F03F-4E52-92AE-0956DD8F50DE}"/>
    <cellStyle name="Currency 5 5 2 2 4" xfId="9482" xr:uid="{ECEE3E7C-42CD-4A2D-A90F-D54FFBA7E41F}"/>
    <cellStyle name="Currency 5 5 2 2 4 2" xfId="28096" xr:uid="{E44260BD-3648-4D8B-AA55-2527850CB69F}"/>
    <cellStyle name="Currency 5 5 2 2 4 3" xfId="18797" xr:uid="{8222E07A-370B-4C2C-B8BC-1EE8CEE6B722}"/>
    <cellStyle name="Currency 5 5 2 2 5" xfId="19483" xr:uid="{504D3F45-BDC9-4C85-AEE3-C5F3AC81EFD2}"/>
    <cellStyle name="Currency 5 5 2 2 6" xfId="10184" xr:uid="{A2951CF3-68E0-457F-82F8-C0E92BC69569}"/>
    <cellStyle name="Currency 5 5 2 3" xfId="1180" xr:uid="{00000000-0005-0000-0000-0000420D0000}"/>
    <cellStyle name="Currency 5 5 2 3 2" xfId="3411" xr:uid="{00000000-0005-0000-0000-0000430D0000}"/>
    <cellStyle name="Currency 5 5 2 3 2 2" xfId="7633" xr:uid="{00000000-0005-0000-0000-0000440D0000}"/>
    <cellStyle name="Currency 5 5 2 3 2 2 2" xfId="26258" xr:uid="{A526CD3E-1DD8-4E52-9DD7-D1B5A56B7392}"/>
    <cellStyle name="Currency 5 5 2 3 2 2 3" xfId="16959" xr:uid="{6406654B-0447-42C8-8780-546CF3BBE084}"/>
    <cellStyle name="Currency 5 5 2 3 2 3" xfId="22041" xr:uid="{62790B72-CD0F-4817-A58D-6F9B64397A6C}"/>
    <cellStyle name="Currency 5 5 2 3 2 4" xfId="12742" xr:uid="{6456F136-27AC-4428-8757-D7EAB46728B6}"/>
    <cellStyle name="Currency 5 5 2 3 3" xfId="5488" xr:uid="{00000000-0005-0000-0000-0000450D0000}"/>
    <cellStyle name="Currency 5 5 2 3 3 2" xfId="24113" xr:uid="{F865469C-2A16-42E2-81C1-85D842906B8C}"/>
    <cellStyle name="Currency 5 5 2 3 3 3" xfId="14814" xr:uid="{86187982-828B-437D-BB94-367D5C01610A}"/>
    <cellStyle name="Currency 5 5 2 3 4" xfId="19896" xr:uid="{5CA46230-639D-4CDF-997D-AB26B0AA8F8A}"/>
    <cellStyle name="Currency 5 5 2 3 5" xfId="10597" xr:uid="{97B36B58-1CE9-4A4C-81BB-8E828476D4D6}"/>
    <cellStyle name="Currency 5 5 2 4" xfId="1594" xr:uid="{00000000-0005-0000-0000-0000460D0000}"/>
    <cellStyle name="Currency 5 5 2 4 2" xfId="3824" xr:uid="{00000000-0005-0000-0000-0000470D0000}"/>
    <cellStyle name="Currency 5 5 2 4 2 2" xfId="8046" xr:uid="{00000000-0005-0000-0000-0000480D0000}"/>
    <cellStyle name="Currency 5 5 2 4 2 2 2" xfId="26671" xr:uid="{E249B389-3CDB-4DFA-B5C0-04F175654392}"/>
    <cellStyle name="Currency 5 5 2 4 2 2 3" xfId="17372" xr:uid="{18A8B366-0A1A-4B32-837B-DF479C4BDCFB}"/>
    <cellStyle name="Currency 5 5 2 4 2 3" xfId="22454" xr:uid="{197B8C60-6A73-4723-BEAE-C619375C4EA5}"/>
    <cellStyle name="Currency 5 5 2 4 2 4" xfId="13155" xr:uid="{E376715F-32D0-49E9-A5C4-705558D86879}"/>
    <cellStyle name="Currency 5 5 2 4 3" xfId="5901" xr:uid="{00000000-0005-0000-0000-0000490D0000}"/>
    <cellStyle name="Currency 5 5 2 4 3 2" xfId="24526" xr:uid="{0081FA2E-0BBD-4576-899B-F2851DB85A06}"/>
    <cellStyle name="Currency 5 5 2 4 3 3" xfId="15227" xr:uid="{4012EEC9-59B4-46CF-9D7C-4C3398EA7668}"/>
    <cellStyle name="Currency 5 5 2 4 4" xfId="20309" xr:uid="{7A2E2F86-8092-442D-AE00-873E58201227}"/>
    <cellStyle name="Currency 5 5 2 4 5" xfId="11010" xr:uid="{091233F4-FC08-42DA-8EF5-D9C33115F8E5}"/>
    <cellStyle name="Currency 5 5 2 5" xfId="2008" xr:uid="{00000000-0005-0000-0000-00004A0D0000}"/>
    <cellStyle name="Currency 5 5 2 5 2" xfId="4237" xr:uid="{00000000-0005-0000-0000-00004B0D0000}"/>
    <cellStyle name="Currency 5 5 2 5 2 2" xfId="8459" xr:uid="{00000000-0005-0000-0000-00004C0D0000}"/>
    <cellStyle name="Currency 5 5 2 5 2 2 2" xfId="27084" xr:uid="{27701B6C-556B-472E-8C27-01CE52121F37}"/>
    <cellStyle name="Currency 5 5 2 5 2 2 3" xfId="17785" xr:uid="{4BC7698B-C0CA-4937-8ABC-42C32F2A77B7}"/>
    <cellStyle name="Currency 5 5 2 5 2 3" xfId="22867" xr:uid="{553565F9-ECD7-49FB-8247-C373D17D04F3}"/>
    <cellStyle name="Currency 5 5 2 5 2 4" xfId="13568" xr:uid="{59E907A4-A660-4DC6-9EBE-0B26E5E86E72}"/>
    <cellStyle name="Currency 5 5 2 5 3" xfId="6314" xr:uid="{00000000-0005-0000-0000-00004D0D0000}"/>
    <cellStyle name="Currency 5 5 2 5 3 2" xfId="24939" xr:uid="{86F6D1EA-994D-477A-93EC-0F8235F1870B}"/>
    <cellStyle name="Currency 5 5 2 5 3 3" xfId="15640" xr:uid="{00836D51-5994-4D3E-BA19-A92C0CAF5941}"/>
    <cellStyle name="Currency 5 5 2 5 4" xfId="20722" xr:uid="{B5495101-A0E2-4AFD-B917-A59BCAFF545E}"/>
    <cellStyle name="Currency 5 5 2 5 5" xfId="11423" xr:uid="{6A066B3A-5BD4-40C6-8824-C2DB1FFD5E9A}"/>
    <cellStyle name="Currency 5 5 2 6" xfId="2443" xr:uid="{00000000-0005-0000-0000-00004E0D0000}"/>
    <cellStyle name="Currency 5 5 2 6 2" xfId="6727" xr:uid="{00000000-0005-0000-0000-00004F0D0000}"/>
    <cellStyle name="Currency 5 5 2 6 2 2" xfId="25352" xr:uid="{22926E9F-EB88-4742-A071-FC9FAF0B022F}"/>
    <cellStyle name="Currency 5 5 2 6 2 3" xfId="16053" xr:uid="{1ABF88FD-1552-431F-9484-5100FA9B11B0}"/>
    <cellStyle name="Currency 5 5 2 6 3" xfId="21135" xr:uid="{3076E6FE-6D0D-4C36-96AF-1B7D297DECA8}"/>
    <cellStyle name="Currency 5 5 2 6 4" xfId="11836" xr:uid="{E05B67FE-D8CF-4A79-9513-D3771CB2AF9E}"/>
    <cellStyle name="Currency 5 5 2 7" xfId="2740" xr:uid="{00000000-0005-0000-0000-0000500D0000}"/>
    <cellStyle name="Currency 5 5 2 8" xfId="2821" xr:uid="{00000000-0005-0000-0000-0000510D0000}"/>
    <cellStyle name="Currency 5 5 2 8 2" xfId="7044" xr:uid="{00000000-0005-0000-0000-0000520D0000}"/>
    <cellStyle name="Currency 5 5 2 8 2 2" xfId="25669" xr:uid="{1A83AD04-EED3-4189-B8E3-2584A3040164}"/>
    <cellStyle name="Currency 5 5 2 8 2 3" xfId="16370" xr:uid="{60360845-E8E1-41BB-A064-36605915D749}"/>
    <cellStyle name="Currency 5 5 2 8 3" xfId="21452" xr:uid="{A5154945-7EB8-4F3A-B020-B85CFE896787}"/>
    <cellStyle name="Currency 5 5 2 8 4" xfId="12153" xr:uid="{D3B6D7E2-B9BE-4084-8D7C-52A24D9BA34B}"/>
    <cellStyle name="Currency 5 5 2 9" xfId="4661" xr:uid="{00000000-0005-0000-0000-0000530D0000}"/>
    <cellStyle name="Currency 5 5 2 9 2" xfId="23286" xr:uid="{3832DBB3-B990-4442-BCF6-92BBED25774C}"/>
    <cellStyle name="Currency 5 5 2 9 3" xfId="13987" xr:uid="{84456CA9-501C-46B9-96F2-BC2C35BAA487}"/>
    <cellStyle name="Currency 5 5 3" xfId="745" xr:uid="{00000000-0005-0000-0000-0000540D0000}"/>
    <cellStyle name="Currency 5 5 3 2" xfId="2997" xr:uid="{00000000-0005-0000-0000-0000550D0000}"/>
    <cellStyle name="Currency 5 5 3 2 2" xfId="7219" xr:uid="{00000000-0005-0000-0000-0000560D0000}"/>
    <cellStyle name="Currency 5 5 3 2 2 2" xfId="25844" xr:uid="{26B1A833-923B-4E16-8442-05C3339BB1EC}"/>
    <cellStyle name="Currency 5 5 3 2 2 3" xfId="16545" xr:uid="{C0B32879-497A-4430-A1BC-290C681CC68D}"/>
    <cellStyle name="Currency 5 5 3 2 3" xfId="21627" xr:uid="{B6564768-5373-478A-87E0-56CEF51A50BC}"/>
    <cellStyle name="Currency 5 5 3 2 4" xfId="12328" xr:uid="{ED398435-2539-4200-8F98-C491BA456003}"/>
    <cellStyle name="Currency 5 5 3 3" xfId="5074" xr:uid="{00000000-0005-0000-0000-0000570D0000}"/>
    <cellStyle name="Currency 5 5 3 3 2" xfId="23699" xr:uid="{EC06D3E6-1318-4017-A14B-997F841CA6D7}"/>
    <cellStyle name="Currency 5 5 3 3 3" xfId="14400" xr:uid="{1719F934-1432-4F6F-B099-3F65483B7332}"/>
    <cellStyle name="Currency 5 5 3 4" xfId="9275" xr:uid="{54783F20-34E5-4A58-80AE-EC7CC69A89C9}"/>
    <cellStyle name="Currency 5 5 3 4 2" xfId="27889" xr:uid="{6B4DD419-4DEF-40CC-9E57-9B82DC39014C}"/>
    <cellStyle name="Currency 5 5 3 4 3" xfId="18590" xr:uid="{236AE49E-E3A3-484C-AE9F-0EFCF1216CBB}"/>
    <cellStyle name="Currency 5 5 3 5" xfId="19482" xr:uid="{82AFD6C9-F81F-494A-B1E0-739050BD4607}"/>
    <cellStyle name="Currency 5 5 3 6" xfId="10183" xr:uid="{E9AFE8E1-29FE-4620-80F6-BFB1A8C7CE9B}"/>
    <cellStyle name="Currency 5 5 4" xfId="1179" xr:uid="{00000000-0005-0000-0000-0000580D0000}"/>
    <cellStyle name="Currency 5 5 4 2" xfId="3410" xr:uid="{00000000-0005-0000-0000-0000590D0000}"/>
    <cellStyle name="Currency 5 5 4 2 2" xfId="7632" xr:uid="{00000000-0005-0000-0000-00005A0D0000}"/>
    <cellStyle name="Currency 5 5 4 2 2 2" xfId="26257" xr:uid="{992AE0BF-F831-42AD-9E53-BCEEA9DBEB04}"/>
    <cellStyle name="Currency 5 5 4 2 2 3" xfId="16958" xr:uid="{5D1C34B8-76AE-4B38-A52A-6E7ACC31E4DB}"/>
    <cellStyle name="Currency 5 5 4 2 3" xfId="22040" xr:uid="{4A3BF813-0E59-48B1-8DD4-AA8194B85FC1}"/>
    <cellStyle name="Currency 5 5 4 2 4" xfId="12741" xr:uid="{4D856A8F-157F-4B34-9DCA-69FA642D71B5}"/>
    <cellStyle name="Currency 5 5 4 3" xfId="5487" xr:uid="{00000000-0005-0000-0000-00005B0D0000}"/>
    <cellStyle name="Currency 5 5 4 3 2" xfId="24112" xr:uid="{73A2383F-A038-4C0F-A58C-FF49BA936A7C}"/>
    <cellStyle name="Currency 5 5 4 3 3" xfId="14813" xr:uid="{B6B77E99-4FCD-4804-BD92-1F643995B330}"/>
    <cellStyle name="Currency 5 5 4 4" xfId="19895" xr:uid="{DFA8EF0A-5533-4037-82C4-1DD2D77136DC}"/>
    <cellStyle name="Currency 5 5 4 5" xfId="10596" xr:uid="{AA83C632-2130-40BE-A38E-7BE7DED511D5}"/>
    <cellStyle name="Currency 5 5 5" xfId="1593" xr:uid="{00000000-0005-0000-0000-00005C0D0000}"/>
    <cellStyle name="Currency 5 5 5 2" xfId="3823" xr:uid="{00000000-0005-0000-0000-00005D0D0000}"/>
    <cellStyle name="Currency 5 5 5 2 2" xfId="8045" xr:uid="{00000000-0005-0000-0000-00005E0D0000}"/>
    <cellStyle name="Currency 5 5 5 2 2 2" xfId="26670" xr:uid="{D99D069D-C649-4A47-A2E6-C2AD74F6347C}"/>
    <cellStyle name="Currency 5 5 5 2 2 3" xfId="17371" xr:uid="{D2DF5ED0-0906-4E2E-B1AA-175B437CC48C}"/>
    <cellStyle name="Currency 5 5 5 2 3" xfId="22453" xr:uid="{44B5A417-B9F2-4BAE-B959-BC7489465A7F}"/>
    <cellStyle name="Currency 5 5 5 2 4" xfId="13154" xr:uid="{52859667-AAC2-4719-B7BB-6C70E6346BD9}"/>
    <cellStyle name="Currency 5 5 5 3" xfId="5900" xr:uid="{00000000-0005-0000-0000-00005F0D0000}"/>
    <cellStyle name="Currency 5 5 5 3 2" xfId="24525" xr:uid="{6290E1C7-74A8-4C5F-BF7E-FFE580EE1964}"/>
    <cellStyle name="Currency 5 5 5 3 3" xfId="15226" xr:uid="{079A1551-2C4F-4E6A-9601-20EDBB0B4132}"/>
    <cellStyle name="Currency 5 5 5 4" xfId="20308" xr:uid="{BEED762B-C153-4113-B64B-DBEFC4DE27E2}"/>
    <cellStyle name="Currency 5 5 5 5" xfId="11009" xr:uid="{31BC8D4C-BB1F-4965-B05E-2E200A1B6D33}"/>
    <cellStyle name="Currency 5 5 6" xfId="2007" xr:uid="{00000000-0005-0000-0000-0000600D0000}"/>
    <cellStyle name="Currency 5 5 6 2" xfId="4236" xr:uid="{00000000-0005-0000-0000-0000610D0000}"/>
    <cellStyle name="Currency 5 5 6 2 2" xfId="8458" xr:uid="{00000000-0005-0000-0000-0000620D0000}"/>
    <cellStyle name="Currency 5 5 6 2 2 2" xfId="27083" xr:uid="{8B0D3BFB-42BF-48F8-9971-08A89E75115A}"/>
    <cellStyle name="Currency 5 5 6 2 2 3" xfId="17784" xr:uid="{621118F8-8DEE-4B19-A0CA-F073084337B9}"/>
    <cellStyle name="Currency 5 5 6 2 3" xfId="22866" xr:uid="{5DAAD23F-7AB6-493F-B4FE-7C17F180D0E2}"/>
    <cellStyle name="Currency 5 5 6 2 4" xfId="13567" xr:uid="{CA875B31-2C0D-4930-9DF9-ADF9095A1B84}"/>
    <cellStyle name="Currency 5 5 6 3" xfId="6313" xr:uid="{00000000-0005-0000-0000-0000630D0000}"/>
    <cellStyle name="Currency 5 5 6 3 2" xfId="24938" xr:uid="{A67C7971-B553-4F57-9209-05A917EA3CAD}"/>
    <cellStyle name="Currency 5 5 6 3 3" xfId="15639" xr:uid="{FAB2FCC1-946D-46D5-98F8-F3BF16CE7AE6}"/>
    <cellStyle name="Currency 5 5 6 4" xfId="20721" xr:uid="{032F14C0-54B0-4FDF-933D-CA39F95B5734}"/>
    <cellStyle name="Currency 5 5 6 5" xfId="11422" xr:uid="{7253EDC2-C3B2-4B38-9A7B-3A100969CF40}"/>
    <cellStyle name="Currency 5 5 7" xfId="2442" xr:uid="{00000000-0005-0000-0000-0000640D0000}"/>
    <cellStyle name="Currency 5 5 7 2" xfId="6726" xr:uid="{00000000-0005-0000-0000-0000650D0000}"/>
    <cellStyle name="Currency 5 5 7 2 2" xfId="25351" xr:uid="{C418D122-8656-4B7C-8093-32DA32840ABB}"/>
    <cellStyle name="Currency 5 5 7 2 3" xfId="16052" xr:uid="{E4926C9D-1305-4AD7-ADF5-8274D92D2190}"/>
    <cellStyle name="Currency 5 5 7 3" xfId="21134" xr:uid="{34E97E90-7631-4E3D-8B2A-4F877FEE982C}"/>
    <cellStyle name="Currency 5 5 7 4" xfId="11835" xr:uid="{5EB09355-9C26-4296-BCF1-472842267439}"/>
    <cellStyle name="Currency 5 5 8" xfId="2739" xr:uid="{00000000-0005-0000-0000-0000660D0000}"/>
    <cellStyle name="Currency 5 5 9" xfId="2820" xr:uid="{00000000-0005-0000-0000-0000670D0000}"/>
    <cellStyle name="Currency 5 5 9 2" xfId="7043" xr:uid="{00000000-0005-0000-0000-0000680D0000}"/>
    <cellStyle name="Currency 5 5 9 2 2" xfId="25668" xr:uid="{2367F64F-63F5-4F38-B880-97768B001568}"/>
    <cellStyle name="Currency 5 5 9 2 3" xfId="16369" xr:uid="{0ACFE728-B323-44C2-B39A-D7C4F68BAF1A}"/>
    <cellStyle name="Currency 5 5 9 3" xfId="21451" xr:uid="{9466DC96-4B95-4A80-BE6D-0E6109060EAA}"/>
    <cellStyle name="Currency 5 5 9 4" xfId="12152" xr:uid="{47AE32F8-B7A4-49F7-917C-FCBC909B0F18}"/>
    <cellStyle name="Currency 5 6" xfId="221" xr:uid="{00000000-0005-0000-0000-0000690D0000}"/>
    <cellStyle name="Currency 5 6 10" xfId="8966" xr:uid="{EC95BD1E-EAA8-4043-BDA7-06F3BBDBC3D5}"/>
    <cellStyle name="Currency 5 6 10 2" xfId="27589" xr:uid="{2AEA7169-2DFF-4C5D-8353-7DDCE4D55538}"/>
    <cellStyle name="Currency 5 6 10 3" xfId="18290" xr:uid="{5D78E4DD-1102-45FF-9943-4ED50A96472B}"/>
    <cellStyle name="Currency 5 6 11" xfId="19070" xr:uid="{34EEFCA4-D165-4409-9E7D-8C8567ADEF74}"/>
    <cellStyle name="Currency 5 6 12" xfId="9771" xr:uid="{8A96156C-8F3A-42CA-B97F-F2A9B63D19A1}"/>
    <cellStyle name="Currency 5 6 2" xfId="747" xr:uid="{00000000-0005-0000-0000-00006A0D0000}"/>
    <cellStyle name="Currency 5 6 2 2" xfId="2999" xr:uid="{00000000-0005-0000-0000-00006B0D0000}"/>
    <cellStyle name="Currency 5 6 2 2 2" xfId="7221" xr:uid="{00000000-0005-0000-0000-00006C0D0000}"/>
    <cellStyle name="Currency 5 6 2 2 2 2" xfId="25846" xr:uid="{13E7AC08-19D1-4F9A-9DFC-9BC170F27250}"/>
    <cellStyle name="Currency 5 6 2 2 2 3" xfId="16547" xr:uid="{3005C58B-BF94-4505-910D-FD79EBA0DF72}"/>
    <cellStyle name="Currency 5 6 2 2 3" xfId="21629" xr:uid="{733DDB2D-3590-48A4-879E-C789C2CBF08C}"/>
    <cellStyle name="Currency 5 6 2 2 4" xfId="12330" xr:uid="{71B2AA2B-4D06-4422-9F8A-331224A62F0F}"/>
    <cellStyle name="Currency 5 6 2 3" xfId="5076" xr:uid="{00000000-0005-0000-0000-00006D0D0000}"/>
    <cellStyle name="Currency 5 6 2 3 2" xfId="23701" xr:uid="{6A6A8D2C-372D-427D-85D9-13E6CDD43271}"/>
    <cellStyle name="Currency 5 6 2 3 3" xfId="14402" xr:uid="{9FEC9723-F528-404E-A673-624052F64EC9}"/>
    <cellStyle name="Currency 5 6 2 4" xfId="9391" xr:uid="{8CBF3F74-51EC-4402-B96A-0759E6537FC7}"/>
    <cellStyle name="Currency 5 6 2 4 2" xfId="28005" xr:uid="{91AC48FD-1F6A-4F96-95D4-A5B693510ECA}"/>
    <cellStyle name="Currency 5 6 2 4 3" xfId="18706" xr:uid="{EF69535A-C9DA-433A-810A-C51EBCA5F5A7}"/>
    <cellStyle name="Currency 5 6 2 5" xfId="19484" xr:uid="{47D882BB-B698-47E2-831A-1F57FC0CE993}"/>
    <cellStyle name="Currency 5 6 2 6" xfId="10185" xr:uid="{E1E9075E-6761-4673-A0F0-079E989E4FE4}"/>
    <cellStyle name="Currency 5 6 3" xfId="1181" xr:uid="{00000000-0005-0000-0000-00006E0D0000}"/>
    <cellStyle name="Currency 5 6 3 2" xfId="3412" xr:uid="{00000000-0005-0000-0000-00006F0D0000}"/>
    <cellStyle name="Currency 5 6 3 2 2" xfId="7634" xr:uid="{00000000-0005-0000-0000-0000700D0000}"/>
    <cellStyle name="Currency 5 6 3 2 2 2" xfId="26259" xr:uid="{9AB6974D-8CCA-4646-8BA8-1C760F44C19E}"/>
    <cellStyle name="Currency 5 6 3 2 2 3" xfId="16960" xr:uid="{E26A0282-EFD8-434D-88AE-8291293CEE52}"/>
    <cellStyle name="Currency 5 6 3 2 3" xfId="22042" xr:uid="{23D94F02-1313-4AB0-A8C9-52E55A9DEA1D}"/>
    <cellStyle name="Currency 5 6 3 2 4" xfId="12743" xr:uid="{864C47F4-895E-4C72-8BD2-7F301B4F5BE9}"/>
    <cellStyle name="Currency 5 6 3 3" xfId="5489" xr:uid="{00000000-0005-0000-0000-0000710D0000}"/>
    <cellStyle name="Currency 5 6 3 3 2" xfId="24114" xr:uid="{334999CD-75C8-45E6-A9BE-43B4721D3DFC}"/>
    <cellStyle name="Currency 5 6 3 3 3" xfId="14815" xr:uid="{2CB13697-2A00-4406-A190-E0BA5FE739C8}"/>
    <cellStyle name="Currency 5 6 3 4" xfId="19897" xr:uid="{3589A536-6FE9-4A51-8A75-4CEF90B92874}"/>
    <cellStyle name="Currency 5 6 3 5" xfId="10598" xr:uid="{F0F7D357-337C-4E29-BD10-498845A8D4ED}"/>
    <cellStyle name="Currency 5 6 4" xfId="1595" xr:uid="{00000000-0005-0000-0000-0000720D0000}"/>
    <cellStyle name="Currency 5 6 4 2" xfId="3825" xr:uid="{00000000-0005-0000-0000-0000730D0000}"/>
    <cellStyle name="Currency 5 6 4 2 2" xfId="8047" xr:uid="{00000000-0005-0000-0000-0000740D0000}"/>
    <cellStyle name="Currency 5 6 4 2 2 2" xfId="26672" xr:uid="{A156DC91-163B-44B5-93B9-8FD420ACC83E}"/>
    <cellStyle name="Currency 5 6 4 2 2 3" xfId="17373" xr:uid="{E32155F4-2915-4B21-BE5F-2918548865F2}"/>
    <cellStyle name="Currency 5 6 4 2 3" xfId="22455" xr:uid="{38DAB198-029F-41EC-A40E-F13230041252}"/>
    <cellStyle name="Currency 5 6 4 2 4" xfId="13156" xr:uid="{AE68E87D-2408-4AD7-A000-26475156C30A}"/>
    <cellStyle name="Currency 5 6 4 3" xfId="5902" xr:uid="{00000000-0005-0000-0000-0000750D0000}"/>
    <cellStyle name="Currency 5 6 4 3 2" xfId="24527" xr:uid="{AE3952CC-3973-4590-B7E6-4E80491B198E}"/>
    <cellStyle name="Currency 5 6 4 3 3" xfId="15228" xr:uid="{4D1CAE2B-7987-4528-9697-E5C72FF8BFE6}"/>
    <cellStyle name="Currency 5 6 4 4" xfId="20310" xr:uid="{26A1190B-41A4-4059-8448-82040678714F}"/>
    <cellStyle name="Currency 5 6 4 5" xfId="11011" xr:uid="{D1D0487B-E222-4577-89BF-9BDB3C168002}"/>
    <cellStyle name="Currency 5 6 5" xfId="2009" xr:uid="{00000000-0005-0000-0000-0000760D0000}"/>
    <cellStyle name="Currency 5 6 5 2" xfId="4238" xr:uid="{00000000-0005-0000-0000-0000770D0000}"/>
    <cellStyle name="Currency 5 6 5 2 2" xfId="8460" xr:uid="{00000000-0005-0000-0000-0000780D0000}"/>
    <cellStyle name="Currency 5 6 5 2 2 2" xfId="27085" xr:uid="{1DDF9895-7D3C-48D6-8541-58975CEF3B20}"/>
    <cellStyle name="Currency 5 6 5 2 2 3" xfId="17786" xr:uid="{3E72B28F-6462-4E16-A793-7FC86EE10DF9}"/>
    <cellStyle name="Currency 5 6 5 2 3" xfId="22868" xr:uid="{7CB58963-336C-4EB4-A1D8-929F0E1504D4}"/>
    <cellStyle name="Currency 5 6 5 2 4" xfId="13569" xr:uid="{E1643886-32B4-4426-A669-6407EFCDE519}"/>
    <cellStyle name="Currency 5 6 5 3" xfId="6315" xr:uid="{00000000-0005-0000-0000-0000790D0000}"/>
    <cellStyle name="Currency 5 6 5 3 2" xfId="24940" xr:uid="{4CF4C5DB-7638-4D9E-8B00-742FF94DDD67}"/>
    <cellStyle name="Currency 5 6 5 3 3" xfId="15641" xr:uid="{A6910E54-E7BF-414C-9D62-231A5CB2BF24}"/>
    <cellStyle name="Currency 5 6 5 4" xfId="20723" xr:uid="{81A79FDA-1729-49B9-BC60-479559187262}"/>
    <cellStyle name="Currency 5 6 5 5" xfId="11424" xr:uid="{EB546C01-AA74-4C3B-A16D-50605F68C8DE}"/>
    <cellStyle name="Currency 5 6 6" xfId="2444" xr:uid="{00000000-0005-0000-0000-00007A0D0000}"/>
    <cellStyle name="Currency 5 6 6 2" xfId="6728" xr:uid="{00000000-0005-0000-0000-00007B0D0000}"/>
    <cellStyle name="Currency 5 6 6 2 2" xfId="25353" xr:uid="{3BE813EA-F0CA-4161-BD0B-F46C637950ED}"/>
    <cellStyle name="Currency 5 6 6 2 3" xfId="16054" xr:uid="{7FEB38FE-37CB-48BC-93E6-3FC616CE7D0E}"/>
    <cellStyle name="Currency 5 6 6 3" xfId="21136" xr:uid="{5A1CDF57-1F44-4130-8F8F-07A461DCE2FC}"/>
    <cellStyle name="Currency 5 6 6 4" xfId="11837" xr:uid="{192B69BA-9A3B-4A9C-9E48-3BEE0264D559}"/>
    <cellStyle name="Currency 5 6 7" xfId="2741" xr:uid="{00000000-0005-0000-0000-00007C0D0000}"/>
    <cellStyle name="Currency 5 6 8" xfId="2822" xr:uid="{00000000-0005-0000-0000-00007D0D0000}"/>
    <cellStyle name="Currency 5 6 8 2" xfId="7045" xr:uid="{00000000-0005-0000-0000-00007E0D0000}"/>
    <cellStyle name="Currency 5 6 8 2 2" xfId="25670" xr:uid="{3311884C-7AC9-4494-91B2-342001DB78CD}"/>
    <cellStyle name="Currency 5 6 8 2 3" xfId="16371" xr:uid="{1D13C9AD-7AFE-4FDB-AC5A-7F3B418820B7}"/>
    <cellStyle name="Currency 5 6 8 3" xfId="21453" xr:uid="{4FE2B090-77DE-414D-9BEA-4821AA15F060}"/>
    <cellStyle name="Currency 5 6 8 4" xfId="12154" xr:uid="{7069B453-72B5-47D1-8302-D0A8AD563688}"/>
    <cellStyle name="Currency 5 6 9" xfId="4662" xr:uid="{00000000-0005-0000-0000-00007F0D0000}"/>
    <cellStyle name="Currency 5 6 9 2" xfId="23287" xr:uid="{07B5D4AF-9FEE-4DBC-AD5E-1E754F6D89FB}"/>
    <cellStyle name="Currency 5 6 9 3" xfId="13988" xr:uid="{442BC06A-A5FF-4EE5-BCCA-B1D46F745DB6}"/>
    <cellStyle name="Currency 5 7" xfId="222" xr:uid="{00000000-0005-0000-0000-0000800D0000}"/>
    <cellStyle name="Currency 5 7 10" xfId="9169" xr:uid="{7A886DE7-136A-429E-90E2-A7C712D111D8}"/>
    <cellStyle name="Currency 5 7 10 2" xfId="27786" xr:uid="{9E9E49FB-16AA-4C0C-B760-BF15F12D6419}"/>
    <cellStyle name="Currency 5 7 10 3" xfId="18487" xr:uid="{BE64C874-BB15-456A-8CCB-733644032641}"/>
    <cellStyle name="Currency 5 7 11" xfId="19071" xr:uid="{271F3613-2038-4CB1-85C5-4E530B63E0E7}"/>
    <cellStyle name="Currency 5 7 12" xfId="9772" xr:uid="{0EF45E29-DBEF-40D3-988D-EE10C782D55D}"/>
    <cellStyle name="Currency 5 7 2" xfId="748" xr:uid="{00000000-0005-0000-0000-0000810D0000}"/>
    <cellStyle name="Currency 5 7 2 2" xfId="3000" xr:uid="{00000000-0005-0000-0000-0000820D0000}"/>
    <cellStyle name="Currency 5 7 2 2 2" xfId="7222" xr:uid="{00000000-0005-0000-0000-0000830D0000}"/>
    <cellStyle name="Currency 5 7 2 2 2 2" xfId="25847" xr:uid="{5DA4F4E6-2301-4221-9017-700AEA999608}"/>
    <cellStyle name="Currency 5 7 2 2 2 3" xfId="16548" xr:uid="{50BC1C32-DFA7-4D04-ADB6-87430F2CE4F9}"/>
    <cellStyle name="Currency 5 7 2 2 3" xfId="21630" xr:uid="{A5C9E9D4-BAE8-4C02-905A-38F8A5DE6AA4}"/>
    <cellStyle name="Currency 5 7 2 2 4" xfId="12331" xr:uid="{88115B57-E2E0-4E56-8B2D-1DCDBFB7E566}"/>
    <cellStyle name="Currency 5 7 2 3" xfId="5077" xr:uid="{00000000-0005-0000-0000-0000840D0000}"/>
    <cellStyle name="Currency 5 7 2 3 2" xfId="23702" xr:uid="{5616ECD9-DB31-42B5-8302-7BC5BF5603CF}"/>
    <cellStyle name="Currency 5 7 2 3 3" xfId="14403" xr:uid="{57FEE7F1-BABB-4425-9431-7FDB58D33341}"/>
    <cellStyle name="Currency 5 7 2 4" xfId="9601" xr:uid="{DC93A830-0AF1-4EC4-B764-C728922F3FEF}"/>
    <cellStyle name="Currency 5 7 2 4 2" xfId="28204" xr:uid="{29139F06-925B-47DF-8C35-3463ADCD95D4}"/>
    <cellStyle name="Currency 5 7 2 4 3" xfId="18905" xr:uid="{6DB2CD86-49F6-4323-9769-D937BFAB4D5B}"/>
    <cellStyle name="Currency 5 7 2 5" xfId="19485" xr:uid="{4B17D458-A260-4464-A669-B786BAB11C05}"/>
    <cellStyle name="Currency 5 7 2 6" xfId="10186" xr:uid="{55BB87AC-E8F8-431D-8DA1-9918ABEDA947}"/>
    <cellStyle name="Currency 5 7 3" xfId="1182" xr:uid="{00000000-0005-0000-0000-0000850D0000}"/>
    <cellStyle name="Currency 5 7 3 2" xfId="3413" xr:uid="{00000000-0005-0000-0000-0000860D0000}"/>
    <cellStyle name="Currency 5 7 3 2 2" xfId="7635" xr:uid="{00000000-0005-0000-0000-0000870D0000}"/>
    <cellStyle name="Currency 5 7 3 2 2 2" xfId="26260" xr:uid="{7A71867D-B236-4C51-8F9B-A7498E251BEC}"/>
    <cellStyle name="Currency 5 7 3 2 2 3" xfId="16961" xr:uid="{1CF63BCB-3530-48E1-B413-8BEF907D96D8}"/>
    <cellStyle name="Currency 5 7 3 2 3" xfId="22043" xr:uid="{35642EFD-94F9-4347-813D-15A6DDE0B1BC}"/>
    <cellStyle name="Currency 5 7 3 2 4" xfId="12744" xr:uid="{24E99427-20D0-4B9E-8034-CF7287E0F51E}"/>
    <cellStyle name="Currency 5 7 3 3" xfId="5490" xr:uid="{00000000-0005-0000-0000-0000880D0000}"/>
    <cellStyle name="Currency 5 7 3 3 2" xfId="24115" xr:uid="{27E3D03D-93BC-4115-AE9C-73D7FE17829D}"/>
    <cellStyle name="Currency 5 7 3 3 3" xfId="14816" xr:uid="{583CD454-EDF8-4004-8CE1-F2E71BC322D6}"/>
    <cellStyle name="Currency 5 7 3 4" xfId="19898" xr:uid="{CB26B6F4-4731-45B5-859A-E178BD984CEA}"/>
    <cellStyle name="Currency 5 7 3 5" xfId="10599" xr:uid="{11CA87D5-D8B2-407F-BEDD-C32093C309C7}"/>
    <cellStyle name="Currency 5 7 4" xfId="1596" xr:uid="{00000000-0005-0000-0000-0000890D0000}"/>
    <cellStyle name="Currency 5 7 4 2" xfId="3826" xr:uid="{00000000-0005-0000-0000-00008A0D0000}"/>
    <cellStyle name="Currency 5 7 4 2 2" xfId="8048" xr:uid="{00000000-0005-0000-0000-00008B0D0000}"/>
    <cellStyle name="Currency 5 7 4 2 2 2" xfId="26673" xr:uid="{646E08A2-A6A2-41A9-961F-7FE9F25EE78B}"/>
    <cellStyle name="Currency 5 7 4 2 2 3" xfId="17374" xr:uid="{34C99EA6-C196-4082-B611-CA254E6A858A}"/>
    <cellStyle name="Currency 5 7 4 2 3" xfId="22456" xr:uid="{539272AD-CC4C-42ED-9A61-3C2DD0A26514}"/>
    <cellStyle name="Currency 5 7 4 2 4" xfId="13157" xr:uid="{D27A31AC-5232-4A3B-AF22-3884BEA2551C}"/>
    <cellStyle name="Currency 5 7 4 3" xfId="5903" xr:uid="{00000000-0005-0000-0000-00008C0D0000}"/>
    <cellStyle name="Currency 5 7 4 3 2" xfId="24528" xr:uid="{D8E8F885-2D35-4003-B315-0A0BE2BCF811}"/>
    <cellStyle name="Currency 5 7 4 3 3" xfId="15229" xr:uid="{6C6B0E18-7DF9-4BBC-8DA0-39B4D8D79995}"/>
    <cellStyle name="Currency 5 7 4 4" xfId="20311" xr:uid="{A2805300-8BFC-47E1-BA74-B3CA7800050C}"/>
    <cellStyle name="Currency 5 7 4 5" xfId="11012" xr:uid="{D9F5DF58-EEFD-4013-9258-3F0A086695BB}"/>
    <cellStyle name="Currency 5 7 5" xfId="2010" xr:uid="{00000000-0005-0000-0000-00008D0D0000}"/>
    <cellStyle name="Currency 5 7 5 2" xfId="4239" xr:uid="{00000000-0005-0000-0000-00008E0D0000}"/>
    <cellStyle name="Currency 5 7 5 2 2" xfId="8461" xr:uid="{00000000-0005-0000-0000-00008F0D0000}"/>
    <cellStyle name="Currency 5 7 5 2 2 2" xfId="27086" xr:uid="{A1599965-EB0A-4C7B-8547-4B9E9EEF9742}"/>
    <cellStyle name="Currency 5 7 5 2 2 3" xfId="17787" xr:uid="{2A124A47-C765-4F67-9622-E6A9140A1EE5}"/>
    <cellStyle name="Currency 5 7 5 2 3" xfId="22869" xr:uid="{74463046-FFA1-4B35-A1BA-C204D4DDB72A}"/>
    <cellStyle name="Currency 5 7 5 2 4" xfId="13570" xr:uid="{02D208A5-4111-455F-BC34-43C33A32F0E6}"/>
    <cellStyle name="Currency 5 7 5 3" xfId="6316" xr:uid="{00000000-0005-0000-0000-0000900D0000}"/>
    <cellStyle name="Currency 5 7 5 3 2" xfId="24941" xr:uid="{0302330B-7F48-469D-8981-4F405559AF12}"/>
    <cellStyle name="Currency 5 7 5 3 3" xfId="15642" xr:uid="{88756CEA-2B0E-4341-8DE0-BE9C88CF35F1}"/>
    <cellStyle name="Currency 5 7 5 4" xfId="20724" xr:uid="{86B70B6B-5DC1-4C1E-AA7E-6C423CE5ECCF}"/>
    <cellStyle name="Currency 5 7 5 5" xfId="11425" xr:uid="{C8DF3D07-F886-414B-952D-077193D41950}"/>
    <cellStyle name="Currency 5 7 6" xfId="2445" xr:uid="{00000000-0005-0000-0000-0000910D0000}"/>
    <cellStyle name="Currency 5 7 6 2" xfId="6729" xr:uid="{00000000-0005-0000-0000-0000920D0000}"/>
    <cellStyle name="Currency 5 7 6 2 2" xfId="25354" xr:uid="{2F22A75C-E096-4C49-8A4F-5D8B5E4A223A}"/>
    <cellStyle name="Currency 5 7 6 2 3" xfId="16055" xr:uid="{4FFCFA09-4AB2-4008-B3F3-D3510CA344BF}"/>
    <cellStyle name="Currency 5 7 6 3" xfId="21137" xr:uid="{D863EA2A-284C-46BD-9540-8841F4F654A2}"/>
    <cellStyle name="Currency 5 7 6 4" xfId="11838" xr:uid="{70896106-36B4-47E3-A599-56889A2187D7}"/>
    <cellStyle name="Currency 5 7 7" xfId="2742" xr:uid="{00000000-0005-0000-0000-0000930D0000}"/>
    <cellStyle name="Currency 5 7 8" xfId="2823" xr:uid="{00000000-0005-0000-0000-0000940D0000}"/>
    <cellStyle name="Currency 5 7 8 2" xfId="7046" xr:uid="{00000000-0005-0000-0000-0000950D0000}"/>
    <cellStyle name="Currency 5 7 8 2 2" xfId="25671" xr:uid="{225FAF45-C2B8-4BC7-B3CE-920CC06735E2}"/>
    <cellStyle name="Currency 5 7 8 2 3" xfId="16372" xr:uid="{128CED45-D421-4E52-BCAB-EA20E1F0186D}"/>
    <cellStyle name="Currency 5 7 8 3" xfId="21454" xr:uid="{D8DF1528-8964-4A1B-82A1-44ABAC25D6D8}"/>
    <cellStyle name="Currency 5 7 8 4" xfId="12155" xr:uid="{C70554F2-4FE3-41F7-A891-0DFC74A86CE2}"/>
    <cellStyle name="Currency 5 7 9" xfId="4663" xr:uid="{00000000-0005-0000-0000-0000960D0000}"/>
    <cellStyle name="Currency 5 7 9 2" xfId="23288" xr:uid="{42F8D953-9DCD-4C53-8701-37527987ABCE}"/>
    <cellStyle name="Currency 5 7 9 3" xfId="13989" xr:uid="{3DB90849-833B-4275-A91B-A2CD4D93141A}"/>
    <cellStyle name="Currency 5 8" xfId="721" xr:uid="{00000000-0005-0000-0000-0000970D0000}"/>
    <cellStyle name="Currency 5 9" xfId="8747" xr:uid="{CCFF1C6E-BA46-44B7-A8DD-B170160D04FF}"/>
    <cellStyle name="Currency 5 9 2" xfId="27370" xr:uid="{90577C9B-62A8-4836-AE2F-074933B01638}"/>
    <cellStyle name="Currency 5 9 3" xfId="18071" xr:uid="{F0B131C9-D970-4182-A167-204A6B945828}"/>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0 2 2" xfId="25355" xr:uid="{2EE4F7D7-9CA4-487C-BB9A-F66F7453B96F}"/>
    <cellStyle name="Normal 12 10 2 3" xfId="16056" xr:uid="{82134918-C950-419D-9491-BD434CAEAB4C}"/>
    <cellStyle name="Normal 12 10 3" xfId="21138" xr:uid="{2736D8E0-47B4-4BA7-A028-66AFA43B2943}"/>
    <cellStyle name="Normal 12 10 4" xfId="11839" xr:uid="{0E8CB174-7CF4-4E52-8F1A-319FD66AEA70}"/>
    <cellStyle name="Normal 12 11" xfId="4664" xr:uid="{00000000-0005-0000-0000-0000CC0D0000}"/>
    <cellStyle name="Normal 12 11 2" xfId="23289" xr:uid="{86CEDFB9-BD32-4F6C-9AA9-60205167DB60}"/>
    <cellStyle name="Normal 12 11 3" xfId="13990" xr:uid="{F33EAB19-4223-4814-B6AD-66F62EA677F7}"/>
    <cellStyle name="Normal 12 12" xfId="8770" xr:uid="{16E7F001-A88D-4413-825E-78352A31064A}"/>
    <cellStyle name="Normal 12 12 2" xfId="27393" xr:uid="{1F1EEB0A-7975-42BC-B4F3-1AE435A0D649}"/>
    <cellStyle name="Normal 12 12 3" xfId="18094" xr:uid="{A749D0FB-1AC2-49DF-A3D4-FBB294F80D6A}"/>
    <cellStyle name="Normal 12 13" xfId="19072" xr:uid="{769F4661-594A-4769-AE8C-67A2ACDC4C81}"/>
    <cellStyle name="Normal 12 14" xfId="9773" xr:uid="{BF9B4F2B-69DB-468B-A19E-DC42533D0701}"/>
    <cellStyle name="Normal 12 2" xfId="260" xr:uid="{00000000-0005-0000-0000-0000CD0D0000}"/>
    <cellStyle name="Normal 12 2 10" xfId="8811" xr:uid="{C610EFA7-DF28-475D-A7AA-61B6675A083B}"/>
    <cellStyle name="Normal 12 2 10 2" xfId="27434" xr:uid="{257D5DA1-F7B9-40A4-A664-29606EFD2706}"/>
    <cellStyle name="Normal 12 2 10 3" xfId="18135" xr:uid="{9DE44C09-8E36-4B07-91ED-62E801F4CDCB}"/>
    <cellStyle name="Normal 12 2 11" xfId="19073" xr:uid="{733F78B0-9C4B-4399-9AD4-F14DC1A96D08}"/>
    <cellStyle name="Normal 12 2 12" xfId="9774" xr:uid="{A53A48F6-0E36-466D-8EC7-3D86DC40C246}"/>
    <cellStyle name="Normal 12 2 2" xfId="261" xr:uid="{00000000-0005-0000-0000-0000CE0D0000}"/>
    <cellStyle name="Normal 12 2 2 10" xfId="19074" xr:uid="{50A31F6C-02B1-4430-85DA-D6C97E30B9FA}"/>
    <cellStyle name="Normal 12 2 2 11" xfId="9775" xr:uid="{99C83C7E-4E14-41FE-859E-5F7D06A38F08}"/>
    <cellStyle name="Normal 12 2 2 2" xfId="262" xr:uid="{00000000-0005-0000-0000-0000CF0D0000}"/>
    <cellStyle name="Normal 12 2 2 2 10" xfId="9776" xr:uid="{017C8168-30E6-45D4-B17F-F0ED91A2CD63}"/>
    <cellStyle name="Normal 12 2 2 2 2" xfId="763" xr:uid="{00000000-0005-0000-0000-0000D00D0000}"/>
    <cellStyle name="Normal 12 2 2 2 2 2" xfId="3004" xr:uid="{00000000-0005-0000-0000-0000D10D0000}"/>
    <cellStyle name="Normal 12 2 2 2 2 2 2" xfId="7226" xr:uid="{00000000-0005-0000-0000-0000D20D0000}"/>
    <cellStyle name="Normal 12 2 2 2 2 2 2 2" xfId="25851" xr:uid="{96FCF452-60B8-48E0-9ED8-A13CD7ABAB04}"/>
    <cellStyle name="Normal 12 2 2 2 2 2 2 3" xfId="16552" xr:uid="{6409C8AA-A888-419F-B5F5-883EB5CF06FC}"/>
    <cellStyle name="Normal 12 2 2 2 2 2 3" xfId="21634" xr:uid="{3CA65D74-77E8-4C49-80D2-9FF9D7065706}"/>
    <cellStyle name="Normal 12 2 2 2 2 2 4" xfId="12335" xr:uid="{2986CFF8-FC35-4F00-BAC4-FD2A40DE80D6}"/>
    <cellStyle name="Normal 12 2 2 2 2 3" xfId="5081" xr:uid="{00000000-0005-0000-0000-0000D30D0000}"/>
    <cellStyle name="Normal 12 2 2 2 2 3 2" xfId="23706" xr:uid="{724B4ECF-2303-43C7-AF9F-7DD2E101AA5C}"/>
    <cellStyle name="Normal 12 2 2 2 2 3 3" xfId="14407" xr:uid="{EB055572-88AD-47BF-86E8-1F3970BFED90}"/>
    <cellStyle name="Normal 12 2 2 2 2 4" xfId="9546" xr:uid="{609DE280-4DA3-4355-9F1C-9E01708347EA}"/>
    <cellStyle name="Normal 12 2 2 2 2 4 2" xfId="28160" xr:uid="{1C44645F-3A95-4149-8812-0420D35CFF63}"/>
    <cellStyle name="Normal 12 2 2 2 2 4 3" xfId="18861" xr:uid="{6FF5F856-B7F0-4B93-A329-A35B895EB68C}"/>
    <cellStyle name="Normal 12 2 2 2 2 5" xfId="19489" xr:uid="{4C96EE98-723E-48F8-9084-EE65AC965630}"/>
    <cellStyle name="Normal 12 2 2 2 2 6" xfId="10190" xr:uid="{18C86EE1-05CB-44CD-9D53-16EB68EE47B2}"/>
    <cellStyle name="Normal 12 2 2 2 3" xfId="1186" xr:uid="{00000000-0005-0000-0000-0000D40D0000}"/>
    <cellStyle name="Normal 12 2 2 2 3 2" xfId="3417" xr:uid="{00000000-0005-0000-0000-0000D50D0000}"/>
    <cellStyle name="Normal 12 2 2 2 3 2 2" xfId="7639" xr:uid="{00000000-0005-0000-0000-0000D60D0000}"/>
    <cellStyle name="Normal 12 2 2 2 3 2 2 2" xfId="26264" xr:uid="{E18F1207-2209-490C-8AC7-52CD03307237}"/>
    <cellStyle name="Normal 12 2 2 2 3 2 2 3" xfId="16965" xr:uid="{00714C77-D97D-4822-9747-0E8715B6CB5B}"/>
    <cellStyle name="Normal 12 2 2 2 3 2 3" xfId="22047" xr:uid="{DF9EAEEF-8F4A-4A50-95DB-76C7550C6652}"/>
    <cellStyle name="Normal 12 2 2 2 3 2 4" xfId="12748" xr:uid="{1509A6A5-1E0E-458E-A8AE-EFF83F5D4C64}"/>
    <cellStyle name="Normal 12 2 2 2 3 3" xfId="5494" xr:uid="{00000000-0005-0000-0000-0000D70D0000}"/>
    <cellStyle name="Normal 12 2 2 2 3 3 2" xfId="24119" xr:uid="{45193CB4-2106-461C-859C-2597893A47AF}"/>
    <cellStyle name="Normal 12 2 2 2 3 3 3" xfId="14820" xr:uid="{C0C14F21-296E-4398-AF7B-973C55F5C3AB}"/>
    <cellStyle name="Normal 12 2 2 2 3 4" xfId="19902" xr:uid="{104F4F06-47B4-43DD-97EA-D9C306FEC315}"/>
    <cellStyle name="Normal 12 2 2 2 3 5" xfId="10603" xr:uid="{9E100BCC-E882-43F7-A37F-60B7C91845AA}"/>
    <cellStyle name="Normal 12 2 2 2 4" xfId="1600" xr:uid="{00000000-0005-0000-0000-0000D80D0000}"/>
    <cellStyle name="Normal 12 2 2 2 4 2" xfId="3830" xr:uid="{00000000-0005-0000-0000-0000D90D0000}"/>
    <cellStyle name="Normal 12 2 2 2 4 2 2" xfId="8052" xr:uid="{00000000-0005-0000-0000-0000DA0D0000}"/>
    <cellStyle name="Normal 12 2 2 2 4 2 2 2" xfId="26677" xr:uid="{F00DFABA-0F96-4D17-ABBE-712D46D772CF}"/>
    <cellStyle name="Normal 12 2 2 2 4 2 2 3" xfId="17378" xr:uid="{BA530F2A-578D-4920-A30C-455F378EE061}"/>
    <cellStyle name="Normal 12 2 2 2 4 2 3" xfId="22460" xr:uid="{A0878E85-5E5F-45D7-A69A-90340EB80911}"/>
    <cellStyle name="Normal 12 2 2 2 4 2 4" xfId="13161" xr:uid="{C5FEF85E-910F-46EF-A0D9-1A22483BD26E}"/>
    <cellStyle name="Normal 12 2 2 2 4 3" xfId="5907" xr:uid="{00000000-0005-0000-0000-0000DB0D0000}"/>
    <cellStyle name="Normal 12 2 2 2 4 3 2" xfId="24532" xr:uid="{C13C7085-AE4F-4782-BE6B-5E7628994597}"/>
    <cellStyle name="Normal 12 2 2 2 4 3 3" xfId="15233" xr:uid="{1F1143AC-7487-45AD-BCDD-D2971D44EB73}"/>
    <cellStyle name="Normal 12 2 2 2 4 4" xfId="20315" xr:uid="{DA379E8B-30BD-4FD1-A586-135F9620E342}"/>
    <cellStyle name="Normal 12 2 2 2 4 5" xfId="11016" xr:uid="{DD338A56-D334-4C9C-9E19-8B7F0DECFBCA}"/>
    <cellStyle name="Normal 12 2 2 2 5" xfId="2014" xr:uid="{00000000-0005-0000-0000-0000DC0D0000}"/>
    <cellStyle name="Normal 12 2 2 2 5 2" xfId="4243" xr:uid="{00000000-0005-0000-0000-0000DD0D0000}"/>
    <cellStyle name="Normal 12 2 2 2 5 2 2" xfId="8465" xr:uid="{00000000-0005-0000-0000-0000DE0D0000}"/>
    <cellStyle name="Normal 12 2 2 2 5 2 2 2" xfId="27090" xr:uid="{164D82E7-F21A-40EC-8B2E-A233026DC658}"/>
    <cellStyle name="Normal 12 2 2 2 5 2 2 3" xfId="17791" xr:uid="{AC51DCA7-7572-4C5D-BFF5-278337370293}"/>
    <cellStyle name="Normal 12 2 2 2 5 2 3" xfId="22873" xr:uid="{C591B914-C0BD-4F10-842A-3AEBD5952B8B}"/>
    <cellStyle name="Normal 12 2 2 2 5 2 4" xfId="13574" xr:uid="{903708DB-26E5-461D-91EE-B5E694560A8A}"/>
    <cellStyle name="Normal 12 2 2 2 5 3" xfId="6320" xr:uid="{00000000-0005-0000-0000-0000DF0D0000}"/>
    <cellStyle name="Normal 12 2 2 2 5 3 2" xfId="24945" xr:uid="{BF2BD59A-22DF-407D-9255-DC6811C47D96}"/>
    <cellStyle name="Normal 12 2 2 2 5 3 3" xfId="15646" xr:uid="{589D9C2E-2367-4BEA-B5DB-765E133C295C}"/>
    <cellStyle name="Normal 12 2 2 2 5 4" xfId="20728" xr:uid="{DEAA9849-A5DE-4564-BE95-9DD9B2CCE4B8}"/>
    <cellStyle name="Normal 12 2 2 2 5 5" xfId="11429" xr:uid="{224E5A67-40F4-4E2F-8D07-F422D3046BA8}"/>
    <cellStyle name="Normal 12 2 2 2 6" xfId="2450" xr:uid="{00000000-0005-0000-0000-0000E00D0000}"/>
    <cellStyle name="Normal 12 2 2 2 6 2" xfId="6733" xr:uid="{00000000-0005-0000-0000-0000E10D0000}"/>
    <cellStyle name="Normal 12 2 2 2 6 2 2" xfId="25358" xr:uid="{178D7BF0-4AF3-42F6-94A7-9B0B2608AA80}"/>
    <cellStyle name="Normal 12 2 2 2 6 2 3" xfId="16059" xr:uid="{FED75B27-6129-4A05-84D3-AF1AE3051639}"/>
    <cellStyle name="Normal 12 2 2 2 6 3" xfId="21141" xr:uid="{0259B3A4-1230-4573-BED3-31BC41C8FFF3}"/>
    <cellStyle name="Normal 12 2 2 2 6 4" xfId="11842" xr:uid="{3FFF78ED-7D7B-4DD8-8C13-6F4D3773B0FA}"/>
    <cellStyle name="Normal 12 2 2 2 7" xfId="4667" xr:uid="{00000000-0005-0000-0000-0000E20D0000}"/>
    <cellStyle name="Normal 12 2 2 2 7 2" xfId="23292" xr:uid="{80954D31-C7DD-4C50-A90B-80113259F7F5}"/>
    <cellStyle name="Normal 12 2 2 2 7 3" xfId="13993" xr:uid="{FF7F46BC-9F1E-4CCC-8AA2-C4EF2C0E4291}"/>
    <cellStyle name="Normal 12 2 2 2 8" xfId="9121" xr:uid="{527C15BB-BE4D-46AB-9317-CC8E6838C91D}"/>
    <cellStyle name="Normal 12 2 2 2 8 2" xfId="27744" xr:uid="{044E83DF-9677-44D8-B98E-F59D7AE99605}"/>
    <cellStyle name="Normal 12 2 2 2 8 3" xfId="18445" xr:uid="{2508C741-5233-4975-A370-1501DD9B9CAE}"/>
    <cellStyle name="Normal 12 2 2 2 9" xfId="19075" xr:uid="{7C4BC945-8AF3-435F-8B2F-917B86A39E0C}"/>
    <cellStyle name="Normal 12 2 2 3" xfId="762" xr:uid="{00000000-0005-0000-0000-0000E30D0000}"/>
    <cellStyle name="Normal 12 2 2 3 2" xfId="3003" xr:uid="{00000000-0005-0000-0000-0000E40D0000}"/>
    <cellStyle name="Normal 12 2 2 3 2 2" xfId="7225" xr:uid="{00000000-0005-0000-0000-0000E50D0000}"/>
    <cellStyle name="Normal 12 2 2 3 2 2 2" xfId="25850" xr:uid="{FBD1757E-BC79-4C79-9ECF-001DEA43D984}"/>
    <cellStyle name="Normal 12 2 2 3 2 2 3" xfId="16551" xr:uid="{97B53BD6-68FB-4AC7-B416-42844FC3F071}"/>
    <cellStyle name="Normal 12 2 2 3 2 3" xfId="21633" xr:uid="{FF6EDE8C-0395-4F57-B048-3CFC9506E156}"/>
    <cellStyle name="Normal 12 2 2 3 2 4" xfId="12334" xr:uid="{BB7EC64B-CE3B-4D84-9BF4-6B6452DCEC11}"/>
    <cellStyle name="Normal 12 2 2 3 3" xfId="5080" xr:uid="{00000000-0005-0000-0000-0000E60D0000}"/>
    <cellStyle name="Normal 12 2 2 3 3 2" xfId="23705" xr:uid="{A23B22A6-A754-4C4A-829F-E1F703F6B46E}"/>
    <cellStyle name="Normal 12 2 2 3 3 3" xfId="14406" xr:uid="{96D8960F-37B7-46EC-9DCB-50B00D5AE73D}"/>
    <cellStyle name="Normal 12 2 2 3 4" xfId="9339" xr:uid="{F3F800C1-92DF-4F1F-A561-C3F3C7F8BAD1}"/>
    <cellStyle name="Normal 12 2 2 3 4 2" xfId="27953" xr:uid="{5DA15A91-28F2-4180-AD27-14FC16BC48FD}"/>
    <cellStyle name="Normal 12 2 2 3 4 3" xfId="18654" xr:uid="{D1CCB984-F9E6-4E14-830D-8F5FAE5542F3}"/>
    <cellStyle name="Normal 12 2 2 3 5" xfId="19488" xr:uid="{71758DF0-BB8B-4370-8942-191743D8C1E9}"/>
    <cellStyle name="Normal 12 2 2 3 6" xfId="10189" xr:uid="{E865BBBA-F2F6-4C42-9CB7-9074B0A09456}"/>
    <cellStyle name="Normal 12 2 2 4" xfId="1185" xr:uid="{00000000-0005-0000-0000-0000E70D0000}"/>
    <cellStyle name="Normal 12 2 2 4 2" xfId="3416" xr:uid="{00000000-0005-0000-0000-0000E80D0000}"/>
    <cellStyle name="Normal 12 2 2 4 2 2" xfId="7638" xr:uid="{00000000-0005-0000-0000-0000E90D0000}"/>
    <cellStyle name="Normal 12 2 2 4 2 2 2" xfId="26263" xr:uid="{6489CA7F-6D74-482D-9016-B4A8731A5F16}"/>
    <cellStyle name="Normal 12 2 2 4 2 2 3" xfId="16964" xr:uid="{0103E3B7-0B18-4A0D-B7DF-E8D560D65CC0}"/>
    <cellStyle name="Normal 12 2 2 4 2 3" xfId="22046" xr:uid="{D44043F1-1777-4398-8781-63DAE95FBD4C}"/>
    <cellStyle name="Normal 12 2 2 4 2 4" xfId="12747" xr:uid="{FAE6F9D0-0071-435F-AC3A-9EF8DBC46087}"/>
    <cellStyle name="Normal 12 2 2 4 3" xfId="5493" xr:uid="{00000000-0005-0000-0000-0000EA0D0000}"/>
    <cellStyle name="Normal 12 2 2 4 3 2" xfId="24118" xr:uid="{D05F4255-EA29-4A30-B52C-A0DA44585374}"/>
    <cellStyle name="Normal 12 2 2 4 3 3" xfId="14819" xr:uid="{071A2BAF-9DC3-42C0-BA3F-8264DF810716}"/>
    <cellStyle name="Normal 12 2 2 4 4" xfId="19901" xr:uid="{78F094EC-B43E-4CDE-9E82-C280DBC7F681}"/>
    <cellStyle name="Normal 12 2 2 4 5" xfId="10602" xr:uid="{916C0F0D-EF9F-4289-9F8C-69A21BF90C78}"/>
    <cellStyle name="Normal 12 2 2 5" xfId="1599" xr:uid="{00000000-0005-0000-0000-0000EB0D0000}"/>
    <cellStyle name="Normal 12 2 2 5 2" xfId="3829" xr:uid="{00000000-0005-0000-0000-0000EC0D0000}"/>
    <cellStyle name="Normal 12 2 2 5 2 2" xfId="8051" xr:uid="{00000000-0005-0000-0000-0000ED0D0000}"/>
    <cellStyle name="Normal 12 2 2 5 2 2 2" xfId="26676" xr:uid="{3C5D371A-85C1-41A6-8B81-AFA4047AD1E1}"/>
    <cellStyle name="Normal 12 2 2 5 2 2 3" xfId="17377" xr:uid="{DA36F4D0-DA3D-4C7E-8A33-395A4C0A0DAB}"/>
    <cellStyle name="Normal 12 2 2 5 2 3" xfId="22459" xr:uid="{A7796852-9D34-40A6-9A8D-B0D06AB2E8A5}"/>
    <cellStyle name="Normal 12 2 2 5 2 4" xfId="13160" xr:uid="{37CA6387-692B-4828-B038-C4CAE1A730BE}"/>
    <cellStyle name="Normal 12 2 2 5 3" xfId="5906" xr:uid="{00000000-0005-0000-0000-0000EE0D0000}"/>
    <cellStyle name="Normal 12 2 2 5 3 2" xfId="24531" xr:uid="{CB32F158-FB8A-4BE5-9AC7-89F78288F410}"/>
    <cellStyle name="Normal 12 2 2 5 3 3" xfId="15232" xr:uid="{5FD0FD86-D7D2-4ECF-AB7F-FF6F9D8981EA}"/>
    <cellStyle name="Normal 12 2 2 5 4" xfId="20314" xr:uid="{DB132F64-A7D9-4F3C-A338-B92D89D8BB9B}"/>
    <cellStyle name="Normal 12 2 2 5 5" xfId="11015" xr:uid="{38BDE5E6-6664-4B96-A5A7-2A708D1D3E87}"/>
    <cellStyle name="Normal 12 2 2 6" xfId="2013" xr:uid="{00000000-0005-0000-0000-0000EF0D0000}"/>
    <cellStyle name="Normal 12 2 2 6 2" xfId="4242" xr:uid="{00000000-0005-0000-0000-0000F00D0000}"/>
    <cellStyle name="Normal 12 2 2 6 2 2" xfId="8464" xr:uid="{00000000-0005-0000-0000-0000F10D0000}"/>
    <cellStyle name="Normal 12 2 2 6 2 2 2" xfId="27089" xr:uid="{6147ED51-FEA1-49B8-9BE3-EB1CD22AC500}"/>
    <cellStyle name="Normal 12 2 2 6 2 2 3" xfId="17790" xr:uid="{48800FCF-D91A-40A2-89F3-BF9FE770689C}"/>
    <cellStyle name="Normal 12 2 2 6 2 3" xfId="22872" xr:uid="{7D57A77E-59B7-46B7-88F8-7D8FF1809523}"/>
    <cellStyle name="Normal 12 2 2 6 2 4" xfId="13573" xr:uid="{1DFE643E-FA99-47D0-91D9-BE6CCE36C347}"/>
    <cellStyle name="Normal 12 2 2 6 3" xfId="6319" xr:uid="{00000000-0005-0000-0000-0000F20D0000}"/>
    <cellStyle name="Normal 12 2 2 6 3 2" xfId="24944" xr:uid="{D6FBAF77-A162-4CDC-BF8A-06433B5154E3}"/>
    <cellStyle name="Normal 12 2 2 6 3 3" xfId="15645" xr:uid="{7BBD8B8B-15C0-433F-AEEC-66F0C3CF5728}"/>
    <cellStyle name="Normal 12 2 2 6 4" xfId="20727" xr:uid="{7B54D5A4-7442-4C34-93FF-86962EC54042}"/>
    <cellStyle name="Normal 12 2 2 6 5" xfId="11428" xr:uid="{0E8F76D3-2209-4342-996C-570973611CDD}"/>
    <cellStyle name="Normal 12 2 2 7" xfId="2449" xr:uid="{00000000-0005-0000-0000-0000F30D0000}"/>
    <cellStyle name="Normal 12 2 2 7 2" xfId="6732" xr:uid="{00000000-0005-0000-0000-0000F40D0000}"/>
    <cellStyle name="Normal 12 2 2 7 2 2" xfId="25357" xr:uid="{4BA01870-ACF8-4B66-BEE8-F81E14CA0250}"/>
    <cellStyle name="Normal 12 2 2 7 2 3" xfId="16058" xr:uid="{B00BFDEF-4BF2-42C2-8C05-F1BE043CBBE6}"/>
    <cellStyle name="Normal 12 2 2 7 3" xfId="21140" xr:uid="{F1C53B4B-1D0F-4175-ABBF-B73B7B8D31EA}"/>
    <cellStyle name="Normal 12 2 2 7 4" xfId="11841" xr:uid="{4C3E0824-8E27-4883-8862-70037C3D32D9}"/>
    <cellStyle name="Normal 12 2 2 8" xfId="4666" xr:uid="{00000000-0005-0000-0000-0000F50D0000}"/>
    <cellStyle name="Normal 12 2 2 8 2" xfId="23291" xr:uid="{C63ABC6F-415F-4666-A143-3F19F06F0180}"/>
    <cellStyle name="Normal 12 2 2 8 3" xfId="13992" xr:uid="{235BFEA2-AC9A-4FA3-A760-497E8A3030BD}"/>
    <cellStyle name="Normal 12 2 2 9" xfId="8914" xr:uid="{85903DBC-FA0A-4A9D-9FB4-BA36A4B6F510}"/>
    <cellStyle name="Normal 12 2 2 9 2" xfId="27537" xr:uid="{1DE703E0-F55D-483C-A5B5-95470ACB8122}"/>
    <cellStyle name="Normal 12 2 2 9 3" xfId="18238" xr:uid="{2814EBAB-53C6-4977-8254-39DAF6FB8681}"/>
    <cellStyle name="Normal 12 2 3" xfId="263" xr:uid="{00000000-0005-0000-0000-0000F60D0000}"/>
    <cellStyle name="Normal 12 2 3 10" xfId="9777" xr:uid="{EC85B71C-CC71-4FC7-AB6B-68782E077DD8}"/>
    <cellStyle name="Normal 12 2 3 2" xfId="764" xr:uid="{00000000-0005-0000-0000-0000F70D0000}"/>
    <cellStyle name="Normal 12 2 3 2 2" xfId="3005" xr:uid="{00000000-0005-0000-0000-0000F80D0000}"/>
    <cellStyle name="Normal 12 2 3 2 2 2" xfId="7227" xr:uid="{00000000-0005-0000-0000-0000F90D0000}"/>
    <cellStyle name="Normal 12 2 3 2 2 2 2" xfId="25852" xr:uid="{5DE0BE6E-6DF8-48B1-9BBF-7964D12CD616}"/>
    <cellStyle name="Normal 12 2 3 2 2 2 3" xfId="16553" xr:uid="{A54F8D93-42E0-4187-860F-0D1A5542681A}"/>
    <cellStyle name="Normal 12 2 3 2 2 3" xfId="21635" xr:uid="{4922E1BD-0A77-4B41-A850-5B090E32FA10}"/>
    <cellStyle name="Normal 12 2 3 2 2 4" xfId="12336" xr:uid="{2F0819B7-D1CA-42A2-BDA9-404557DE961C}"/>
    <cellStyle name="Normal 12 2 3 2 3" xfId="5082" xr:uid="{00000000-0005-0000-0000-0000FA0D0000}"/>
    <cellStyle name="Normal 12 2 3 2 3 2" xfId="23707" xr:uid="{ECA1AA67-C09B-423E-8650-752BB2770349}"/>
    <cellStyle name="Normal 12 2 3 2 3 3" xfId="14408" xr:uid="{90CFEF51-26FE-4A2B-8861-CCBCE41A3E3F}"/>
    <cellStyle name="Normal 12 2 3 2 4" xfId="9443" xr:uid="{61F0A971-1285-4215-8170-49D07520551A}"/>
    <cellStyle name="Normal 12 2 3 2 4 2" xfId="28057" xr:uid="{6372AFDE-5DC0-438E-85A6-5F3018D0688B}"/>
    <cellStyle name="Normal 12 2 3 2 4 3" xfId="18758" xr:uid="{46359243-C08F-4EEE-A090-C2A2BA71C905}"/>
    <cellStyle name="Normal 12 2 3 2 5" xfId="19490" xr:uid="{CA8BF1AE-FFD5-4793-99BD-DD09F78602A6}"/>
    <cellStyle name="Normal 12 2 3 2 6" xfId="10191" xr:uid="{BAAED27E-FFF8-4FC8-A133-25F2CC9D9634}"/>
    <cellStyle name="Normal 12 2 3 3" xfId="1187" xr:uid="{00000000-0005-0000-0000-0000FB0D0000}"/>
    <cellStyle name="Normal 12 2 3 3 2" xfId="3418" xr:uid="{00000000-0005-0000-0000-0000FC0D0000}"/>
    <cellStyle name="Normal 12 2 3 3 2 2" xfId="7640" xr:uid="{00000000-0005-0000-0000-0000FD0D0000}"/>
    <cellStyle name="Normal 12 2 3 3 2 2 2" xfId="26265" xr:uid="{E5A7D085-5591-414D-B531-9937CC5FA2F9}"/>
    <cellStyle name="Normal 12 2 3 3 2 2 3" xfId="16966" xr:uid="{1746DE48-98D6-4D11-91A3-8DE810A1776F}"/>
    <cellStyle name="Normal 12 2 3 3 2 3" xfId="22048" xr:uid="{43D8BF91-0924-4822-B4D9-7F7F187E6A2D}"/>
    <cellStyle name="Normal 12 2 3 3 2 4" xfId="12749" xr:uid="{DA25E78F-B3F4-47A8-9956-F08B9E6128D7}"/>
    <cellStyle name="Normal 12 2 3 3 3" xfId="5495" xr:uid="{00000000-0005-0000-0000-0000FE0D0000}"/>
    <cellStyle name="Normal 12 2 3 3 3 2" xfId="24120" xr:uid="{3878A15C-AD0E-4302-966E-922AAD632986}"/>
    <cellStyle name="Normal 12 2 3 3 3 3" xfId="14821" xr:uid="{0B079129-B4F5-48AE-BE62-77F005DB6CF4}"/>
    <cellStyle name="Normal 12 2 3 3 4" xfId="19903" xr:uid="{F62F8FFE-5E11-499A-B370-FE024553D6D5}"/>
    <cellStyle name="Normal 12 2 3 3 5" xfId="10604" xr:uid="{92D765AA-834F-443B-BAF8-B6A92DEB4F36}"/>
    <cellStyle name="Normal 12 2 3 4" xfId="1601" xr:uid="{00000000-0005-0000-0000-0000FF0D0000}"/>
    <cellStyle name="Normal 12 2 3 4 2" xfId="3831" xr:uid="{00000000-0005-0000-0000-0000000E0000}"/>
    <cellStyle name="Normal 12 2 3 4 2 2" xfId="8053" xr:uid="{00000000-0005-0000-0000-0000010E0000}"/>
    <cellStyle name="Normal 12 2 3 4 2 2 2" xfId="26678" xr:uid="{CEE3DEA7-F7B6-4D54-8E47-CEBABAF32FEC}"/>
    <cellStyle name="Normal 12 2 3 4 2 2 3" xfId="17379" xr:uid="{C016AEBF-FD38-4F92-9CC8-091AE255EAD5}"/>
    <cellStyle name="Normal 12 2 3 4 2 3" xfId="22461" xr:uid="{815CCAE6-3E36-4D29-BA42-362437A840A6}"/>
    <cellStyle name="Normal 12 2 3 4 2 4" xfId="13162" xr:uid="{15C10D77-DDA7-4640-95A0-05613F206A29}"/>
    <cellStyle name="Normal 12 2 3 4 3" xfId="5908" xr:uid="{00000000-0005-0000-0000-0000020E0000}"/>
    <cellStyle name="Normal 12 2 3 4 3 2" xfId="24533" xr:uid="{E460FECF-72B4-4304-872E-1099933AA260}"/>
    <cellStyle name="Normal 12 2 3 4 3 3" xfId="15234" xr:uid="{538D2B29-CB44-432C-8015-3A9DB9A49981}"/>
    <cellStyle name="Normal 12 2 3 4 4" xfId="20316" xr:uid="{729F957B-8362-443C-AFD5-E9E94AE354BA}"/>
    <cellStyle name="Normal 12 2 3 4 5" xfId="11017" xr:uid="{B580A807-8E36-438D-864B-BC31D871D7DB}"/>
    <cellStyle name="Normal 12 2 3 5" xfId="2015" xr:uid="{00000000-0005-0000-0000-0000030E0000}"/>
    <cellStyle name="Normal 12 2 3 5 2" xfId="4244" xr:uid="{00000000-0005-0000-0000-0000040E0000}"/>
    <cellStyle name="Normal 12 2 3 5 2 2" xfId="8466" xr:uid="{00000000-0005-0000-0000-0000050E0000}"/>
    <cellStyle name="Normal 12 2 3 5 2 2 2" xfId="27091" xr:uid="{A4B92CD0-5423-4C5D-B0FE-1CEBEA2FE9ED}"/>
    <cellStyle name="Normal 12 2 3 5 2 2 3" xfId="17792" xr:uid="{19E1B695-6613-492E-9D70-9ED3E236C392}"/>
    <cellStyle name="Normal 12 2 3 5 2 3" xfId="22874" xr:uid="{7482B69A-071E-4299-AA15-1F7A24F432BD}"/>
    <cellStyle name="Normal 12 2 3 5 2 4" xfId="13575" xr:uid="{6F50223D-7285-4DB0-AD0B-89729CEDEEF4}"/>
    <cellStyle name="Normal 12 2 3 5 3" xfId="6321" xr:uid="{00000000-0005-0000-0000-0000060E0000}"/>
    <cellStyle name="Normal 12 2 3 5 3 2" xfId="24946" xr:uid="{848AF557-398B-407D-93C3-BAF4FAF83B39}"/>
    <cellStyle name="Normal 12 2 3 5 3 3" xfId="15647" xr:uid="{6C277BBD-14F4-43C2-8536-61F329E00BAD}"/>
    <cellStyle name="Normal 12 2 3 5 4" xfId="20729" xr:uid="{F5BA44CC-BA40-4889-A9D7-63FAA5CF6A97}"/>
    <cellStyle name="Normal 12 2 3 5 5" xfId="11430" xr:uid="{2759838C-8C85-4193-8EA5-83A39A29754E}"/>
    <cellStyle name="Normal 12 2 3 6" xfId="2451" xr:uid="{00000000-0005-0000-0000-0000070E0000}"/>
    <cellStyle name="Normal 12 2 3 6 2" xfId="6734" xr:uid="{00000000-0005-0000-0000-0000080E0000}"/>
    <cellStyle name="Normal 12 2 3 6 2 2" xfId="25359" xr:uid="{768A9C71-FB27-4225-9F28-A90E5CB23492}"/>
    <cellStyle name="Normal 12 2 3 6 2 3" xfId="16060" xr:uid="{F1D03F84-6921-47AA-A628-C103DC5D10B2}"/>
    <cellStyle name="Normal 12 2 3 6 3" xfId="21142" xr:uid="{7D822957-91B0-4FBF-9226-973C05DF5D8E}"/>
    <cellStyle name="Normal 12 2 3 6 4" xfId="11843" xr:uid="{F834FFA7-6518-4C4B-97ED-FB197E7B3B58}"/>
    <cellStyle name="Normal 12 2 3 7" xfId="4668" xr:uid="{00000000-0005-0000-0000-0000090E0000}"/>
    <cellStyle name="Normal 12 2 3 7 2" xfId="23293" xr:uid="{7D28BFAB-F10D-47FB-B841-40D9C0555CFC}"/>
    <cellStyle name="Normal 12 2 3 7 3" xfId="13994" xr:uid="{E5B73E1E-3D08-4F81-A019-7258009F354D}"/>
    <cellStyle name="Normal 12 2 3 8" xfId="9018" xr:uid="{C3F41DC6-3A80-4145-A68D-169ABB54B6D0}"/>
    <cellStyle name="Normal 12 2 3 8 2" xfId="27641" xr:uid="{0BB6CAED-49AB-4455-AE08-DF65C8849DDA}"/>
    <cellStyle name="Normal 12 2 3 8 3" xfId="18342" xr:uid="{7492F3CF-6971-4341-B2A0-7670E87419D6}"/>
    <cellStyle name="Normal 12 2 3 9" xfId="19076" xr:uid="{0E4BFE77-4D60-4AE3-AA15-0BCF50DD90BE}"/>
    <cellStyle name="Normal 12 2 4" xfId="761" xr:uid="{00000000-0005-0000-0000-00000A0E0000}"/>
    <cellStyle name="Normal 12 2 4 2" xfId="3002" xr:uid="{00000000-0005-0000-0000-00000B0E0000}"/>
    <cellStyle name="Normal 12 2 4 2 2" xfId="7224" xr:uid="{00000000-0005-0000-0000-00000C0E0000}"/>
    <cellStyle name="Normal 12 2 4 2 2 2" xfId="25849" xr:uid="{19D646A8-146C-4C05-8BA4-F6911AE64F0E}"/>
    <cellStyle name="Normal 12 2 4 2 2 3" xfId="16550" xr:uid="{D4667441-F818-49E0-82D6-6533093E884D}"/>
    <cellStyle name="Normal 12 2 4 2 3" xfId="21632" xr:uid="{72705D13-52A8-4256-BAB6-2FC097078415}"/>
    <cellStyle name="Normal 12 2 4 2 4" xfId="12333" xr:uid="{066819E3-4D61-4154-AF1B-2E8447D48D71}"/>
    <cellStyle name="Normal 12 2 4 3" xfId="5079" xr:uid="{00000000-0005-0000-0000-00000D0E0000}"/>
    <cellStyle name="Normal 12 2 4 3 2" xfId="23704" xr:uid="{D60BFB8A-956D-4B6A-82BC-C74229BEBD03}"/>
    <cellStyle name="Normal 12 2 4 3 3" xfId="14405" xr:uid="{BC1E3BB2-9BA6-4DD9-B8F2-9F71C2E1E439}"/>
    <cellStyle name="Normal 12 2 4 4" xfId="9236" xr:uid="{C3D0196D-4BB3-4870-9762-A3CF40E5B45B}"/>
    <cellStyle name="Normal 12 2 4 4 2" xfId="27850" xr:uid="{6B68AE40-3E97-4C27-A7B9-F2772E20ADE2}"/>
    <cellStyle name="Normal 12 2 4 4 3" xfId="18551" xr:uid="{26939CFF-C40F-46AD-A066-E118177132CB}"/>
    <cellStyle name="Normal 12 2 4 5" xfId="19487" xr:uid="{2403F8F8-F7C8-45C6-920E-F13591705E7D}"/>
    <cellStyle name="Normal 12 2 4 6" xfId="10188" xr:uid="{A74EEC10-5630-415D-8D07-A6C3C34D36E4}"/>
    <cellStyle name="Normal 12 2 5" xfId="1184" xr:uid="{00000000-0005-0000-0000-00000E0E0000}"/>
    <cellStyle name="Normal 12 2 5 2" xfId="3415" xr:uid="{00000000-0005-0000-0000-00000F0E0000}"/>
    <cellStyle name="Normal 12 2 5 2 2" xfId="7637" xr:uid="{00000000-0005-0000-0000-0000100E0000}"/>
    <cellStyle name="Normal 12 2 5 2 2 2" xfId="26262" xr:uid="{A94D4D4C-17A5-4024-BC77-A2AACC4CEF65}"/>
    <cellStyle name="Normal 12 2 5 2 2 3" xfId="16963" xr:uid="{082337CB-6684-4ED3-8AC0-C6D82B3CE6CB}"/>
    <cellStyle name="Normal 12 2 5 2 3" xfId="22045" xr:uid="{6820DF98-F6D6-45C3-8C7C-259609DD0DDB}"/>
    <cellStyle name="Normal 12 2 5 2 4" xfId="12746" xr:uid="{57CD6C3B-12FD-4B00-A559-449B7DBBC797}"/>
    <cellStyle name="Normal 12 2 5 3" xfId="5492" xr:uid="{00000000-0005-0000-0000-0000110E0000}"/>
    <cellStyle name="Normal 12 2 5 3 2" xfId="24117" xr:uid="{B8BAA412-0CF8-4557-BD8B-B3AE979C38DD}"/>
    <cellStyle name="Normal 12 2 5 3 3" xfId="14818" xr:uid="{E12FF9A4-EE39-42AF-9F58-7E941B4DDD0A}"/>
    <cellStyle name="Normal 12 2 5 4" xfId="19900" xr:uid="{550ABB97-BA6C-4063-8D79-8A363E1182C7}"/>
    <cellStyle name="Normal 12 2 5 5" xfId="10601" xr:uid="{1C0BC1AD-AEEC-4D31-8F03-597903C8D96F}"/>
    <cellStyle name="Normal 12 2 6" xfId="1598" xr:uid="{00000000-0005-0000-0000-0000120E0000}"/>
    <cellStyle name="Normal 12 2 6 2" xfId="3828" xr:uid="{00000000-0005-0000-0000-0000130E0000}"/>
    <cellStyle name="Normal 12 2 6 2 2" xfId="8050" xr:uid="{00000000-0005-0000-0000-0000140E0000}"/>
    <cellStyle name="Normal 12 2 6 2 2 2" xfId="26675" xr:uid="{EF85184F-4278-4EB8-80F6-F4A0DADC3DFA}"/>
    <cellStyle name="Normal 12 2 6 2 2 3" xfId="17376" xr:uid="{58F4F7CC-43D1-4888-942B-6E324DFBB314}"/>
    <cellStyle name="Normal 12 2 6 2 3" xfId="22458" xr:uid="{8C5FAD94-9A80-4585-8535-2179AE82DBC4}"/>
    <cellStyle name="Normal 12 2 6 2 4" xfId="13159" xr:uid="{4C4F8242-D840-4C4D-B087-B0B43E785A71}"/>
    <cellStyle name="Normal 12 2 6 3" xfId="5905" xr:uid="{00000000-0005-0000-0000-0000150E0000}"/>
    <cellStyle name="Normal 12 2 6 3 2" xfId="24530" xr:uid="{A9790F02-B7C0-4832-9273-13039CDE6228}"/>
    <cellStyle name="Normal 12 2 6 3 3" xfId="15231" xr:uid="{E54C4709-2690-4DF9-84C6-07FBBF694620}"/>
    <cellStyle name="Normal 12 2 6 4" xfId="20313" xr:uid="{F631DBC1-F6A8-4444-97CC-2095DFB3CE47}"/>
    <cellStyle name="Normal 12 2 6 5" xfId="11014" xr:uid="{911FE678-1A14-483F-A784-BB0D01B8A531}"/>
    <cellStyle name="Normal 12 2 7" xfId="2012" xr:uid="{00000000-0005-0000-0000-0000160E0000}"/>
    <cellStyle name="Normal 12 2 7 2" xfId="4241" xr:uid="{00000000-0005-0000-0000-0000170E0000}"/>
    <cellStyle name="Normal 12 2 7 2 2" xfId="8463" xr:uid="{00000000-0005-0000-0000-0000180E0000}"/>
    <cellStyle name="Normal 12 2 7 2 2 2" xfId="27088" xr:uid="{4D51C881-3F4C-4FC5-9526-7163F08A8B2A}"/>
    <cellStyle name="Normal 12 2 7 2 2 3" xfId="17789" xr:uid="{C1F4E7A2-03A5-4D06-BF4A-CD3258AD17D6}"/>
    <cellStyle name="Normal 12 2 7 2 3" xfId="22871" xr:uid="{CD664B0C-A43A-4BFC-89C3-05667B82110C}"/>
    <cellStyle name="Normal 12 2 7 2 4" xfId="13572" xr:uid="{3D4277A0-A325-4B77-B1DF-F0511ED43DF8}"/>
    <cellStyle name="Normal 12 2 7 3" xfId="6318" xr:uid="{00000000-0005-0000-0000-0000190E0000}"/>
    <cellStyle name="Normal 12 2 7 3 2" xfId="24943" xr:uid="{306571A5-DE3C-4FA8-9694-8E5C85B1293A}"/>
    <cellStyle name="Normal 12 2 7 3 3" xfId="15644" xr:uid="{4046F862-F992-487A-ABB5-702C188B9884}"/>
    <cellStyle name="Normal 12 2 7 4" xfId="20726" xr:uid="{673AC6A9-C05E-48D8-AC3B-BE8D06081F45}"/>
    <cellStyle name="Normal 12 2 7 5" xfId="11427" xr:uid="{7FC04ED2-F68B-4939-8620-2035BB6EDDE5}"/>
    <cellStyle name="Normal 12 2 8" xfId="2448" xr:uid="{00000000-0005-0000-0000-00001A0E0000}"/>
    <cellStyle name="Normal 12 2 8 2" xfId="6731" xr:uid="{00000000-0005-0000-0000-00001B0E0000}"/>
    <cellStyle name="Normal 12 2 8 2 2" xfId="25356" xr:uid="{DCEEA64F-6015-4B0E-B39D-93F1DD003C09}"/>
    <cellStyle name="Normal 12 2 8 2 3" xfId="16057" xr:uid="{59BB1F0C-6198-42DC-8A1B-0C126C8B8168}"/>
    <cellStyle name="Normal 12 2 8 3" xfId="21139" xr:uid="{657BB803-7EFD-4A35-812E-E1E52BD49D25}"/>
    <cellStyle name="Normal 12 2 8 4" xfId="11840" xr:uid="{18A9DE7E-3D70-4467-9AFE-F1AE874BC2FA}"/>
    <cellStyle name="Normal 12 2 9" xfId="4665" xr:uid="{00000000-0005-0000-0000-00001C0E0000}"/>
    <cellStyle name="Normal 12 2 9 2" xfId="23290" xr:uid="{4DEB3CF9-229D-4166-8504-55C8FD3861AF}"/>
    <cellStyle name="Normal 12 2 9 3" xfId="13991" xr:uid="{C0B4EBE4-6988-4FDA-91AD-1BABF73F2472}"/>
    <cellStyle name="Normal 12 3" xfId="264" xr:uid="{00000000-0005-0000-0000-00001D0E0000}"/>
    <cellStyle name="Normal 12 3 10" xfId="19077" xr:uid="{BC1269E0-7BCC-4557-82BC-E7BDFFDE024F}"/>
    <cellStyle name="Normal 12 3 11" xfId="9778" xr:uid="{7F18E3A7-18E8-4E80-A29B-0EA0F8BED8EE}"/>
    <cellStyle name="Normal 12 3 2" xfId="265" xr:uid="{00000000-0005-0000-0000-00001E0E0000}"/>
    <cellStyle name="Normal 12 3 2 10" xfId="9779" xr:uid="{8494BB37-9B19-4C37-9071-81E6C0EBC1EB}"/>
    <cellStyle name="Normal 12 3 2 2" xfId="766" xr:uid="{00000000-0005-0000-0000-00001F0E0000}"/>
    <cellStyle name="Normal 12 3 2 2 2" xfId="3007" xr:uid="{00000000-0005-0000-0000-0000200E0000}"/>
    <cellStyle name="Normal 12 3 2 2 2 2" xfId="7229" xr:uid="{00000000-0005-0000-0000-0000210E0000}"/>
    <cellStyle name="Normal 12 3 2 2 2 2 2" xfId="25854" xr:uid="{0792EE73-3B56-41AA-A195-77A6E4FB063B}"/>
    <cellStyle name="Normal 12 3 2 2 2 2 3" xfId="16555" xr:uid="{F3D36866-0798-4C34-B884-52B89704B270}"/>
    <cellStyle name="Normal 12 3 2 2 2 3" xfId="21637" xr:uid="{12B0001B-D5CC-425A-9994-E5A86866B7BE}"/>
    <cellStyle name="Normal 12 3 2 2 2 4" xfId="12338" xr:uid="{69A1AD41-1EF2-4473-832C-85803C070D42}"/>
    <cellStyle name="Normal 12 3 2 2 3" xfId="5084" xr:uid="{00000000-0005-0000-0000-0000220E0000}"/>
    <cellStyle name="Normal 12 3 2 2 3 2" xfId="23709" xr:uid="{FDD66B35-1BD5-40B3-B847-030C154760BB}"/>
    <cellStyle name="Normal 12 3 2 2 3 3" xfId="14410" xr:uid="{AFFF9B44-135C-4733-BDAA-C82A1E712951}"/>
    <cellStyle name="Normal 12 3 2 2 4" xfId="9505" xr:uid="{B127619B-367D-40AD-851E-01DDBB2DCD13}"/>
    <cellStyle name="Normal 12 3 2 2 4 2" xfId="28119" xr:uid="{7BBE0836-A4A3-44A1-B519-436D9B79F6A2}"/>
    <cellStyle name="Normal 12 3 2 2 4 3" xfId="18820" xr:uid="{5B27AB18-B69D-46C9-BF48-B14E2FD3A229}"/>
    <cellStyle name="Normal 12 3 2 2 5" xfId="19492" xr:uid="{E559A9D8-4566-44D2-ACA9-AE118E0AFD89}"/>
    <cellStyle name="Normal 12 3 2 2 6" xfId="10193" xr:uid="{54B5C05F-BE81-4086-A0BA-B888FE004561}"/>
    <cellStyle name="Normal 12 3 2 3" xfId="1189" xr:uid="{00000000-0005-0000-0000-0000230E0000}"/>
    <cellStyle name="Normal 12 3 2 3 2" xfId="3420" xr:uid="{00000000-0005-0000-0000-0000240E0000}"/>
    <cellStyle name="Normal 12 3 2 3 2 2" xfId="7642" xr:uid="{00000000-0005-0000-0000-0000250E0000}"/>
    <cellStyle name="Normal 12 3 2 3 2 2 2" xfId="26267" xr:uid="{113C046C-576B-4B7F-8E33-443B9DBDAEA6}"/>
    <cellStyle name="Normal 12 3 2 3 2 2 3" xfId="16968" xr:uid="{3A884313-B533-4D20-B8A3-1D5F57872D14}"/>
    <cellStyle name="Normal 12 3 2 3 2 3" xfId="22050" xr:uid="{CEEDC3EC-BE7A-4763-915B-C36736386C07}"/>
    <cellStyle name="Normal 12 3 2 3 2 4" xfId="12751" xr:uid="{9BB2B6B1-77E8-4F0F-9B25-CB3EDF38AF7D}"/>
    <cellStyle name="Normal 12 3 2 3 3" xfId="5497" xr:uid="{00000000-0005-0000-0000-0000260E0000}"/>
    <cellStyle name="Normal 12 3 2 3 3 2" xfId="24122" xr:uid="{CCC7ADB4-CDC0-43FC-A5AF-5E5E2DF8DF1A}"/>
    <cellStyle name="Normal 12 3 2 3 3 3" xfId="14823" xr:uid="{DC39693A-8C14-4AE8-B716-BA91F15EB08C}"/>
    <cellStyle name="Normal 12 3 2 3 4" xfId="19905" xr:uid="{005C7B59-FC81-47F6-B19C-CFFBAF0D25AF}"/>
    <cellStyle name="Normal 12 3 2 3 5" xfId="10606" xr:uid="{3776BF1C-9E5B-4551-A582-C92F61A09668}"/>
    <cellStyle name="Normal 12 3 2 4" xfId="1603" xr:uid="{00000000-0005-0000-0000-0000270E0000}"/>
    <cellStyle name="Normal 12 3 2 4 2" xfId="3833" xr:uid="{00000000-0005-0000-0000-0000280E0000}"/>
    <cellStyle name="Normal 12 3 2 4 2 2" xfId="8055" xr:uid="{00000000-0005-0000-0000-0000290E0000}"/>
    <cellStyle name="Normal 12 3 2 4 2 2 2" xfId="26680" xr:uid="{A2758705-FEAE-44AA-837F-44B6A849D151}"/>
    <cellStyle name="Normal 12 3 2 4 2 2 3" xfId="17381" xr:uid="{F99A0656-8F78-4E4E-8299-02B24C13C7AD}"/>
    <cellStyle name="Normal 12 3 2 4 2 3" xfId="22463" xr:uid="{D0448895-D09F-4E6A-8833-952B39EA49A7}"/>
    <cellStyle name="Normal 12 3 2 4 2 4" xfId="13164" xr:uid="{23E569C0-4E8D-450C-BC74-D49FBBDB6401}"/>
    <cellStyle name="Normal 12 3 2 4 3" xfId="5910" xr:uid="{00000000-0005-0000-0000-00002A0E0000}"/>
    <cellStyle name="Normal 12 3 2 4 3 2" xfId="24535" xr:uid="{C42B0A13-88A1-400A-98C3-DF2BE1EFB8D3}"/>
    <cellStyle name="Normal 12 3 2 4 3 3" xfId="15236" xr:uid="{75FA0A9F-1DF9-46E7-98AB-AA7A21134FC2}"/>
    <cellStyle name="Normal 12 3 2 4 4" xfId="20318" xr:uid="{453C7ECF-4219-4811-B03B-7754333E13A0}"/>
    <cellStyle name="Normal 12 3 2 4 5" xfId="11019" xr:uid="{B3ADD0A5-C51D-4D82-9DE2-38AF0DDD88B8}"/>
    <cellStyle name="Normal 12 3 2 5" xfId="2017" xr:uid="{00000000-0005-0000-0000-00002B0E0000}"/>
    <cellStyle name="Normal 12 3 2 5 2" xfId="4246" xr:uid="{00000000-0005-0000-0000-00002C0E0000}"/>
    <cellStyle name="Normal 12 3 2 5 2 2" xfId="8468" xr:uid="{00000000-0005-0000-0000-00002D0E0000}"/>
    <cellStyle name="Normal 12 3 2 5 2 2 2" xfId="27093" xr:uid="{8F0674F0-2325-43D6-AFF9-E6E88C6C8B62}"/>
    <cellStyle name="Normal 12 3 2 5 2 2 3" xfId="17794" xr:uid="{A0E02DB1-9916-40D9-AB8A-66C1BE1E9A9D}"/>
    <cellStyle name="Normal 12 3 2 5 2 3" xfId="22876" xr:uid="{462A7925-7002-4AD5-BA01-02B18D745229}"/>
    <cellStyle name="Normal 12 3 2 5 2 4" xfId="13577" xr:uid="{487CF377-6A8F-4717-A1D9-89C8600189D8}"/>
    <cellStyle name="Normal 12 3 2 5 3" xfId="6323" xr:uid="{00000000-0005-0000-0000-00002E0E0000}"/>
    <cellStyle name="Normal 12 3 2 5 3 2" xfId="24948" xr:uid="{53911E63-4E2F-4938-B0F8-40ECD9D46E6E}"/>
    <cellStyle name="Normal 12 3 2 5 3 3" xfId="15649" xr:uid="{109A3A70-2E51-4E68-8AA5-F56AB04AD443}"/>
    <cellStyle name="Normal 12 3 2 5 4" xfId="20731" xr:uid="{9FA7BCAB-F5C6-40EE-B67D-38B177FFE7A5}"/>
    <cellStyle name="Normal 12 3 2 5 5" xfId="11432" xr:uid="{1B493105-93EC-4F92-A85C-E6F76EDA422F}"/>
    <cellStyle name="Normal 12 3 2 6" xfId="2453" xr:uid="{00000000-0005-0000-0000-00002F0E0000}"/>
    <cellStyle name="Normal 12 3 2 6 2" xfId="6736" xr:uid="{00000000-0005-0000-0000-0000300E0000}"/>
    <cellStyle name="Normal 12 3 2 6 2 2" xfId="25361" xr:uid="{042A2E05-11A8-4214-BD15-7A103D3A7E18}"/>
    <cellStyle name="Normal 12 3 2 6 2 3" xfId="16062" xr:uid="{C4EDE7C3-8DAD-48F9-9A30-F611E5E780FE}"/>
    <cellStyle name="Normal 12 3 2 6 3" xfId="21144" xr:uid="{B6F5E741-6F0A-488B-9F49-841E101E9FC2}"/>
    <cellStyle name="Normal 12 3 2 6 4" xfId="11845" xr:uid="{A871C8CE-A46F-49D3-9E46-BABA6E6EAD13}"/>
    <cellStyle name="Normal 12 3 2 7" xfId="4670" xr:uid="{00000000-0005-0000-0000-0000310E0000}"/>
    <cellStyle name="Normal 12 3 2 7 2" xfId="23295" xr:uid="{8A6098A5-CEA4-4146-9B6C-8EE55ECE9D1C}"/>
    <cellStyle name="Normal 12 3 2 7 3" xfId="13996" xr:uid="{B0C63E3F-2736-4C21-9E7E-F696B9C1160B}"/>
    <cellStyle name="Normal 12 3 2 8" xfId="9080" xr:uid="{403F3083-4A9F-4295-B676-C31241B8936E}"/>
    <cellStyle name="Normal 12 3 2 8 2" xfId="27703" xr:uid="{CA0022C3-CFFE-4BD7-8649-B7F102D4DBB7}"/>
    <cellStyle name="Normal 12 3 2 8 3" xfId="18404" xr:uid="{E7993EBD-3E77-4BE1-B4B9-CEA05ACBC5E7}"/>
    <cellStyle name="Normal 12 3 2 9" xfId="19078" xr:uid="{2C3F24C4-005F-4062-B927-EDEFBF3A6541}"/>
    <cellStyle name="Normal 12 3 3" xfId="765" xr:uid="{00000000-0005-0000-0000-0000320E0000}"/>
    <cellStyle name="Normal 12 3 3 2" xfId="3006" xr:uid="{00000000-0005-0000-0000-0000330E0000}"/>
    <cellStyle name="Normal 12 3 3 2 2" xfId="7228" xr:uid="{00000000-0005-0000-0000-0000340E0000}"/>
    <cellStyle name="Normal 12 3 3 2 2 2" xfId="25853" xr:uid="{3011D1D6-D39B-4F59-A36B-C45FBB3BC23C}"/>
    <cellStyle name="Normal 12 3 3 2 2 3" xfId="16554" xr:uid="{85AB3C3E-47A6-4537-B820-E5BC317EDDF1}"/>
    <cellStyle name="Normal 12 3 3 2 3" xfId="21636" xr:uid="{4B31EB1D-C2E6-4DCD-A534-F4498D0B5F02}"/>
    <cellStyle name="Normal 12 3 3 2 4" xfId="12337" xr:uid="{298D203B-66E6-438F-AC8E-D7B041127548}"/>
    <cellStyle name="Normal 12 3 3 3" xfId="5083" xr:uid="{00000000-0005-0000-0000-0000350E0000}"/>
    <cellStyle name="Normal 12 3 3 3 2" xfId="23708" xr:uid="{4C993353-BCB4-434D-A897-9AD5D92B8E7E}"/>
    <cellStyle name="Normal 12 3 3 3 3" xfId="14409" xr:uid="{DB46A285-82A8-415A-8FBF-7518C366FBB6}"/>
    <cellStyle name="Normal 12 3 3 4" xfId="9298" xr:uid="{A6F9D711-F86A-406D-B160-91678C261745}"/>
    <cellStyle name="Normal 12 3 3 4 2" xfId="27912" xr:uid="{1FEB1F11-4132-40E7-85F7-10A679F31956}"/>
    <cellStyle name="Normal 12 3 3 4 3" xfId="18613" xr:uid="{12F1EAAB-6A93-48FD-AC9F-487CD054396A}"/>
    <cellStyle name="Normal 12 3 3 5" xfId="19491" xr:uid="{3CD0E6C8-AE33-4252-AD62-0A10DEDAEEC3}"/>
    <cellStyle name="Normal 12 3 3 6" xfId="10192" xr:uid="{1680E488-4DC1-4A93-9E1C-2DE071D8BE4E}"/>
    <cellStyle name="Normal 12 3 4" xfId="1188" xr:uid="{00000000-0005-0000-0000-0000360E0000}"/>
    <cellStyle name="Normal 12 3 4 2" xfId="3419" xr:uid="{00000000-0005-0000-0000-0000370E0000}"/>
    <cellStyle name="Normal 12 3 4 2 2" xfId="7641" xr:uid="{00000000-0005-0000-0000-0000380E0000}"/>
    <cellStyle name="Normal 12 3 4 2 2 2" xfId="26266" xr:uid="{F88117ED-B5AB-490E-8FF0-F5FC4947BFA1}"/>
    <cellStyle name="Normal 12 3 4 2 2 3" xfId="16967" xr:uid="{E5295B92-604E-498B-BE2D-C926AE6970D7}"/>
    <cellStyle name="Normal 12 3 4 2 3" xfId="22049" xr:uid="{2E15F201-11A0-4555-9D7C-0396F99E9113}"/>
    <cellStyle name="Normal 12 3 4 2 4" xfId="12750" xr:uid="{64A46A67-1E22-4D59-9D81-3C69E8D3A495}"/>
    <cellStyle name="Normal 12 3 4 3" xfId="5496" xr:uid="{00000000-0005-0000-0000-0000390E0000}"/>
    <cellStyle name="Normal 12 3 4 3 2" xfId="24121" xr:uid="{E78429CB-A672-4493-8D09-FEE745B978F0}"/>
    <cellStyle name="Normal 12 3 4 3 3" xfId="14822" xr:uid="{BEAD5147-B2D5-486E-B535-EF32429060E2}"/>
    <cellStyle name="Normal 12 3 4 4" xfId="19904" xr:uid="{EEF40013-751A-4764-BF18-F56E41388356}"/>
    <cellStyle name="Normal 12 3 4 5" xfId="10605" xr:uid="{CA7E17EB-77EF-4EFA-B88B-1AC212D24552}"/>
    <cellStyle name="Normal 12 3 5" xfId="1602" xr:uid="{00000000-0005-0000-0000-00003A0E0000}"/>
    <cellStyle name="Normal 12 3 5 2" xfId="3832" xr:uid="{00000000-0005-0000-0000-00003B0E0000}"/>
    <cellStyle name="Normal 12 3 5 2 2" xfId="8054" xr:uid="{00000000-0005-0000-0000-00003C0E0000}"/>
    <cellStyle name="Normal 12 3 5 2 2 2" xfId="26679" xr:uid="{DA719E2A-331A-42FC-AA92-6FA83A7D5380}"/>
    <cellStyle name="Normal 12 3 5 2 2 3" xfId="17380" xr:uid="{119D9B09-C169-4DD2-9882-C23B1597311A}"/>
    <cellStyle name="Normal 12 3 5 2 3" xfId="22462" xr:uid="{2C3EAC67-CAA2-4185-A9AC-C15FEE90B746}"/>
    <cellStyle name="Normal 12 3 5 2 4" xfId="13163" xr:uid="{1A90E61F-C20E-4E1E-8D75-F719C6FC7084}"/>
    <cellStyle name="Normal 12 3 5 3" xfId="5909" xr:uid="{00000000-0005-0000-0000-00003D0E0000}"/>
    <cellStyle name="Normal 12 3 5 3 2" xfId="24534" xr:uid="{42768519-828D-44A0-BDFA-3FE56BC6CC15}"/>
    <cellStyle name="Normal 12 3 5 3 3" xfId="15235" xr:uid="{76BB98C1-6B75-4E50-8B7C-192C611D760A}"/>
    <cellStyle name="Normal 12 3 5 4" xfId="20317" xr:uid="{0F91412D-E1D5-4FD1-BE1A-B0FC1FEC7465}"/>
    <cellStyle name="Normal 12 3 5 5" xfId="11018" xr:uid="{67DDEA90-C2E7-4CD6-AE40-04F94E86BCFF}"/>
    <cellStyle name="Normal 12 3 6" xfId="2016" xr:uid="{00000000-0005-0000-0000-00003E0E0000}"/>
    <cellStyle name="Normal 12 3 6 2" xfId="4245" xr:uid="{00000000-0005-0000-0000-00003F0E0000}"/>
    <cellStyle name="Normal 12 3 6 2 2" xfId="8467" xr:uid="{00000000-0005-0000-0000-0000400E0000}"/>
    <cellStyle name="Normal 12 3 6 2 2 2" xfId="27092" xr:uid="{9C8C7CA4-94CB-491B-9D64-9112F1E53131}"/>
    <cellStyle name="Normal 12 3 6 2 2 3" xfId="17793" xr:uid="{CC2556D3-501A-4E45-BE82-EBE2EB58245F}"/>
    <cellStyle name="Normal 12 3 6 2 3" xfId="22875" xr:uid="{C9C75B84-2A71-4925-869A-F5438A9A49B7}"/>
    <cellStyle name="Normal 12 3 6 2 4" xfId="13576" xr:uid="{6E0B8AC5-C6C3-4595-8EA3-F222C42FF4B9}"/>
    <cellStyle name="Normal 12 3 6 3" xfId="6322" xr:uid="{00000000-0005-0000-0000-0000410E0000}"/>
    <cellStyle name="Normal 12 3 6 3 2" xfId="24947" xr:uid="{32ACCAF7-5C6F-4AE4-A022-166997F4C286}"/>
    <cellStyle name="Normal 12 3 6 3 3" xfId="15648" xr:uid="{54E8AA19-6903-4D78-996E-3B0014A3FBE9}"/>
    <cellStyle name="Normal 12 3 6 4" xfId="20730" xr:uid="{E4DBD3A9-8545-46DF-9D53-584BAC2AE9FC}"/>
    <cellStyle name="Normal 12 3 6 5" xfId="11431" xr:uid="{4AB27344-6960-4B91-893D-A43997648EBC}"/>
    <cellStyle name="Normal 12 3 7" xfId="2452" xr:uid="{00000000-0005-0000-0000-0000420E0000}"/>
    <cellStyle name="Normal 12 3 7 2" xfId="6735" xr:uid="{00000000-0005-0000-0000-0000430E0000}"/>
    <cellStyle name="Normal 12 3 7 2 2" xfId="25360" xr:uid="{57F7E9B9-579F-46BB-AF64-8282225FD8A4}"/>
    <cellStyle name="Normal 12 3 7 2 3" xfId="16061" xr:uid="{624F4BD6-D2ED-44DD-B7BD-C32892F56960}"/>
    <cellStyle name="Normal 12 3 7 3" xfId="21143" xr:uid="{473FA4D1-A34D-49EB-B93B-94CBACFCDA4E}"/>
    <cellStyle name="Normal 12 3 7 4" xfId="11844" xr:uid="{820EEF50-85B6-411B-982A-381F5502CD36}"/>
    <cellStyle name="Normal 12 3 8" xfId="4669" xr:uid="{00000000-0005-0000-0000-0000440E0000}"/>
    <cellStyle name="Normal 12 3 8 2" xfId="23294" xr:uid="{E10124E1-D342-496A-9782-9760207CC9A7}"/>
    <cellStyle name="Normal 12 3 8 3" xfId="13995" xr:uid="{D5CE96A3-D233-472A-87F9-D6F478E4C4E2}"/>
    <cellStyle name="Normal 12 3 9" xfId="8873" xr:uid="{72AE7E6C-F254-4BFC-80A7-F73848FA4F21}"/>
    <cellStyle name="Normal 12 3 9 2" xfId="27496" xr:uid="{8FBA3741-B91A-4DE5-84C9-EBCBD95A4E3E}"/>
    <cellStyle name="Normal 12 3 9 3" xfId="18197" xr:uid="{58887144-519E-41BD-8937-71B7C9663FDC}"/>
    <cellStyle name="Normal 12 4" xfId="266" xr:uid="{00000000-0005-0000-0000-0000450E0000}"/>
    <cellStyle name="Normal 12 4 10" xfId="9780" xr:uid="{A466E2CD-97CC-4284-B6D7-51398BBF104A}"/>
    <cellStyle name="Normal 12 4 2" xfId="767" xr:uid="{00000000-0005-0000-0000-0000460E0000}"/>
    <cellStyle name="Normal 12 4 2 2" xfId="3008" xr:uid="{00000000-0005-0000-0000-0000470E0000}"/>
    <cellStyle name="Normal 12 4 2 2 2" xfId="7230" xr:uid="{00000000-0005-0000-0000-0000480E0000}"/>
    <cellStyle name="Normal 12 4 2 2 2 2" xfId="25855" xr:uid="{425037A1-BB4D-45F7-8FC3-E6AD06591172}"/>
    <cellStyle name="Normal 12 4 2 2 2 3" xfId="16556" xr:uid="{416450B4-5DF5-4DC7-AFD8-8DEB2570BDCF}"/>
    <cellStyle name="Normal 12 4 2 2 3" xfId="21638" xr:uid="{87858948-407C-4AE0-8A60-B18391C007BB}"/>
    <cellStyle name="Normal 12 4 2 2 4" xfId="12339" xr:uid="{5F6352E4-EA79-4710-BF5B-7C722A21FF0E}"/>
    <cellStyle name="Normal 12 4 2 3" xfId="5085" xr:uid="{00000000-0005-0000-0000-0000490E0000}"/>
    <cellStyle name="Normal 12 4 2 3 2" xfId="23710" xr:uid="{7725A179-FCAA-4799-820A-25E20BB3D92C}"/>
    <cellStyle name="Normal 12 4 2 3 3" xfId="14411" xr:uid="{B3273E1E-99CD-45E6-ABBC-DE7A365E6513}"/>
    <cellStyle name="Normal 12 4 2 4" xfId="9402" xr:uid="{F40C9AB7-F4D0-4A65-BBAA-FF5409160FE5}"/>
    <cellStyle name="Normal 12 4 2 4 2" xfId="28016" xr:uid="{88A002F6-9596-4401-A49C-26108899C31D}"/>
    <cellStyle name="Normal 12 4 2 4 3" xfId="18717" xr:uid="{17CE9A9E-4F77-4EE6-9206-E7DDA33B7C3E}"/>
    <cellStyle name="Normal 12 4 2 5" xfId="19493" xr:uid="{93AEF41B-68C7-4A7E-99B9-825134221524}"/>
    <cellStyle name="Normal 12 4 2 6" xfId="10194" xr:uid="{81A03D60-F40F-44E1-AA19-9AE67D5E7D07}"/>
    <cellStyle name="Normal 12 4 3" xfId="1190" xr:uid="{00000000-0005-0000-0000-00004A0E0000}"/>
    <cellStyle name="Normal 12 4 3 2" xfId="3421" xr:uid="{00000000-0005-0000-0000-00004B0E0000}"/>
    <cellStyle name="Normal 12 4 3 2 2" xfId="7643" xr:uid="{00000000-0005-0000-0000-00004C0E0000}"/>
    <cellStyle name="Normal 12 4 3 2 2 2" xfId="26268" xr:uid="{BCCCA395-3963-43FB-B29D-0CF0FFB4C9FA}"/>
    <cellStyle name="Normal 12 4 3 2 2 3" xfId="16969" xr:uid="{8252D43E-7BC0-4C43-B8E9-2FD5C39AC002}"/>
    <cellStyle name="Normal 12 4 3 2 3" xfId="22051" xr:uid="{408527BE-2A1D-4FF9-975E-6E0BB9928BBF}"/>
    <cellStyle name="Normal 12 4 3 2 4" xfId="12752" xr:uid="{720CE346-2B2E-4AAD-B6EB-F555193BFADA}"/>
    <cellStyle name="Normal 12 4 3 3" xfId="5498" xr:uid="{00000000-0005-0000-0000-00004D0E0000}"/>
    <cellStyle name="Normal 12 4 3 3 2" xfId="24123" xr:uid="{4AF72FD1-C137-4E85-8168-DB8AE0B7C704}"/>
    <cellStyle name="Normal 12 4 3 3 3" xfId="14824" xr:uid="{46BE8F52-CC5D-48A4-A931-760EBE7D59D8}"/>
    <cellStyle name="Normal 12 4 3 4" xfId="19906" xr:uid="{1B259D23-FE82-4F94-9C78-F935BEF7FE9F}"/>
    <cellStyle name="Normal 12 4 3 5" xfId="10607" xr:uid="{8DFE203B-16B3-4CDD-BE33-5CB3134D13E7}"/>
    <cellStyle name="Normal 12 4 4" xfId="1604" xr:uid="{00000000-0005-0000-0000-00004E0E0000}"/>
    <cellStyle name="Normal 12 4 4 2" xfId="3834" xr:uid="{00000000-0005-0000-0000-00004F0E0000}"/>
    <cellStyle name="Normal 12 4 4 2 2" xfId="8056" xr:uid="{00000000-0005-0000-0000-0000500E0000}"/>
    <cellStyle name="Normal 12 4 4 2 2 2" xfId="26681" xr:uid="{0425D73A-8C87-4ACD-A1C0-CEFD9723FC8D}"/>
    <cellStyle name="Normal 12 4 4 2 2 3" xfId="17382" xr:uid="{4F6971AF-5AE4-4F26-9F37-975153AAB5AC}"/>
    <cellStyle name="Normal 12 4 4 2 3" xfId="22464" xr:uid="{C5FFEB45-10DA-41BF-AD9A-2E4BC80995DF}"/>
    <cellStyle name="Normal 12 4 4 2 4" xfId="13165" xr:uid="{4684F8F3-D6A5-4994-AADF-12E30C9B9944}"/>
    <cellStyle name="Normal 12 4 4 3" xfId="5911" xr:uid="{00000000-0005-0000-0000-0000510E0000}"/>
    <cellStyle name="Normal 12 4 4 3 2" xfId="24536" xr:uid="{22E0CA9F-4AC1-4D1B-B07D-8FA302D8ED22}"/>
    <cellStyle name="Normal 12 4 4 3 3" xfId="15237" xr:uid="{D64BB2A2-5618-4A51-B736-6FD3928BAD40}"/>
    <cellStyle name="Normal 12 4 4 4" xfId="20319" xr:uid="{C261EB90-3367-4498-BC2B-70E43F33B96E}"/>
    <cellStyle name="Normal 12 4 4 5" xfId="11020" xr:uid="{B738964D-6E2A-4AC4-A6A4-C1B359903B98}"/>
    <cellStyle name="Normal 12 4 5" xfId="2018" xr:uid="{00000000-0005-0000-0000-0000520E0000}"/>
    <cellStyle name="Normal 12 4 5 2" xfId="4247" xr:uid="{00000000-0005-0000-0000-0000530E0000}"/>
    <cellStyle name="Normal 12 4 5 2 2" xfId="8469" xr:uid="{00000000-0005-0000-0000-0000540E0000}"/>
    <cellStyle name="Normal 12 4 5 2 2 2" xfId="27094" xr:uid="{CB6D56FC-A422-434A-A238-570C4D774FDE}"/>
    <cellStyle name="Normal 12 4 5 2 2 3" xfId="17795" xr:uid="{FB4B8A32-AA2A-442F-8972-BDCE88C121CC}"/>
    <cellStyle name="Normal 12 4 5 2 3" xfId="22877" xr:uid="{DD67396B-C740-4F4A-81B4-38D17547DC13}"/>
    <cellStyle name="Normal 12 4 5 2 4" xfId="13578" xr:uid="{887B74BF-0991-48C5-9B7A-05373BE99DC0}"/>
    <cellStyle name="Normal 12 4 5 3" xfId="6324" xr:uid="{00000000-0005-0000-0000-0000550E0000}"/>
    <cellStyle name="Normal 12 4 5 3 2" xfId="24949" xr:uid="{74444397-212D-4085-AFA9-335031A0322F}"/>
    <cellStyle name="Normal 12 4 5 3 3" xfId="15650" xr:uid="{7F33FFCA-BA24-448E-A8D5-6CCC2B941E8E}"/>
    <cellStyle name="Normal 12 4 5 4" xfId="20732" xr:uid="{C79A9738-CC72-4799-AF10-B7E5C1F2B7B8}"/>
    <cellStyle name="Normal 12 4 5 5" xfId="11433" xr:uid="{B7431E30-07F6-454A-8B3B-B2CB3A9C7B85}"/>
    <cellStyle name="Normal 12 4 6" xfId="2454" xr:uid="{00000000-0005-0000-0000-0000560E0000}"/>
    <cellStyle name="Normal 12 4 6 2" xfId="6737" xr:uid="{00000000-0005-0000-0000-0000570E0000}"/>
    <cellStyle name="Normal 12 4 6 2 2" xfId="25362" xr:uid="{4365A520-7015-4558-99FD-79DB6BD950CA}"/>
    <cellStyle name="Normal 12 4 6 2 3" xfId="16063" xr:uid="{5C477964-CECF-4F80-8177-80B48DB58287}"/>
    <cellStyle name="Normal 12 4 6 3" xfId="21145" xr:uid="{344D9886-663E-4803-8B1C-020570A50488}"/>
    <cellStyle name="Normal 12 4 6 4" xfId="11846" xr:uid="{CC14F2B2-F442-4817-86B6-4AE0BAA3E438}"/>
    <cellStyle name="Normal 12 4 7" xfId="4671" xr:uid="{00000000-0005-0000-0000-0000580E0000}"/>
    <cellStyle name="Normal 12 4 7 2" xfId="23296" xr:uid="{E928F897-B39B-4F7D-8609-AB71DCFF4726}"/>
    <cellStyle name="Normal 12 4 7 3" xfId="13997" xr:uid="{FD251195-399B-4EF0-AA7A-3186EE1BE357}"/>
    <cellStyle name="Normal 12 4 8" xfId="8977" xr:uid="{5BFFE5F3-99F6-4DA1-A3EF-BF749B3B7ACB}"/>
    <cellStyle name="Normal 12 4 8 2" xfId="27600" xr:uid="{2F7CB8C3-4D6E-4280-8259-64E704C262FE}"/>
    <cellStyle name="Normal 12 4 8 3" xfId="18301" xr:uid="{81A03D0F-BDEF-4CD5-96F2-1933FC3C21FE}"/>
    <cellStyle name="Normal 12 4 9" xfId="19079" xr:uid="{A2686472-ACB1-4512-A528-A42A7D41999F}"/>
    <cellStyle name="Normal 12 5" xfId="267" xr:uid="{00000000-0005-0000-0000-0000590E0000}"/>
    <cellStyle name="Normal 12 5 2" xfId="9579" xr:uid="{43940F87-8803-4E34-B3E0-736FAF89CA32}"/>
    <cellStyle name="Normal 12 5 2 2" xfId="28193" xr:uid="{BF04D801-557F-44A0-A03D-3C271C1CADBB}"/>
    <cellStyle name="Normal 12 5 2 3" xfId="18894" xr:uid="{E727F7D8-3165-47A5-8FD7-4F2D0D907984}"/>
    <cellStyle name="Normal 12 5 3" xfId="9586" xr:uid="{72B01073-C2DA-4DF8-9E0D-6932F6AF67FF}"/>
    <cellStyle name="Normal 12 5 4" xfId="9156" xr:uid="{4BCB05AE-5738-4A10-9D4D-B3A4CD16FD2C}"/>
    <cellStyle name="Normal 12 5 4 2" xfId="27777" xr:uid="{9E1B6B3A-C6EC-4CE4-B152-03DF2AFD601C}"/>
    <cellStyle name="Normal 12 5 4 3" xfId="18478" xr:uid="{1FC8314D-6FBC-42D1-9E1B-A31C3DDBC768}"/>
    <cellStyle name="Normal 12 6" xfId="760" xr:uid="{00000000-0005-0000-0000-00005A0E0000}"/>
    <cellStyle name="Normal 12 6 2" xfId="3001" xr:uid="{00000000-0005-0000-0000-00005B0E0000}"/>
    <cellStyle name="Normal 12 6 2 2" xfId="7223" xr:uid="{00000000-0005-0000-0000-00005C0E0000}"/>
    <cellStyle name="Normal 12 6 2 2 2" xfId="25848" xr:uid="{BB2F8D46-2395-4618-8631-35BE3081BEBC}"/>
    <cellStyle name="Normal 12 6 2 2 3" xfId="16549" xr:uid="{E5C0CA8D-EABB-4BEC-BF73-8CA1C3204FC9}"/>
    <cellStyle name="Normal 12 6 2 3" xfId="21631" xr:uid="{4B651611-D52D-49A5-A227-74CD6AC95657}"/>
    <cellStyle name="Normal 12 6 2 4" xfId="12332" xr:uid="{4926FEB9-3130-4909-A315-C37A035C0A79}"/>
    <cellStyle name="Normal 12 6 3" xfId="5078" xr:uid="{00000000-0005-0000-0000-00005D0E0000}"/>
    <cellStyle name="Normal 12 6 3 2" xfId="23703" xr:uid="{7F482E07-0FC0-405E-B6D5-C95A477FFA80}"/>
    <cellStyle name="Normal 12 6 3 3" xfId="14404" xr:uid="{24368FFB-3D7F-4D18-9C33-481C16060C1D}"/>
    <cellStyle name="Normal 12 6 4" xfId="9194" xr:uid="{92D32932-3865-4F6F-A551-9A99EC116A43}"/>
    <cellStyle name="Normal 12 6 4 2" xfId="27809" xr:uid="{9BA98504-CBBC-4D86-AA77-F314B22F8537}"/>
    <cellStyle name="Normal 12 6 4 3" xfId="18510" xr:uid="{26FC59E2-4DF5-41A5-815E-801FF529E140}"/>
    <cellStyle name="Normal 12 6 5" xfId="19486" xr:uid="{01A2A368-8669-4EAD-938C-41C38DDC4DB4}"/>
    <cellStyle name="Normal 12 6 6" xfId="10187" xr:uid="{1C538998-6C5A-4E44-803E-0A962438935B}"/>
    <cellStyle name="Normal 12 7" xfId="1183" xr:uid="{00000000-0005-0000-0000-00005E0E0000}"/>
    <cellStyle name="Normal 12 7 2" xfId="3414" xr:uid="{00000000-0005-0000-0000-00005F0E0000}"/>
    <cellStyle name="Normal 12 7 2 2" xfId="7636" xr:uid="{00000000-0005-0000-0000-0000600E0000}"/>
    <cellStyle name="Normal 12 7 2 2 2" xfId="26261" xr:uid="{9DAF17C3-E4E9-41DA-A029-B31EB456D813}"/>
    <cellStyle name="Normal 12 7 2 2 3" xfId="16962" xr:uid="{C7709ED5-8875-444A-BCEE-6607149C5F16}"/>
    <cellStyle name="Normal 12 7 2 3" xfId="22044" xr:uid="{F6C126B6-8F5B-4860-B716-EEB86CC8EB6D}"/>
    <cellStyle name="Normal 12 7 2 4" xfId="12745" xr:uid="{5FB22F57-F663-4F13-8FAD-E47AE398C080}"/>
    <cellStyle name="Normal 12 7 3" xfId="5491" xr:uid="{00000000-0005-0000-0000-0000610E0000}"/>
    <cellStyle name="Normal 12 7 3 2" xfId="24116" xr:uid="{057814EC-996B-4F70-A5EB-25B5A428063F}"/>
    <cellStyle name="Normal 12 7 3 3" xfId="14817" xr:uid="{07725264-CFA8-4460-A9E5-57154DFB5F95}"/>
    <cellStyle name="Normal 12 7 4" xfId="19899" xr:uid="{CBD851F7-B635-443B-841F-B9E95836F395}"/>
    <cellStyle name="Normal 12 7 5" xfId="10600" xr:uid="{3F87C753-2095-47A7-903E-347F95194204}"/>
    <cellStyle name="Normal 12 8" xfId="1597" xr:uid="{00000000-0005-0000-0000-0000620E0000}"/>
    <cellStyle name="Normal 12 8 2" xfId="3827" xr:uid="{00000000-0005-0000-0000-0000630E0000}"/>
    <cellStyle name="Normal 12 8 2 2" xfId="8049" xr:uid="{00000000-0005-0000-0000-0000640E0000}"/>
    <cellStyle name="Normal 12 8 2 2 2" xfId="26674" xr:uid="{2AC51F29-249D-4F6F-97F7-47E11D7E5117}"/>
    <cellStyle name="Normal 12 8 2 2 3" xfId="17375" xr:uid="{0C6D2C68-5D90-44A3-8DB1-90CC4714D259}"/>
    <cellStyle name="Normal 12 8 2 3" xfId="22457" xr:uid="{0EE1A481-6A24-48F3-99C8-234D0F17A63F}"/>
    <cellStyle name="Normal 12 8 2 4" xfId="13158" xr:uid="{7DC6C099-312B-4A15-AA01-F9B012DF7EA8}"/>
    <cellStyle name="Normal 12 8 3" xfId="5904" xr:uid="{00000000-0005-0000-0000-0000650E0000}"/>
    <cellStyle name="Normal 12 8 3 2" xfId="24529" xr:uid="{2B4E785F-FCFA-4E10-8CDF-221EABB77291}"/>
    <cellStyle name="Normal 12 8 3 3" xfId="15230" xr:uid="{DE9C86C9-EECD-4DC4-A23D-1E0B75CAB192}"/>
    <cellStyle name="Normal 12 8 4" xfId="20312" xr:uid="{19C785E4-1D7E-4607-8961-369DA793DF8E}"/>
    <cellStyle name="Normal 12 8 5" xfId="11013" xr:uid="{DF35FFB0-0DF1-43C0-9793-5DDAE7A8A3EA}"/>
    <cellStyle name="Normal 12 9" xfId="2011" xr:uid="{00000000-0005-0000-0000-0000660E0000}"/>
    <cellStyle name="Normal 12 9 2" xfId="4240" xr:uid="{00000000-0005-0000-0000-0000670E0000}"/>
    <cellStyle name="Normal 12 9 2 2" xfId="8462" xr:uid="{00000000-0005-0000-0000-0000680E0000}"/>
    <cellStyle name="Normal 12 9 2 2 2" xfId="27087" xr:uid="{8251879E-12E7-4C1A-8109-976A14EE46B4}"/>
    <cellStyle name="Normal 12 9 2 2 3" xfId="17788" xr:uid="{0E38EAE1-0BED-41C3-8B63-DAB9FAC9D747}"/>
    <cellStyle name="Normal 12 9 2 3" xfId="22870" xr:uid="{533F6B31-3762-44BF-82C1-5A98DED61C34}"/>
    <cellStyle name="Normal 12 9 2 4" xfId="13571" xr:uid="{0AB2284F-A7C7-41C9-868D-0FDC13630BCB}"/>
    <cellStyle name="Normal 12 9 3" xfId="6317" xr:uid="{00000000-0005-0000-0000-0000690E0000}"/>
    <cellStyle name="Normal 12 9 3 2" xfId="24942" xr:uid="{D3C2A681-7F97-4B00-AAE6-7E90ED13FE1E}"/>
    <cellStyle name="Normal 12 9 3 3" xfId="15643" xr:uid="{B1C8E284-74A4-40AA-BAFC-8A84CB7C053B}"/>
    <cellStyle name="Normal 12 9 4" xfId="20725" xr:uid="{F0E9335D-9D6B-417A-BF58-42937679DB3E}"/>
    <cellStyle name="Normal 12 9 5" xfId="11426" xr:uid="{A3FC8534-D253-41EB-80ED-76747A42B463}"/>
    <cellStyle name="Normal 13" xfId="268" xr:uid="{00000000-0005-0000-0000-00006A0E0000}"/>
    <cellStyle name="Normal 13 2" xfId="269" xr:uid="{00000000-0005-0000-0000-00006B0E0000}"/>
    <cellStyle name="Normal 14" xfId="270" xr:uid="{00000000-0005-0000-0000-00006C0E0000}"/>
    <cellStyle name="Normal 14 10" xfId="9781" xr:uid="{4F43B0AE-A147-4690-A379-EC5D4AECE484}"/>
    <cellStyle name="Normal 14 2" xfId="768" xr:uid="{00000000-0005-0000-0000-00006D0E0000}"/>
    <cellStyle name="Normal 14 2 2" xfId="3009" xr:uid="{00000000-0005-0000-0000-00006E0E0000}"/>
    <cellStyle name="Normal 14 2 2 2" xfId="7231" xr:uid="{00000000-0005-0000-0000-00006F0E0000}"/>
    <cellStyle name="Normal 14 2 2 2 2" xfId="25856" xr:uid="{5323C862-9B0B-4FAD-895D-866E14C5523A}"/>
    <cellStyle name="Normal 14 2 2 2 3" xfId="16557" xr:uid="{65CD1787-FBE2-476C-8C54-7FADBB763A5D}"/>
    <cellStyle name="Normal 14 2 2 3" xfId="21639" xr:uid="{5F6363CB-3FE7-4FE9-A4BA-398FAEB5B75E}"/>
    <cellStyle name="Normal 14 2 2 4" xfId="12340" xr:uid="{0A350A11-16E2-4BB9-AA55-1DEC0FE011B4}"/>
    <cellStyle name="Normal 14 2 3" xfId="5086" xr:uid="{00000000-0005-0000-0000-0000700E0000}"/>
    <cellStyle name="Normal 14 2 3 2" xfId="23711" xr:uid="{B054FBD9-591D-42A0-A35B-3A490F84243F}"/>
    <cellStyle name="Normal 14 2 3 3" xfId="14412" xr:uid="{EE146A59-861D-44FE-A95B-80EB7E5A06A4}"/>
    <cellStyle name="Normal 14 2 4" xfId="9371" xr:uid="{E1AFB5B4-F468-480A-B09F-3374B2F03BDA}"/>
    <cellStyle name="Normal 14 2 4 2" xfId="27985" xr:uid="{0F14F397-B3A5-40DF-9567-DBC8A3CB4D7E}"/>
    <cellStyle name="Normal 14 2 4 3" xfId="18686" xr:uid="{15204D31-8D9F-43E0-849F-63FE69EBA694}"/>
    <cellStyle name="Normal 14 2 5" xfId="19494" xr:uid="{BE56818E-0C68-4822-AA89-122B1308C506}"/>
    <cellStyle name="Normal 14 2 6" xfId="10195" xr:uid="{8CAE02C0-2FE9-4E98-B4B6-C4CAC4F3BECF}"/>
    <cellStyle name="Normal 14 3" xfId="1191" xr:uid="{00000000-0005-0000-0000-0000710E0000}"/>
    <cellStyle name="Normal 14 3 2" xfId="3422" xr:uid="{00000000-0005-0000-0000-0000720E0000}"/>
    <cellStyle name="Normal 14 3 2 2" xfId="7644" xr:uid="{00000000-0005-0000-0000-0000730E0000}"/>
    <cellStyle name="Normal 14 3 2 2 2" xfId="26269" xr:uid="{174DD9A6-BAC1-4F02-B3F2-9A2EBF64A3A0}"/>
    <cellStyle name="Normal 14 3 2 2 3" xfId="16970" xr:uid="{91827CAE-07A2-41C2-A220-B68C71FEF79F}"/>
    <cellStyle name="Normal 14 3 2 3" xfId="22052" xr:uid="{99C1C536-F7AE-4CA3-9197-89702EC7951B}"/>
    <cellStyle name="Normal 14 3 2 4" xfId="12753" xr:uid="{7DB7A576-142E-4EC0-BD83-59004ACC2624}"/>
    <cellStyle name="Normal 14 3 3" xfId="5499" xr:uid="{00000000-0005-0000-0000-0000740E0000}"/>
    <cellStyle name="Normal 14 3 3 2" xfId="24124" xr:uid="{BE3715FF-74E4-4500-81DC-AC3F8DC423A6}"/>
    <cellStyle name="Normal 14 3 3 3" xfId="14825" xr:uid="{A79BA2A6-072E-4CA6-B31C-F19CC8E65438}"/>
    <cellStyle name="Normal 14 3 4" xfId="19907" xr:uid="{38636ADD-99BF-4C11-A5AD-37593211E24E}"/>
    <cellStyle name="Normal 14 3 5" xfId="10608" xr:uid="{14679B23-3E78-46C6-8E78-C3AAEB9C54B7}"/>
    <cellStyle name="Normal 14 4" xfId="1605" xr:uid="{00000000-0005-0000-0000-0000750E0000}"/>
    <cellStyle name="Normal 14 4 2" xfId="3835" xr:uid="{00000000-0005-0000-0000-0000760E0000}"/>
    <cellStyle name="Normal 14 4 2 2" xfId="8057" xr:uid="{00000000-0005-0000-0000-0000770E0000}"/>
    <cellStyle name="Normal 14 4 2 2 2" xfId="26682" xr:uid="{B93F3887-EC0D-44FB-8BDD-F543E304401F}"/>
    <cellStyle name="Normal 14 4 2 2 3" xfId="17383" xr:uid="{0FA0B1A1-6D6A-4EDB-BE3E-1180971C6CC0}"/>
    <cellStyle name="Normal 14 4 2 3" xfId="22465" xr:uid="{D8AEE806-A640-4E1D-8EA4-D6B65C035912}"/>
    <cellStyle name="Normal 14 4 2 4" xfId="13166" xr:uid="{E914EF37-77CD-47BF-AE47-3F1EBAF2A1A8}"/>
    <cellStyle name="Normal 14 4 3" xfId="5912" xr:uid="{00000000-0005-0000-0000-0000780E0000}"/>
    <cellStyle name="Normal 14 4 3 2" xfId="24537" xr:uid="{94F077FB-33ED-40BD-8A4F-6A8632DA11BA}"/>
    <cellStyle name="Normal 14 4 3 3" xfId="15238" xr:uid="{41B31D75-4177-464B-B0B1-D1ACD33A5A80}"/>
    <cellStyle name="Normal 14 4 4" xfId="20320" xr:uid="{D6F3EBE7-36E1-4D4D-BA8E-384C2D13DAB5}"/>
    <cellStyle name="Normal 14 4 5" xfId="11021" xr:uid="{C40D703A-3D92-402F-8ECD-AD0A2EEC1A7E}"/>
    <cellStyle name="Normal 14 5" xfId="2019" xr:uid="{00000000-0005-0000-0000-0000790E0000}"/>
    <cellStyle name="Normal 14 5 2" xfId="4248" xr:uid="{00000000-0005-0000-0000-00007A0E0000}"/>
    <cellStyle name="Normal 14 5 2 2" xfId="8470" xr:uid="{00000000-0005-0000-0000-00007B0E0000}"/>
    <cellStyle name="Normal 14 5 2 2 2" xfId="27095" xr:uid="{84318312-1F44-497E-850E-BBBB1C9B4E02}"/>
    <cellStyle name="Normal 14 5 2 2 3" xfId="17796" xr:uid="{F03F68DA-9995-48C0-8D2D-3C85A249D963}"/>
    <cellStyle name="Normal 14 5 2 3" xfId="22878" xr:uid="{2FC8CCA2-5CE7-407D-ACAB-C5FEBF1BA12F}"/>
    <cellStyle name="Normal 14 5 2 4" xfId="13579" xr:uid="{A2405E49-2031-4945-88CC-8949282A2E91}"/>
    <cellStyle name="Normal 14 5 3" xfId="6325" xr:uid="{00000000-0005-0000-0000-00007C0E0000}"/>
    <cellStyle name="Normal 14 5 3 2" xfId="24950" xr:uid="{ECF50F99-6F34-4300-86B8-8C242A61D2ED}"/>
    <cellStyle name="Normal 14 5 3 3" xfId="15651" xr:uid="{131281F3-DD52-49CC-AEE3-11042C10FF63}"/>
    <cellStyle name="Normal 14 5 4" xfId="20733" xr:uid="{B4B4FF7E-1467-41EB-9FE8-4CCB0117D16A}"/>
    <cellStyle name="Normal 14 5 5" xfId="11434" xr:uid="{A7DE0258-945F-43A1-A6DC-73E41A384F31}"/>
    <cellStyle name="Normal 14 6" xfId="2455" xr:uid="{00000000-0005-0000-0000-00007D0E0000}"/>
    <cellStyle name="Normal 14 6 2" xfId="6738" xr:uid="{00000000-0005-0000-0000-00007E0E0000}"/>
    <cellStyle name="Normal 14 6 2 2" xfId="25363" xr:uid="{69BFD411-BBBD-4E2A-BC3A-FA760D91422C}"/>
    <cellStyle name="Normal 14 6 2 3" xfId="16064" xr:uid="{4CE9330C-C202-4877-9E4A-E178B9DE78FF}"/>
    <cellStyle name="Normal 14 6 3" xfId="21146" xr:uid="{ECEF410D-5357-4D41-8522-3A372CA53BF5}"/>
    <cellStyle name="Normal 14 6 4" xfId="11847" xr:uid="{210390B7-40BC-41B7-922C-8DBF23C3B9D6}"/>
    <cellStyle name="Normal 14 7" xfId="4672" xr:uid="{00000000-0005-0000-0000-00007F0E0000}"/>
    <cellStyle name="Normal 14 7 2" xfId="23297" xr:uid="{66995660-2CC8-427C-BC1F-932087054A55}"/>
    <cellStyle name="Normal 14 7 3" xfId="13998" xr:uid="{1DF2697B-CBF5-4DFD-AA4B-C094F5630BDE}"/>
    <cellStyle name="Normal 14 8" xfId="8946" xr:uid="{DD997A1C-6669-41AA-8AC1-78121AFC796C}"/>
    <cellStyle name="Normal 14 8 2" xfId="27569" xr:uid="{BD6B5D17-3D39-49FC-88BC-60EADB2BBB70}"/>
    <cellStyle name="Normal 14 8 3" xfId="18270" xr:uid="{ECA78BD5-D0BD-44B3-B4DC-80DB1F274C16}"/>
    <cellStyle name="Normal 14 9" xfId="19080" xr:uid="{343025E5-F12D-4F8B-AECC-45E0A056C7E1}"/>
    <cellStyle name="Normal 15" xfId="4496" xr:uid="{00000000-0005-0000-0000-0000800E0000}"/>
    <cellStyle name="Normal 15 2" xfId="9578" xr:uid="{99513E76-E7E2-49D8-ADC5-F882C61FFC79}"/>
    <cellStyle name="Normal 15 2 2" xfId="28192" xr:uid="{DE9E948F-18AB-4984-9F4E-5072A9B5AA31}"/>
    <cellStyle name="Normal 15 2 3" xfId="18893" xr:uid="{D9354761-BA99-46E3-B746-6D0259A3E6E9}"/>
    <cellStyle name="Normal 15 3" xfId="9155" xr:uid="{47700DD8-A88A-4CB4-BFAD-BA75A2D4FC8E}"/>
    <cellStyle name="Normal 15 3 2" xfId="27776" xr:uid="{88471E45-4A26-4CCF-8B70-569872E77CC0}"/>
    <cellStyle name="Normal 15 3 3" xfId="18477" xr:uid="{623F10B9-ED70-4C50-B549-FEC6AB71310C}"/>
    <cellStyle name="Normal 15 4" xfId="23123" xr:uid="{C668773B-7A91-4332-9D61-47BD0FF19E13}"/>
    <cellStyle name="Normal 15 5" xfId="13824" xr:uid="{15174A0E-6E1C-4689-831B-02E8C3105AA0}"/>
    <cellStyle name="Normal 16" xfId="4500" xr:uid="{00000000-0005-0000-0000-0000810E0000}"/>
    <cellStyle name="Normal 16 2" xfId="8715" xr:uid="{00000000-0005-0000-0000-0000820E0000}"/>
    <cellStyle name="Normal 16 2 2" xfId="27340" xr:uid="{9187DD1B-DA33-42AB-B5CA-C9F08A8C7034}"/>
    <cellStyle name="Normal 16 2 3" xfId="18041" xr:uid="{F6A3E3C9-8DF5-4369-9E6B-727DFE66E773}"/>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3 2 2 2 2 2 2" xfId="27359" xr:uid="{772D69D6-6495-4185-96A3-33CD2903684D}"/>
    <cellStyle name="Normal 16 3 2 2 2 2 2 3" xfId="18060" xr:uid="{37BD09D9-B7DD-4499-813F-E5A2D4304661}"/>
    <cellStyle name="Normal 16 3 2 2 2 2 3" xfId="27356" xr:uid="{28041611-619E-46FE-9C1D-6D4D9A562797}"/>
    <cellStyle name="Normal 16 3 2 2 2 2 4" xfId="18057" xr:uid="{7047637E-BCD4-4353-A189-1C5E7BD944B4}"/>
    <cellStyle name="Normal 16 3 2 2 2 3" xfId="27353" xr:uid="{D7009DE0-8303-49AB-9CE1-05AD3F6ECE0F}"/>
    <cellStyle name="Normal 16 3 2 2 2 4" xfId="18054" xr:uid="{81189D8E-1B9E-44A5-ADDB-87E47A0463A9}"/>
    <cellStyle name="Normal 16 3 2 2 3" xfId="27349" xr:uid="{A88D37A7-9396-45E5-8283-C896F7E82ABC}"/>
    <cellStyle name="Normal 16 3 2 2 4" xfId="18050" xr:uid="{C2A1314E-208E-4004-92F5-EDA7A830A23C}"/>
    <cellStyle name="Normal 16 3 2 3" xfId="27346" xr:uid="{40F06947-EB8B-42DF-98F5-5AD1C7696DC0}"/>
    <cellStyle name="Normal 16 3 2 4" xfId="18047" xr:uid="{3CC8AAD3-30CB-44A5-9989-9862B05AC45B}"/>
    <cellStyle name="Normal 16 3 3" xfId="27343" xr:uid="{78790885-AF4A-4379-8979-1E18CE0708E8}"/>
    <cellStyle name="Normal 16 3 4" xfId="18044" xr:uid="{F76C2AAE-9F23-4C4F-98F3-996C36482EF1}"/>
    <cellStyle name="Normal 16 4" xfId="9612" xr:uid="{8729F6E8-3534-4DAE-B0B2-B2AF3CDCD313}"/>
    <cellStyle name="Normal 16 5" xfId="23126" xr:uid="{9959997A-75C3-4216-8BA9-007B9B96888C}"/>
    <cellStyle name="Normal 16 6" xfId="13827" xr:uid="{831C2EA3-9460-482B-9277-B906EAFF9246}"/>
    <cellStyle name="Normal 17" xfId="8728" xr:uid="{3FF0972C-833B-4475-99D8-1A6907499E71}"/>
    <cellStyle name="Normal 17 2" xfId="9157" xr:uid="{6C872296-5E17-4821-9139-E52AD113B06C}"/>
    <cellStyle name="Normal 17 3" xfId="9154" xr:uid="{DC3FF210-EC1F-47CE-8CCE-F8F5460671B1}"/>
    <cellStyle name="Normal 17 4" xfId="27352" xr:uid="{85692F8A-3219-496F-9776-8AB7D307491C}"/>
    <cellStyle name="Normal 17 5" xfId="18053" xr:uid="{64D53D20-A87A-4C9B-BF82-CAAE0FB3D67E}"/>
    <cellStyle name="Normal 18" xfId="9153" xr:uid="{EF04732C-9519-4C21-BD73-A108E18EA17F}"/>
    <cellStyle name="Normal 19" xfId="8739" xr:uid="{D907EBA7-1F94-4726-9ABB-7E7835FFF57E}"/>
    <cellStyle name="Normal 19 2" xfId="27362" xr:uid="{15FA15E5-E019-418C-A718-AF5C07A8D83D}"/>
    <cellStyle name="Normal 19 3" xfId="18063" xr:uid="{77502714-171C-4271-8091-EA3A0D910B94}"/>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10 2" xfId="27371" xr:uid="{FE57A94A-F537-4D55-A5AC-2ACFAE9FBDDC}"/>
    <cellStyle name="Normal 2 4 10 3" xfId="18072" xr:uid="{C243B39D-3D7D-4518-ACAC-ACB7EB788040}"/>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2 2 2" xfId="27096" xr:uid="{FB60B1FD-7AA8-48AB-9E02-F21BF76B9A9D}"/>
    <cellStyle name="Normal 2 4 2 10 2 2 3" xfId="17797" xr:uid="{029FB2BF-5610-42C5-9EA1-BC4E92F958C2}"/>
    <cellStyle name="Normal 2 4 2 10 2 3" xfId="22879" xr:uid="{BCEC931A-7BC9-4A7C-A46A-732BA4343C44}"/>
    <cellStyle name="Normal 2 4 2 10 2 4" xfId="13580" xr:uid="{7B87399A-1017-423B-8A59-4D2FD6AD42FE}"/>
    <cellStyle name="Normal 2 4 2 10 3" xfId="6326" xr:uid="{00000000-0005-0000-0000-0000910E0000}"/>
    <cellStyle name="Normal 2 4 2 10 3 2" xfId="24951" xr:uid="{F8E2203E-DBB4-4488-AD6D-0BBE26685730}"/>
    <cellStyle name="Normal 2 4 2 10 3 3" xfId="15652" xr:uid="{0CEE707A-B5A3-4608-8C65-BCC63213046E}"/>
    <cellStyle name="Normal 2 4 2 10 4" xfId="20734" xr:uid="{204C3813-1B2D-4404-9A2C-3F9E62B7044E}"/>
    <cellStyle name="Normal 2 4 2 10 5" xfId="11435" xr:uid="{BCCFC2A8-1B45-4F6E-82C1-F3E616DD6E74}"/>
    <cellStyle name="Normal 2 4 2 11" xfId="2456" xr:uid="{00000000-0005-0000-0000-0000920E0000}"/>
    <cellStyle name="Normal 2 4 2 11 2" xfId="6739" xr:uid="{00000000-0005-0000-0000-0000930E0000}"/>
    <cellStyle name="Normal 2 4 2 11 2 2" xfId="25364" xr:uid="{0986A045-9848-4F23-B2E0-66831666E0BD}"/>
    <cellStyle name="Normal 2 4 2 11 2 3" xfId="16065" xr:uid="{DC7827F2-5BDC-4B72-BDF2-0CE29300FF80}"/>
    <cellStyle name="Normal 2 4 2 11 3" xfId="21147" xr:uid="{8BBA989D-0996-4D75-9591-0B9F4965DC76}"/>
    <cellStyle name="Normal 2 4 2 11 4" xfId="11848" xr:uid="{8B9CEFA9-9BDC-46F5-A495-56229AF0BB8A}"/>
    <cellStyle name="Normal 2 4 2 12" xfId="4673" xr:uid="{00000000-0005-0000-0000-0000940E0000}"/>
    <cellStyle name="Normal 2 4 2 12 2" xfId="23298" xr:uid="{DC3359B7-DC2C-48B4-9434-F35BA4DF3AC7}"/>
    <cellStyle name="Normal 2 4 2 12 3" xfId="13999" xr:uid="{875C00BA-B30E-4C02-A2A8-DBF8653F125E}"/>
    <cellStyle name="Normal 2 4 2 13" xfId="8757" xr:uid="{563A76DD-F7DD-49F0-A61E-0419F4C31301}"/>
    <cellStyle name="Normal 2 4 2 13 2" xfId="27380" xr:uid="{A96CCDE4-A0E8-44EA-9628-3D8B8D5C155A}"/>
    <cellStyle name="Normal 2 4 2 13 3" xfId="18081" xr:uid="{34286C4C-3EB7-44B6-BE7C-8A7709709D2B}"/>
    <cellStyle name="Normal 2 4 2 14" xfId="19081" xr:uid="{4E9DA4FD-B1EC-46D2-AED7-DBC21B32B4AE}"/>
    <cellStyle name="Normal 2 4 2 15" xfId="9782" xr:uid="{DFBC99E8-8A50-4AF9-9028-0B5387E978FE}"/>
    <cellStyle name="Normal 2 4 2 2" xfId="280" xr:uid="{00000000-0005-0000-0000-0000950E0000}"/>
    <cellStyle name="Normal 2 4 2 3" xfId="281" xr:uid="{00000000-0005-0000-0000-0000960E0000}"/>
    <cellStyle name="Normal 2 4 2 3 10" xfId="4674" xr:uid="{00000000-0005-0000-0000-0000970E0000}"/>
    <cellStyle name="Normal 2 4 2 3 10 2" xfId="23299" xr:uid="{F439767E-1CCF-4986-A2BB-77D63FE96A68}"/>
    <cellStyle name="Normal 2 4 2 3 10 3" xfId="14000" xr:uid="{85BB866A-18D8-446C-B785-43E9EFC740AF}"/>
    <cellStyle name="Normal 2 4 2 3 11" xfId="8788" xr:uid="{EAD3D227-C8EF-4F54-8D24-EE1EA1F017BB}"/>
    <cellStyle name="Normal 2 4 2 3 11 2" xfId="27411" xr:uid="{977A881B-FD81-4551-BDF2-805A05517FA0}"/>
    <cellStyle name="Normal 2 4 2 3 11 3" xfId="18112" xr:uid="{BAAC545E-02F2-4C4E-A5E7-37C3473A0E3E}"/>
    <cellStyle name="Normal 2 4 2 3 12" xfId="19082" xr:uid="{718014D1-3A02-4468-9A46-FA1BA2FA9FCD}"/>
    <cellStyle name="Normal 2 4 2 3 13" xfId="9783" xr:uid="{A6B2B3B3-7F3E-41A1-93A6-5E39F326F0B4}"/>
    <cellStyle name="Normal 2 4 2 3 2" xfId="282" xr:uid="{00000000-0005-0000-0000-0000980E0000}"/>
    <cellStyle name="Normal 2 4 2 3 2 10" xfId="8813" xr:uid="{C03AE35D-2438-4E07-AE9C-6D04EC6DA2B7}"/>
    <cellStyle name="Normal 2 4 2 3 2 10 2" xfId="27436" xr:uid="{64DDDF12-5009-41DB-AFDE-AF96C5FFAF7D}"/>
    <cellStyle name="Normal 2 4 2 3 2 10 3" xfId="18137" xr:uid="{C053EDF5-61DA-4FB2-809F-0BC7244FE372}"/>
    <cellStyle name="Normal 2 4 2 3 2 11" xfId="19083" xr:uid="{D50EF414-8763-40FB-BDF0-2DBD2B8A0638}"/>
    <cellStyle name="Normal 2 4 2 3 2 12" xfId="9784" xr:uid="{67621983-560D-45B9-B3E0-ADB43A8CE529}"/>
    <cellStyle name="Normal 2 4 2 3 2 2" xfId="283" xr:uid="{00000000-0005-0000-0000-0000990E0000}"/>
    <cellStyle name="Normal 2 4 2 3 2 2 10" xfId="19084" xr:uid="{B2205515-5751-4F77-857C-363FB1CC6AFC}"/>
    <cellStyle name="Normal 2 4 2 3 2 2 11" xfId="9785" xr:uid="{6B2CA7EB-3226-432F-A0A9-227F5DC73ABC}"/>
    <cellStyle name="Normal 2 4 2 3 2 2 2" xfId="284" xr:uid="{00000000-0005-0000-0000-00009A0E0000}"/>
    <cellStyle name="Normal 2 4 2 3 2 2 2 10" xfId="9786" xr:uid="{F53D628E-816C-42E5-9BD0-AA312E6A0204}"/>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2 2 2" xfId="25861" xr:uid="{759FC04D-A8FC-4F42-9B14-C6BE965CBA9A}"/>
    <cellStyle name="Normal 2 4 2 3 2 2 2 2 2 2 3" xfId="16562" xr:uid="{ADB74B5F-B727-4817-B58C-FC3B3BFB7D13}"/>
    <cellStyle name="Normal 2 4 2 3 2 2 2 2 2 3" xfId="21644" xr:uid="{997239B5-ED2D-4281-BB35-5D76B7081DDE}"/>
    <cellStyle name="Normal 2 4 2 3 2 2 2 2 2 4" xfId="12345" xr:uid="{E5608F22-24EB-487E-B575-1EB0E574D946}"/>
    <cellStyle name="Normal 2 4 2 3 2 2 2 2 3" xfId="5091" xr:uid="{00000000-0005-0000-0000-00009E0E0000}"/>
    <cellStyle name="Normal 2 4 2 3 2 2 2 2 3 2" xfId="23716" xr:uid="{6A43F132-191A-40CE-A535-6B9174945DC0}"/>
    <cellStyle name="Normal 2 4 2 3 2 2 2 2 3 3" xfId="14417" xr:uid="{F60D1318-2920-4BA3-BE16-0A83F02474D9}"/>
    <cellStyle name="Normal 2 4 2 3 2 2 2 2 4" xfId="9548" xr:uid="{29E7289E-B3F4-4F63-9B9C-B531B0E50CEB}"/>
    <cellStyle name="Normal 2 4 2 3 2 2 2 2 4 2" xfId="28162" xr:uid="{5889FBB8-53E8-4C24-903D-6075CD19EF3E}"/>
    <cellStyle name="Normal 2 4 2 3 2 2 2 2 4 3" xfId="18863" xr:uid="{9CA09736-685A-40EC-9595-FF5AB25C4337}"/>
    <cellStyle name="Normal 2 4 2 3 2 2 2 2 5" xfId="19499" xr:uid="{CDA1EC87-BA1B-420A-9288-0109179D3FF3}"/>
    <cellStyle name="Normal 2 4 2 3 2 2 2 2 6" xfId="10200" xr:uid="{8BEB11DE-25F0-4396-9F41-72B3B7A7C103}"/>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2 2 2" xfId="26274" xr:uid="{637EFD5A-B260-47DB-B2EE-180B18864904}"/>
    <cellStyle name="Normal 2 4 2 3 2 2 2 3 2 2 3" xfId="16975" xr:uid="{2A84A2D7-88E7-487F-9E93-B6E454F00AB3}"/>
    <cellStyle name="Normal 2 4 2 3 2 2 2 3 2 3" xfId="22057" xr:uid="{E5A8F137-8E81-4122-ABA1-8B8BE2672137}"/>
    <cellStyle name="Normal 2 4 2 3 2 2 2 3 2 4" xfId="12758" xr:uid="{C898ACF4-E610-47BD-A5E7-87852307C48B}"/>
    <cellStyle name="Normal 2 4 2 3 2 2 2 3 3" xfId="5504" xr:uid="{00000000-0005-0000-0000-0000A20E0000}"/>
    <cellStyle name="Normal 2 4 2 3 2 2 2 3 3 2" xfId="24129" xr:uid="{A8995770-33DD-46E9-86F4-086B3FD50CE1}"/>
    <cellStyle name="Normal 2 4 2 3 2 2 2 3 3 3" xfId="14830" xr:uid="{CEFFE92E-35EA-4D0B-93E1-25094FA45C6C}"/>
    <cellStyle name="Normal 2 4 2 3 2 2 2 3 4" xfId="19912" xr:uid="{CA5258AC-EBEC-42DE-9EE7-41E1FC657D8E}"/>
    <cellStyle name="Normal 2 4 2 3 2 2 2 3 5" xfId="10613" xr:uid="{D227BF61-5693-40EC-8D17-24EBB14A91E7}"/>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2 2 2" xfId="26687" xr:uid="{5B6BDCD4-3145-4A7F-AECB-B9DC2D499F11}"/>
    <cellStyle name="Normal 2 4 2 3 2 2 2 4 2 2 3" xfId="17388" xr:uid="{DBA5872C-1D7D-4F61-99D2-814471EB01CA}"/>
    <cellStyle name="Normal 2 4 2 3 2 2 2 4 2 3" xfId="22470" xr:uid="{559FC63E-C258-4314-927E-603B56168E0A}"/>
    <cellStyle name="Normal 2 4 2 3 2 2 2 4 2 4" xfId="13171" xr:uid="{E48D5428-DE39-4463-B66C-9BF65D833473}"/>
    <cellStyle name="Normal 2 4 2 3 2 2 2 4 3" xfId="5917" xr:uid="{00000000-0005-0000-0000-0000A60E0000}"/>
    <cellStyle name="Normal 2 4 2 3 2 2 2 4 3 2" xfId="24542" xr:uid="{9898585E-8012-4F45-8CF1-C5C09E9A0807}"/>
    <cellStyle name="Normal 2 4 2 3 2 2 2 4 3 3" xfId="15243" xr:uid="{9F4E0814-7B33-445C-8E1B-639ED4172831}"/>
    <cellStyle name="Normal 2 4 2 3 2 2 2 4 4" xfId="20325" xr:uid="{78078EBD-011A-472D-BF15-AB10BBEC51FD}"/>
    <cellStyle name="Normal 2 4 2 3 2 2 2 4 5" xfId="11026" xr:uid="{0EB04676-88E4-4E1C-8265-DEF5A2B255A1}"/>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2 2 2" xfId="27100" xr:uid="{D7BAF281-24D5-41E0-80AE-45E4B3226910}"/>
    <cellStyle name="Normal 2 4 2 3 2 2 2 5 2 2 3" xfId="17801" xr:uid="{70EFD845-C7AE-40B8-BFFD-C916BC243C32}"/>
    <cellStyle name="Normal 2 4 2 3 2 2 2 5 2 3" xfId="22883" xr:uid="{A78B4BAE-43F5-43BE-B9C4-ADBECA856445}"/>
    <cellStyle name="Normal 2 4 2 3 2 2 2 5 2 4" xfId="13584" xr:uid="{82ADD299-7FBA-4395-8A45-67740FDC5C1D}"/>
    <cellStyle name="Normal 2 4 2 3 2 2 2 5 3" xfId="6330" xr:uid="{00000000-0005-0000-0000-0000AA0E0000}"/>
    <cellStyle name="Normal 2 4 2 3 2 2 2 5 3 2" xfId="24955" xr:uid="{988A27A5-4C1D-41AC-A5C8-2C4DBD8AFBF5}"/>
    <cellStyle name="Normal 2 4 2 3 2 2 2 5 3 3" xfId="15656" xr:uid="{BF74084C-0631-45CC-92A6-58A9AC8E4B1A}"/>
    <cellStyle name="Normal 2 4 2 3 2 2 2 5 4" xfId="20738" xr:uid="{D5D364B2-4E9D-4434-9BB3-402A1D463304}"/>
    <cellStyle name="Normal 2 4 2 3 2 2 2 5 5" xfId="11439" xr:uid="{82A28232-8E3C-4EC9-9566-A41B8F08DEA6}"/>
    <cellStyle name="Normal 2 4 2 3 2 2 2 6" xfId="2460" xr:uid="{00000000-0005-0000-0000-0000AB0E0000}"/>
    <cellStyle name="Normal 2 4 2 3 2 2 2 6 2" xfId="6743" xr:uid="{00000000-0005-0000-0000-0000AC0E0000}"/>
    <cellStyle name="Normal 2 4 2 3 2 2 2 6 2 2" xfId="25368" xr:uid="{FF0BCEA1-8FD0-4E18-A1BF-19335AB67AE6}"/>
    <cellStyle name="Normal 2 4 2 3 2 2 2 6 2 3" xfId="16069" xr:uid="{4002EE45-E94C-4965-A675-6FFAEBBFF75F}"/>
    <cellStyle name="Normal 2 4 2 3 2 2 2 6 3" xfId="21151" xr:uid="{18DDFC0B-9C42-446C-8E72-8C0E697402D5}"/>
    <cellStyle name="Normal 2 4 2 3 2 2 2 6 4" xfId="11852" xr:uid="{83694B35-05A5-4926-8912-37F148D396A3}"/>
    <cellStyle name="Normal 2 4 2 3 2 2 2 7" xfId="4677" xr:uid="{00000000-0005-0000-0000-0000AD0E0000}"/>
    <cellStyle name="Normal 2 4 2 3 2 2 2 7 2" xfId="23302" xr:uid="{52FBCD19-0864-4CB0-A53B-16E918450675}"/>
    <cellStyle name="Normal 2 4 2 3 2 2 2 7 3" xfId="14003" xr:uid="{04A48FD0-A740-4F20-9CAA-7CC9ABFEE6DE}"/>
    <cellStyle name="Normal 2 4 2 3 2 2 2 8" xfId="9123" xr:uid="{9F0183A9-880D-46D9-BB7D-5696E4723F5F}"/>
    <cellStyle name="Normal 2 4 2 3 2 2 2 8 2" xfId="27746" xr:uid="{7E66DBC6-1CD2-4939-A053-DAC941F970C1}"/>
    <cellStyle name="Normal 2 4 2 3 2 2 2 8 3" xfId="18447" xr:uid="{8338DBFC-3336-4CE0-B30D-CC7B658EB5F3}"/>
    <cellStyle name="Normal 2 4 2 3 2 2 2 9" xfId="19085" xr:uid="{E39A4F39-F3ED-4465-8E91-E743E2FEDB31}"/>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2 2 2" xfId="25860" xr:uid="{AC4E8504-F23C-42CD-8585-DF7A57EAFBEB}"/>
    <cellStyle name="Normal 2 4 2 3 2 2 3 2 2 3" xfId="16561" xr:uid="{D1FC0DA5-873E-4343-AFE8-E9B401F80359}"/>
    <cellStyle name="Normal 2 4 2 3 2 2 3 2 3" xfId="21643" xr:uid="{3048CA26-D2C5-46FF-B9A7-16C7BE8E417F}"/>
    <cellStyle name="Normal 2 4 2 3 2 2 3 2 4" xfId="12344" xr:uid="{56005CDB-2926-4D91-B24A-F93F0E8DE67A}"/>
    <cellStyle name="Normal 2 4 2 3 2 2 3 3" xfId="5090" xr:uid="{00000000-0005-0000-0000-0000B10E0000}"/>
    <cellStyle name="Normal 2 4 2 3 2 2 3 3 2" xfId="23715" xr:uid="{AE8D2813-195C-467B-9BCA-98D58768602D}"/>
    <cellStyle name="Normal 2 4 2 3 2 2 3 3 3" xfId="14416" xr:uid="{AD8A746F-D1AE-407E-A504-175706DBDBCE}"/>
    <cellStyle name="Normal 2 4 2 3 2 2 3 4" xfId="9341" xr:uid="{4F113FF5-050D-47D1-A7D5-F829C93D993D}"/>
    <cellStyle name="Normal 2 4 2 3 2 2 3 4 2" xfId="27955" xr:uid="{9F0E0462-EFE8-41E0-A07A-383888F9B6B8}"/>
    <cellStyle name="Normal 2 4 2 3 2 2 3 4 3" xfId="18656" xr:uid="{340710A3-5AD6-4C4D-A6FB-20E6A05ABA01}"/>
    <cellStyle name="Normal 2 4 2 3 2 2 3 5" xfId="19498" xr:uid="{E1E8E27B-D53E-43A7-B40A-BEDA2D08E133}"/>
    <cellStyle name="Normal 2 4 2 3 2 2 3 6" xfId="10199" xr:uid="{92B77669-A44A-433F-9AEB-9AF3FFAAE109}"/>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2 2 2" xfId="26273" xr:uid="{6AD5F391-D235-4A37-BF0B-546539A98AD6}"/>
    <cellStyle name="Normal 2 4 2 3 2 2 4 2 2 3" xfId="16974" xr:uid="{B0D099DB-BE02-4F4A-B7F4-CA0EA1DB7B2E}"/>
    <cellStyle name="Normal 2 4 2 3 2 2 4 2 3" xfId="22056" xr:uid="{5CED6F6E-589D-4676-9174-4F4D34543E2C}"/>
    <cellStyle name="Normal 2 4 2 3 2 2 4 2 4" xfId="12757" xr:uid="{94866AF7-6A72-414F-B479-CF440DE79D02}"/>
    <cellStyle name="Normal 2 4 2 3 2 2 4 3" xfId="5503" xr:uid="{00000000-0005-0000-0000-0000B50E0000}"/>
    <cellStyle name="Normal 2 4 2 3 2 2 4 3 2" xfId="24128" xr:uid="{59EB4C7B-02F5-45DA-87CC-561C1A871A29}"/>
    <cellStyle name="Normal 2 4 2 3 2 2 4 3 3" xfId="14829" xr:uid="{0BEEF249-BEB3-4D26-AEEC-5BBC04868971}"/>
    <cellStyle name="Normal 2 4 2 3 2 2 4 4" xfId="19911" xr:uid="{F3707F60-1787-4594-834E-CC1504215D1F}"/>
    <cellStyle name="Normal 2 4 2 3 2 2 4 5" xfId="10612" xr:uid="{DDA7AC2C-BA96-4029-9326-3FF27C93BE1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2 2 2" xfId="26686" xr:uid="{FD24F44C-D4D5-4BEB-86E3-04E29C32014F}"/>
    <cellStyle name="Normal 2 4 2 3 2 2 5 2 2 3" xfId="17387" xr:uid="{BE6DF7EB-3708-4527-9154-A7AF1B1197DC}"/>
    <cellStyle name="Normal 2 4 2 3 2 2 5 2 3" xfId="22469" xr:uid="{6B7F464F-D6E8-4D7F-971E-02863B33DB73}"/>
    <cellStyle name="Normal 2 4 2 3 2 2 5 2 4" xfId="13170" xr:uid="{4F8B6E41-C4E9-4E60-8215-DC40CF0855B4}"/>
    <cellStyle name="Normal 2 4 2 3 2 2 5 3" xfId="5916" xr:uid="{00000000-0005-0000-0000-0000B90E0000}"/>
    <cellStyle name="Normal 2 4 2 3 2 2 5 3 2" xfId="24541" xr:uid="{6949A700-54D5-4AED-ABDC-D24072AD344D}"/>
    <cellStyle name="Normal 2 4 2 3 2 2 5 3 3" xfId="15242" xr:uid="{7644FE4A-151F-43F4-B81D-844CA5CAD28A}"/>
    <cellStyle name="Normal 2 4 2 3 2 2 5 4" xfId="20324" xr:uid="{98A3322B-1948-49C8-92CA-749E9761DC8B}"/>
    <cellStyle name="Normal 2 4 2 3 2 2 5 5" xfId="11025" xr:uid="{BFB7656A-5048-4839-BECB-578FD26DC5AB}"/>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2 2 2" xfId="27099" xr:uid="{04D00A19-2003-41C3-B10D-DA0032986DDC}"/>
    <cellStyle name="Normal 2 4 2 3 2 2 6 2 2 3" xfId="17800" xr:uid="{99DF8EBF-726A-4BAA-9B08-112094E060B1}"/>
    <cellStyle name="Normal 2 4 2 3 2 2 6 2 3" xfId="22882" xr:uid="{C5383FF0-E2A1-41F2-9D1B-3A471126836D}"/>
    <cellStyle name="Normal 2 4 2 3 2 2 6 2 4" xfId="13583" xr:uid="{23C38C03-9B96-4243-A682-92B64FAB70A1}"/>
    <cellStyle name="Normal 2 4 2 3 2 2 6 3" xfId="6329" xr:uid="{00000000-0005-0000-0000-0000BD0E0000}"/>
    <cellStyle name="Normal 2 4 2 3 2 2 6 3 2" xfId="24954" xr:uid="{93A1E4FE-651F-465A-AA9E-3A9C22EF610F}"/>
    <cellStyle name="Normal 2 4 2 3 2 2 6 3 3" xfId="15655" xr:uid="{0990170C-D9EB-4A0D-A2FA-7EA2617B6EA6}"/>
    <cellStyle name="Normal 2 4 2 3 2 2 6 4" xfId="20737" xr:uid="{5751CEA3-CB2F-4D96-A5BE-21C018B54E8F}"/>
    <cellStyle name="Normal 2 4 2 3 2 2 6 5" xfId="11438" xr:uid="{63F9E976-2C8F-41A9-98C3-87854260DCDC}"/>
    <cellStyle name="Normal 2 4 2 3 2 2 7" xfId="2459" xr:uid="{00000000-0005-0000-0000-0000BE0E0000}"/>
    <cellStyle name="Normal 2 4 2 3 2 2 7 2" xfId="6742" xr:uid="{00000000-0005-0000-0000-0000BF0E0000}"/>
    <cellStyle name="Normal 2 4 2 3 2 2 7 2 2" xfId="25367" xr:uid="{5D056FD9-5AD0-423E-AB26-052A4C30E90A}"/>
    <cellStyle name="Normal 2 4 2 3 2 2 7 2 3" xfId="16068" xr:uid="{A3315931-B0BC-4B65-88FB-1F65074DCF01}"/>
    <cellStyle name="Normal 2 4 2 3 2 2 7 3" xfId="21150" xr:uid="{8251B753-BD7F-4C1F-989E-68CBCB4A14EE}"/>
    <cellStyle name="Normal 2 4 2 3 2 2 7 4" xfId="11851" xr:uid="{C798BA8E-680B-4FC6-85D2-5D056C84A018}"/>
    <cellStyle name="Normal 2 4 2 3 2 2 8" xfId="4676" xr:uid="{00000000-0005-0000-0000-0000C00E0000}"/>
    <cellStyle name="Normal 2 4 2 3 2 2 8 2" xfId="23301" xr:uid="{3E0E5452-5F7B-499A-B447-9235980D7B68}"/>
    <cellStyle name="Normal 2 4 2 3 2 2 8 3" xfId="14002" xr:uid="{3EFEE51A-195C-4CFA-9720-B8CED185F9F6}"/>
    <cellStyle name="Normal 2 4 2 3 2 2 9" xfId="8916" xr:uid="{1EF18CC7-44BB-43EB-8DB6-D193CEF128C1}"/>
    <cellStyle name="Normal 2 4 2 3 2 2 9 2" xfId="27539" xr:uid="{CA922C14-D20D-4FA0-9CDB-CEDACC47DCCD}"/>
    <cellStyle name="Normal 2 4 2 3 2 2 9 3" xfId="18240" xr:uid="{89343326-A727-421A-AC54-2BB07D708AD3}"/>
    <cellStyle name="Normal 2 4 2 3 2 3" xfId="285" xr:uid="{00000000-0005-0000-0000-0000C10E0000}"/>
    <cellStyle name="Normal 2 4 2 3 2 3 10" xfId="9787" xr:uid="{CCD6604C-7302-4E2D-9A86-D65FE573D52D}"/>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2 2 2" xfId="25862" xr:uid="{52336811-E576-43EB-A15A-2800BDDA1F01}"/>
    <cellStyle name="Normal 2 4 2 3 2 3 2 2 2 3" xfId="16563" xr:uid="{0BDDD488-8025-498E-92F4-1A67F51293B3}"/>
    <cellStyle name="Normal 2 4 2 3 2 3 2 2 3" xfId="21645" xr:uid="{B7BD81E0-DA2C-44EF-940F-2CF530098697}"/>
    <cellStyle name="Normal 2 4 2 3 2 3 2 2 4" xfId="12346" xr:uid="{BDA0AA4A-92C8-4E12-BD0D-9E7A3CE14666}"/>
    <cellStyle name="Normal 2 4 2 3 2 3 2 3" xfId="5092" xr:uid="{00000000-0005-0000-0000-0000C50E0000}"/>
    <cellStyle name="Normal 2 4 2 3 2 3 2 3 2" xfId="23717" xr:uid="{A15B878A-47DA-414E-9527-CC119B5FA0A4}"/>
    <cellStyle name="Normal 2 4 2 3 2 3 2 3 3" xfId="14418" xr:uid="{4BC4708F-3CE6-4D31-A6EB-294D437C4C1F}"/>
    <cellStyle name="Normal 2 4 2 3 2 3 2 4" xfId="9445" xr:uid="{67F9E33C-8554-469D-8D7A-1147F632F3B0}"/>
    <cellStyle name="Normal 2 4 2 3 2 3 2 4 2" xfId="28059" xr:uid="{B779E483-1C64-49F8-8A4C-662A1D086905}"/>
    <cellStyle name="Normal 2 4 2 3 2 3 2 4 3" xfId="18760" xr:uid="{0D092E46-8CB4-4E40-9F89-9BB4A3742C24}"/>
    <cellStyle name="Normal 2 4 2 3 2 3 2 5" xfId="19500" xr:uid="{0DD6DF35-A781-446A-BED2-C692AC0E62C2}"/>
    <cellStyle name="Normal 2 4 2 3 2 3 2 6" xfId="10201" xr:uid="{1C560C42-A9E6-4D79-8045-78BDED2F430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2 2 2" xfId="26275" xr:uid="{170E0EB1-C575-497F-A0F4-C11E08FD7391}"/>
    <cellStyle name="Normal 2 4 2 3 2 3 3 2 2 3" xfId="16976" xr:uid="{2E4597F0-3032-4378-9BC4-C299C944C29A}"/>
    <cellStyle name="Normal 2 4 2 3 2 3 3 2 3" xfId="22058" xr:uid="{B7E114E0-4116-426D-880F-6938C7D694AF}"/>
    <cellStyle name="Normal 2 4 2 3 2 3 3 2 4" xfId="12759" xr:uid="{45085046-F955-4D3F-B3AF-506C6F4A53B7}"/>
    <cellStyle name="Normal 2 4 2 3 2 3 3 3" xfId="5505" xr:uid="{00000000-0005-0000-0000-0000C90E0000}"/>
    <cellStyle name="Normal 2 4 2 3 2 3 3 3 2" xfId="24130" xr:uid="{3F0F32D0-9352-4147-92B1-24A8B5B13CD0}"/>
    <cellStyle name="Normal 2 4 2 3 2 3 3 3 3" xfId="14831" xr:uid="{1BC46E14-3763-4304-8D8F-F1ABD6ED22C1}"/>
    <cellStyle name="Normal 2 4 2 3 2 3 3 4" xfId="19913" xr:uid="{37FD27EC-7257-41BB-87EB-6B4EC9A60070}"/>
    <cellStyle name="Normal 2 4 2 3 2 3 3 5" xfId="10614" xr:uid="{15A62023-872D-440B-B471-3C8988BA21DE}"/>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2 2 2" xfId="26688" xr:uid="{F15397AF-2F7D-4053-A224-C8E89700D410}"/>
    <cellStyle name="Normal 2 4 2 3 2 3 4 2 2 3" xfId="17389" xr:uid="{1229BD11-F032-4AA4-9C36-F1638CF8AA82}"/>
    <cellStyle name="Normal 2 4 2 3 2 3 4 2 3" xfId="22471" xr:uid="{57D83904-D691-4527-9FA8-1BE1AB37EA3B}"/>
    <cellStyle name="Normal 2 4 2 3 2 3 4 2 4" xfId="13172" xr:uid="{DFDDBFC2-D28D-4380-9DE9-F93442358097}"/>
    <cellStyle name="Normal 2 4 2 3 2 3 4 3" xfId="5918" xr:uid="{00000000-0005-0000-0000-0000CD0E0000}"/>
    <cellStyle name="Normal 2 4 2 3 2 3 4 3 2" xfId="24543" xr:uid="{E25B4806-5815-4F28-91B1-922BEC4E38AF}"/>
    <cellStyle name="Normal 2 4 2 3 2 3 4 3 3" xfId="15244" xr:uid="{4E57F8C4-4011-4CD6-89AB-53A859D94F9E}"/>
    <cellStyle name="Normal 2 4 2 3 2 3 4 4" xfId="20326" xr:uid="{5A5E6F56-94BC-41E8-B8B3-6AD8798D306F}"/>
    <cellStyle name="Normal 2 4 2 3 2 3 4 5" xfId="11027" xr:uid="{3BEB628A-6F50-427B-979D-31EF6880AB8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2 2 2" xfId="27101" xr:uid="{A61474F2-0805-42B1-8A86-EFE22EAB7BC2}"/>
    <cellStyle name="Normal 2 4 2 3 2 3 5 2 2 3" xfId="17802" xr:uid="{7E743F29-E97C-4657-93C8-1809E0014681}"/>
    <cellStyle name="Normal 2 4 2 3 2 3 5 2 3" xfId="22884" xr:uid="{2DF9D54F-A5C5-45A1-8D44-E74BBA50B7B5}"/>
    <cellStyle name="Normal 2 4 2 3 2 3 5 2 4" xfId="13585" xr:uid="{D083E6CD-705B-4875-AE74-FF208680B4C4}"/>
    <cellStyle name="Normal 2 4 2 3 2 3 5 3" xfId="6331" xr:uid="{00000000-0005-0000-0000-0000D10E0000}"/>
    <cellStyle name="Normal 2 4 2 3 2 3 5 3 2" xfId="24956" xr:uid="{7B06578A-2AC0-4AA9-A378-7580EC3EF9D1}"/>
    <cellStyle name="Normal 2 4 2 3 2 3 5 3 3" xfId="15657" xr:uid="{D4E58AEB-61C6-4838-A276-248250B59311}"/>
    <cellStyle name="Normal 2 4 2 3 2 3 5 4" xfId="20739" xr:uid="{C58A4974-C38E-4888-9FA0-2A4F3A410268}"/>
    <cellStyle name="Normal 2 4 2 3 2 3 5 5" xfId="11440" xr:uid="{96C88C41-A719-42EE-AF34-041F6DDFDA4C}"/>
    <cellStyle name="Normal 2 4 2 3 2 3 6" xfId="2461" xr:uid="{00000000-0005-0000-0000-0000D20E0000}"/>
    <cellStyle name="Normal 2 4 2 3 2 3 6 2" xfId="6744" xr:uid="{00000000-0005-0000-0000-0000D30E0000}"/>
    <cellStyle name="Normal 2 4 2 3 2 3 6 2 2" xfId="25369" xr:uid="{98740C56-2DF8-4071-8344-17AA6A2CD5B7}"/>
    <cellStyle name="Normal 2 4 2 3 2 3 6 2 3" xfId="16070" xr:uid="{F5E60910-52FB-49DE-B1A9-3BBAACC17296}"/>
    <cellStyle name="Normal 2 4 2 3 2 3 6 3" xfId="21152" xr:uid="{3406BE72-7CA4-4484-82CD-269DEC64D9C0}"/>
    <cellStyle name="Normal 2 4 2 3 2 3 6 4" xfId="11853" xr:uid="{E34ABD9B-ADF1-4B6D-AAF1-4ED853216C63}"/>
    <cellStyle name="Normal 2 4 2 3 2 3 7" xfId="4678" xr:uid="{00000000-0005-0000-0000-0000D40E0000}"/>
    <cellStyle name="Normal 2 4 2 3 2 3 7 2" xfId="23303" xr:uid="{614E44F8-FD30-43A6-AAC6-AE9983351C2F}"/>
    <cellStyle name="Normal 2 4 2 3 2 3 7 3" xfId="14004" xr:uid="{BFB94F8D-4DCD-4E0D-8140-3166F75B7BC8}"/>
    <cellStyle name="Normal 2 4 2 3 2 3 8" xfId="9020" xr:uid="{5718F785-8E2C-4B45-91D1-4597173D90A6}"/>
    <cellStyle name="Normal 2 4 2 3 2 3 8 2" xfId="27643" xr:uid="{64495B26-C9FD-4EA1-9F6A-22A1C8D48440}"/>
    <cellStyle name="Normal 2 4 2 3 2 3 8 3" xfId="18344" xr:uid="{5B2BCEA7-72F6-487E-951A-0E36E4223156}"/>
    <cellStyle name="Normal 2 4 2 3 2 3 9" xfId="19086" xr:uid="{91D49B04-CE65-4202-909C-61803DB44D33}"/>
    <cellStyle name="Normal 2 4 2 3 2 4" xfId="773" xr:uid="{00000000-0005-0000-0000-0000D50E0000}"/>
    <cellStyle name="Normal 2 4 2 3 2 4 2" xfId="3012" xr:uid="{00000000-0005-0000-0000-0000D60E0000}"/>
    <cellStyle name="Normal 2 4 2 3 2 4 2 2" xfId="7234" xr:uid="{00000000-0005-0000-0000-0000D70E0000}"/>
    <cellStyle name="Normal 2 4 2 3 2 4 2 2 2" xfId="25859" xr:uid="{0B505EF1-3DC0-4C0D-B8B7-45E20AE988AC}"/>
    <cellStyle name="Normal 2 4 2 3 2 4 2 2 3" xfId="16560" xr:uid="{A2EB91EC-67BC-4055-B956-4BDEEB38F71B}"/>
    <cellStyle name="Normal 2 4 2 3 2 4 2 3" xfId="21642" xr:uid="{B8F8B308-0E82-47DD-A609-135ED2881C85}"/>
    <cellStyle name="Normal 2 4 2 3 2 4 2 4" xfId="12343" xr:uid="{AA0518EE-BABC-4227-8D57-31B366DCF95D}"/>
    <cellStyle name="Normal 2 4 2 3 2 4 3" xfId="5089" xr:uid="{00000000-0005-0000-0000-0000D80E0000}"/>
    <cellStyle name="Normal 2 4 2 3 2 4 3 2" xfId="23714" xr:uid="{31ACF8DE-826F-4945-B1F7-08E70B03B1D6}"/>
    <cellStyle name="Normal 2 4 2 3 2 4 3 3" xfId="14415" xr:uid="{5319CC8D-98FE-44F8-B8BB-D615660F8477}"/>
    <cellStyle name="Normal 2 4 2 3 2 4 4" xfId="9238" xr:uid="{BC6E5A3D-C256-46E9-A109-D643C24AA206}"/>
    <cellStyle name="Normal 2 4 2 3 2 4 4 2" xfId="27852" xr:uid="{057251DA-5492-4EAD-B022-412F0F2660FF}"/>
    <cellStyle name="Normal 2 4 2 3 2 4 4 3" xfId="18553" xr:uid="{8027FBAF-36DD-4DF0-AA4D-096D4407CB67}"/>
    <cellStyle name="Normal 2 4 2 3 2 4 5" xfId="19497" xr:uid="{2E7AA2A8-1202-4F3F-A45B-149C4016BB04}"/>
    <cellStyle name="Normal 2 4 2 3 2 4 6" xfId="10198" xr:uid="{2EB08800-9759-41DA-B91D-283DBAFDAE50}"/>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2 2 2" xfId="26272" xr:uid="{69BB1AD0-1210-4F93-B9F5-79EC336EFE34}"/>
    <cellStyle name="Normal 2 4 2 3 2 5 2 2 3" xfId="16973" xr:uid="{0EFCA89B-DA87-45F4-80CA-EB20CE847082}"/>
    <cellStyle name="Normal 2 4 2 3 2 5 2 3" xfId="22055" xr:uid="{12A44A0F-FBDA-412B-AD3C-778BF57CF820}"/>
    <cellStyle name="Normal 2 4 2 3 2 5 2 4" xfId="12756" xr:uid="{76FB168D-E465-443A-A5D8-A8A18FAECD4F}"/>
    <cellStyle name="Normal 2 4 2 3 2 5 3" xfId="5502" xr:uid="{00000000-0005-0000-0000-0000DC0E0000}"/>
    <cellStyle name="Normal 2 4 2 3 2 5 3 2" xfId="24127" xr:uid="{8867570B-48E0-472D-898F-DD8056D5825A}"/>
    <cellStyle name="Normal 2 4 2 3 2 5 3 3" xfId="14828" xr:uid="{E95C3E14-4126-466D-8F0F-641F1ABE6465}"/>
    <cellStyle name="Normal 2 4 2 3 2 5 4" xfId="19910" xr:uid="{9EB5AA18-DAD3-4C1E-9F53-49179138F916}"/>
    <cellStyle name="Normal 2 4 2 3 2 5 5" xfId="10611" xr:uid="{C65381C8-1EFA-4F4D-9475-7E7FA53A34A4}"/>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2 2 2" xfId="26685" xr:uid="{9C97A250-EF5A-437B-83EA-8730C1D38E3C}"/>
    <cellStyle name="Normal 2 4 2 3 2 6 2 2 3" xfId="17386" xr:uid="{0C0A66D2-A5B1-46EC-ABAA-6471E27F1D34}"/>
    <cellStyle name="Normal 2 4 2 3 2 6 2 3" xfId="22468" xr:uid="{DAB5ECE8-A33A-49B0-BE38-7767AB7429BE}"/>
    <cellStyle name="Normal 2 4 2 3 2 6 2 4" xfId="13169" xr:uid="{04C785E4-1AE5-430A-9814-1559656621BF}"/>
    <cellStyle name="Normal 2 4 2 3 2 6 3" xfId="5915" xr:uid="{00000000-0005-0000-0000-0000E00E0000}"/>
    <cellStyle name="Normal 2 4 2 3 2 6 3 2" xfId="24540" xr:uid="{5B77B9FF-4DE8-4713-AE8F-FEF38DFCF700}"/>
    <cellStyle name="Normal 2 4 2 3 2 6 3 3" xfId="15241" xr:uid="{FEEA9A08-CDF3-4B52-886E-941C49E47ABA}"/>
    <cellStyle name="Normal 2 4 2 3 2 6 4" xfId="20323" xr:uid="{BD1FDD31-1B55-449F-8D78-F38C9C0CE3E2}"/>
    <cellStyle name="Normal 2 4 2 3 2 6 5" xfId="11024" xr:uid="{F2BBC934-2C7F-436C-8697-D5D3CA5E9391}"/>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2 2 2" xfId="27098" xr:uid="{2026228C-06C1-45E1-ADE4-39DEE576D7D6}"/>
    <cellStyle name="Normal 2 4 2 3 2 7 2 2 3" xfId="17799" xr:uid="{5182DCCC-7F6E-4E03-9384-80EA183B3956}"/>
    <cellStyle name="Normal 2 4 2 3 2 7 2 3" xfId="22881" xr:uid="{D1B84B23-44F7-47C3-A2F9-B54FD4490C7F}"/>
    <cellStyle name="Normal 2 4 2 3 2 7 2 4" xfId="13582" xr:uid="{E90D09A6-BC38-4195-9CD5-00095037619F}"/>
    <cellStyle name="Normal 2 4 2 3 2 7 3" xfId="6328" xr:uid="{00000000-0005-0000-0000-0000E40E0000}"/>
    <cellStyle name="Normal 2 4 2 3 2 7 3 2" xfId="24953" xr:uid="{C06D68A4-18CE-480B-A0F7-1D0FFAF96C68}"/>
    <cellStyle name="Normal 2 4 2 3 2 7 3 3" xfId="15654" xr:uid="{D71122E1-2228-41B8-B6FE-EF45632CC0A7}"/>
    <cellStyle name="Normal 2 4 2 3 2 7 4" xfId="20736" xr:uid="{05B7A311-D9A6-475A-A5DB-2DC11C0B0FEB}"/>
    <cellStyle name="Normal 2 4 2 3 2 7 5" xfId="11437" xr:uid="{5231AE26-1040-4210-9743-5E009A0EE782}"/>
    <cellStyle name="Normal 2 4 2 3 2 8" xfId="2458" xr:uid="{00000000-0005-0000-0000-0000E50E0000}"/>
    <cellStyle name="Normal 2 4 2 3 2 8 2" xfId="6741" xr:uid="{00000000-0005-0000-0000-0000E60E0000}"/>
    <cellStyle name="Normal 2 4 2 3 2 8 2 2" xfId="25366" xr:uid="{3E6412C7-8BA9-41AF-A1D5-32BC4476BE1D}"/>
    <cellStyle name="Normal 2 4 2 3 2 8 2 3" xfId="16067" xr:uid="{2CDB2550-F633-4119-A35E-FCF1660A235B}"/>
    <cellStyle name="Normal 2 4 2 3 2 8 3" xfId="21149" xr:uid="{DFEF3B9D-EE47-45F6-B2B3-4740D1735C56}"/>
    <cellStyle name="Normal 2 4 2 3 2 8 4" xfId="11850" xr:uid="{32DF998C-5470-402D-AACB-D2CCD7A80F08}"/>
    <cellStyle name="Normal 2 4 2 3 2 9" xfId="4675" xr:uid="{00000000-0005-0000-0000-0000E70E0000}"/>
    <cellStyle name="Normal 2 4 2 3 2 9 2" xfId="23300" xr:uid="{23154DC3-769B-48DB-B6DD-3822AA25A1AD}"/>
    <cellStyle name="Normal 2 4 2 3 2 9 3" xfId="14001" xr:uid="{4F3210C2-9670-472D-81E3-B7541A9EE8C3}"/>
    <cellStyle name="Normal 2 4 2 3 3" xfId="286" xr:uid="{00000000-0005-0000-0000-0000E80E0000}"/>
    <cellStyle name="Normal 2 4 2 3 3 10" xfId="19087" xr:uid="{E45884A3-D8DB-42CF-BF12-46A2C212A40B}"/>
    <cellStyle name="Normal 2 4 2 3 3 11" xfId="9788" xr:uid="{749D039E-445E-4B7D-9E2B-1A0292ED0632}"/>
    <cellStyle name="Normal 2 4 2 3 3 2" xfId="287" xr:uid="{00000000-0005-0000-0000-0000E90E0000}"/>
    <cellStyle name="Normal 2 4 2 3 3 2 10" xfId="9789" xr:uid="{2FE00FEC-A567-4460-AEC3-54C62EF5E022}"/>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2 2 2" xfId="25864" xr:uid="{BFA0A9CA-126E-47FB-83EC-F33D14551395}"/>
    <cellStyle name="Normal 2 4 2 3 3 2 2 2 2 3" xfId="16565" xr:uid="{47D3A93D-CB31-4150-8D3E-CA61A17E7A68}"/>
    <cellStyle name="Normal 2 4 2 3 3 2 2 2 3" xfId="21647" xr:uid="{A5292888-75D0-4DF7-85EC-2B44F9D63EF1}"/>
    <cellStyle name="Normal 2 4 2 3 3 2 2 2 4" xfId="12348" xr:uid="{9D6B6FBA-41A3-41E1-8BB8-6C3C8E71E30F}"/>
    <cellStyle name="Normal 2 4 2 3 3 2 2 3" xfId="5094" xr:uid="{00000000-0005-0000-0000-0000ED0E0000}"/>
    <cellStyle name="Normal 2 4 2 3 3 2 2 3 2" xfId="23719" xr:uid="{8F8FBB62-0824-43A9-BB33-F9D81EA3E39C}"/>
    <cellStyle name="Normal 2 4 2 3 3 2 2 3 3" xfId="14420" xr:uid="{D31B21BD-92BE-434F-A275-1F3C59666B44}"/>
    <cellStyle name="Normal 2 4 2 3 3 2 2 4" xfId="9523" xr:uid="{49BCB42B-3FEB-4D87-8E20-52FE775F87DD}"/>
    <cellStyle name="Normal 2 4 2 3 3 2 2 4 2" xfId="28137" xr:uid="{CFD2BE8B-CACE-4409-B3F8-545F004195DD}"/>
    <cellStyle name="Normal 2 4 2 3 3 2 2 4 3" xfId="18838" xr:uid="{89146667-386F-456D-8C9D-825915D6270D}"/>
    <cellStyle name="Normal 2 4 2 3 3 2 2 5" xfId="19502" xr:uid="{EACF877E-4241-4C39-A29B-925CC834F56A}"/>
    <cellStyle name="Normal 2 4 2 3 3 2 2 6" xfId="10203" xr:uid="{BCA8161B-4CDD-46F6-BBBD-07B4624FC42B}"/>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2 2 2" xfId="26277" xr:uid="{85855509-DA1B-43DA-A4B7-FC00669057C2}"/>
    <cellStyle name="Normal 2 4 2 3 3 2 3 2 2 3" xfId="16978" xr:uid="{4AC85713-ABED-41D8-842C-164808C9ABB7}"/>
    <cellStyle name="Normal 2 4 2 3 3 2 3 2 3" xfId="22060" xr:uid="{885CF062-A70D-4CEE-ABF4-D1959F47B81B}"/>
    <cellStyle name="Normal 2 4 2 3 3 2 3 2 4" xfId="12761" xr:uid="{DE16FF69-8F45-4FDA-9BC4-39187437B539}"/>
    <cellStyle name="Normal 2 4 2 3 3 2 3 3" xfId="5507" xr:uid="{00000000-0005-0000-0000-0000F10E0000}"/>
    <cellStyle name="Normal 2 4 2 3 3 2 3 3 2" xfId="24132" xr:uid="{E2265F64-498B-4D44-9E54-3E1A82E9DCAC}"/>
    <cellStyle name="Normal 2 4 2 3 3 2 3 3 3" xfId="14833" xr:uid="{AA759B9D-F53E-4F16-9EC7-BBC00CA6E02A}"/>
    <cellStyle name="Normal 2 4 2 3 3 2 3 4" xfId="19915" xr:uid="{9FFFC7C4-1327-41DF-BB16-4C0B9FBF5A38}"/>
    <cellStyle name="Normal 2 4 2 3 3 2 3 5" xfId="10616" xr:uid="{ADAE4BE8-F2C2-470C-98D0-550877B77104}"/>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2 2 2" xfId="26690" xr:uid="{4DB1EE11-47AE-4D8D-B559-45291EFFDE8A}"/>
    <cellStyle name="Normal 2 4 2 3 3 2 4 2 2 3" xfId="17391" xr:uid="{03A6C858-B279-4BC6-85D7-DEAF9F21DBCF}"/>
    <cellStyle name="Normal 2 4 2 3 3 2 4 2 3" xfId="22473" xr:uid="{91A3A9CF-3B25-4998-810E-8BC092227690}"/>
    <cellStyle name="Normal 2 4 2 3 3 2 4 2 4" xfId="13174" xr:uid="{0734C300-9AFE-4A36-A915-5A77E7A5390F}"/>
    <cellStyle name="Normal 2 4 2 3 3 2 4 3" xfId="5920" xr:uid="{00000000-0005-0000-0000-0000F50E0000}"/>
    <cellStyle name="Normal 2 4 2 3 3 2 4 3 2" xfId="24545" xr:uid="{440502D2-A58A-4DF6-B50E-CEFF019F2381}"/>
    <cellStyle name="Normal 2 4 2 3 3 2 4 3 3" xfId="15246" xr:uid="{55C8EB6A-6AF9-41E0-8A28-2904CEEC10A8}"/>
    <cellStyle name="Normal 2 4 2 3 3 2 4 4" xfId="20328" xr:uid="{93462594-D42A-424F-82D7-9462FD5223B8}"/>
    <cellStyle name="Normal 2 4 2 3 3 2 4 5" xfId="11029" xr:uid="{F04C598B-58BE-4FDA-A0F3-5FDCE6E168B5}"/>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2 2 2" xfId="27103" xr:uid="{9E202B4D-C34A-423A-A7C5-E8134F09AC09}"/>
    <cellStyle name="Normal 2 4 2 3 3 2 5 2 2 3" xfId="17804" xr:uid="{360F7BA7-0317-4BD3-B0DF-CCA6B5F1CDB3}"/>
    <cellStyle name="Normal 2 4 2 3 3 2 5 2 3" xfId="22886" xr:uid="{914C556E-03CC-4929-9E2D-5F77CBDC7C6D}"/>
    <cellStyle name="Normal 2 4 2 3 3 2 5 2 4" xfId="13587" xr:uid="{7F837DF2-D2E1-4DE7-992D-DA800FBE65E5}"/>
    <cellStyle name="Normal 2 4 2 3 3 2 5 3" xfId="6333" xr:uid="{00000000-0005-0000-0000-0000F90E0000}"/>
    <cellStyle name="Normal 2 4 2 3 3 2 5 3 2" xfId="24958" xr:uid="{8421D077-E241-4692-BA1C-5509E06E5F76}"/>
    <cellStyle name="Normal 2 4 2 3 3 2 5 3 3" xfId="15659" xr:uid="{CEEE2AC8-9F7F-4FC0-9101-989EA72F795A}"/>
    <cellStyle name="Normal 2 4 2 3 3 2 5 4" xfId="20741" xr:uid="{31BB88EA-885C-4B77-A9EA-60D5BFDEDF84}"/>
    <cellStyle name="Normal 2 4 2 3 3 2 5 5" xfId="11442" xr:uid="{5F8BAA0E-F137-4E9B-B377-FAFF54FCE897}"/>
    <cellStyle name="Normal 2 4 2 3 3 2 6" xfId="2463" xr:uid="{00000000-0005-0000-0000-0000FA0E0000}"/>
    <cellStyle name="Normal 2 4 2 3 3 2 6 2" xfId="6746" xr:uid="{00000000-0005-0000-0000-0000FB0E0000}"/>
    <cellStyle name="Normal 2 4 2 3 3 2 6 2 2" xfId="25371" xr:uid="{E17A3D3B-133E-453B-8C43-8C7B9C07AEA8}"/>
    <cellStyle name="Normal 2 4 2 3 3 2 6 2 3" xfId="16072" xr:uid="{99D43D44-A48B-4021-A495-3322B2D98CC5}"/>
    <cellStyle name="Normal 2 4 2 3 3 2 6 3" xfId="21154" xr:uid="{0E9C99E1-FE9B-4D25-8BFB-76C4F9E6B0B3}"/>
    <cellStyle name="Normal 2 4 2 3 3 2 6 4" xfId="11855" xr:uid="{99C1E91E-319D-477E-A84F-9DFF5946EAF8}"/>
    <cellStyle name="Normal 2 4 2 3 3 2 7" xfId="4680" xr:uid="{00000000-0005-0000-0000-0000FC0E0000}"/>
    <cellStyle name="Normal 2 4 2 3 3 2 7 2" xfId="23305" xr:uid="{A94CEAE3-7929-4709-B096-E6C2EABD2A32}"/>
    <cellStyle name="Normal 2 4 2 3 3 2 7 3" xfId="14006" xr:uid="{B1A2A54E-7577-4B43-89D6-422B0E9656E1}"/>
    <cellStyle name="Normal 2 4 2 3 3 2 8" xfId="9098" xr:uid="{15335B31-FFDD-479D-88EC-FAB83DC4E6EC}"/>
    <cellStyle name="Normal 2 4 2 3 3 2 8 2" xfId="27721" xr:uid="{C80D44FA-F6DF-450D-83C1-70032C0D062C}"/>
    <cellStyle name="Normal 2 4 2 3 3 2 8 3" xfId="18422" xr:uid="{61C47D0C-C17D-4E7A-B076-032F7869642D}"/>
    <cellStyle name="Normal 2 4 2 3 3 2 9" xfId="19088" xr:uid="{0FD2F1FF-9CB4-4FD1-8DC7-E644B0C93506}"/>
    <cellStyle name="Normal 2 4 2 3 3 3" xfId="777" xr:uid="{00000000-0005-0000-0000-0000FD0E0000}"/>
    <cellStyle name="Normal 2 4 2 3 3 3 2" xfId="3016" xr:uid="{00000000-0005-0000-0000-0000FE0E0000}"/>
    <cellStyle name="Normal 2 4 2 3 3 3 2 2" xfId="7238" xr:uid="{00000000-0005-0000-0000-0000FF0E0000}"/>
    <cellStyle name="Normal 2 4 2 3 3 3 2 2 2" xfId="25863" xr:uid="{0A4CECBD-D64C-48C2-A4AB-5709C8B4A827}"/>
    <cellStyle name="Normal 2 4 2 3 3 3 2 2 3" xfId="16564" xr:uid="{2D72385C-1C23-46D2-91F9-65064E6ED8E3}"/>
    <cellStyle name="Normal 2 4 2 3 3 3 2 3" xfId="21646" xr:uid="{1C84F2C5-01DC-4F39-AE75-9426358BE597}"/>
    <cellStyle name="Normal 2 4 2 3 3 3 2 4" xfId="12347" xr:uid="{4F25AB84-7638-49FA-B89E-DAB0D04D8CAA}"/>
    <cellStyle name="Normal 2 4 2 3 3 3 3" xfId="5093" xr:uid="{00000000-0005-0000-0000-0000000F0000}"/>
    <cellStyle name="Normal 2 4 2 3 3 3 3 2" xfId="23718" xr:uid="{5FA58A7E-4BF1-46A9-90B4-986FE101096F}"/>
    <cellStyle name="Normal 2 4 2 3 3 3 3 3" xfId="14419" xr:uid="{9A6AFD52-C672-4689-BF41-9A9AF3CA1B3F}"/>
    <cellStyle name="Normal 2 4 2 3 3 3 4" xfId="9316" xr:uid="{C8C83D09-5A3A-4C90-8A04-9D7CD8C85B11}"/>
    <cellStyle name="Normal 2 4 2 3 3 3 4 2" xfId="27930" xr:uid="{1581BCCB-A6C1-436C-82A2-FFAF88D2A82A}"/>
    <cellStyle name="Normal 2 4 2 3 3 3 4 3" xfId="18631" xr:uid="{6A9E5F3F-EAA6-4824-A4BF-3C9FEB0AFB0B}"/>
    <cellStyle name="Normal 2 4 2 3 3 3 5" xfId="19501" xr:uid="{CC13B552-635A-4EEF-8965-ECD8FB2A18E7}"/>
    <cellStyle name="Normal 2 4 2 3 3 3 6" xfId="10202" xr:uid="{F6E33348-082C-4C36-BC51-02A80E9EC0B2}"/>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2 2 2" xfId="26276" xr:uid="{B898C3A0-9E20-4C3F-B129-62C926818D26}"/>
    <cellStyle name="Normal 2 4 2 3 3 4 2 2 3" xfId="16977" xr:uid="{68C8CD45-823C-48D4-AC63-9F9B915A7262}"/>
    <cellStyle name="Normal 2 4 2 3 3 4 2 3" xfId="22059" xr:uid="{34C8D5DA-B841-4F4B-8629-85E94B61305B}"/>
    <cellStyle name="Normal 2 4 2 3 3 4 2 4" xfId="12760" xr:uid="{68222005-013A-482B-82CC-5619477D0E0A}"/>
    <cellStyle name="Normal 2 4 2 3 3 4 3" xfId="5506" xr:uid="{00000000-0005-0000-0000-0000040F0000}"/>
    <cellStyle name="Normal 2 4 2 3 3 4 3 2" xfId="24131" xr:uid="{58A1E564-6D7E-4508-9B85-A0179BEADDDB}"/>
    <cellStyle name="Normal 2 4 2 3 3 4 3 3" xfId="14832" xr:uid="{8A7FDAB5-F3AE-4CDE-8254-0D3EF712C113}"/>
    <cellStyle name="Normal 2 4 2 3 3 4 4" xfId="19914" xr:uid="{7315ACFF-D58E-4DB4-B6FB-5551B3B36ACC}"/>
    <cellStyle name="Normal 2 4 2 3 3 4 5" xfId="10615" xr:uid="{69AEA769-1CD1-4223-9DE1-3F22F4A7E396}"/>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2 2 2" xfId="26689" xr:uid="{3E96F4F5-BAD8-4BE4-A4DB-2F44E7C1FCF8}"/>
    <cellStyle name="Normal 2 4 2 3 3 5 2 2 3" xfId="17390" xr:uid="{44FA2023-8B82-499F-B7C2-8747C3541085}"/>
    <cellStyle name="Normal 2 4 2 3 3 5 2 3" xfId="22472" xr:uid="{F417AADF-97AF-4D8D-9198-573B40A2DFF4}"/>
    <cellStyle name="Normal 2 4 2 3 3 5 2 4" xfId="13173" xr:uid="{613B0A71-6A51-447E-8106-85B1E1C83DBD}"/>
    <cellStyle name="Normal 2 4 2 3 3 5 3" xfId="5919" xr:uid="{00000000-0005-0000-0000-0000080F0000}"/>
    <cellStyle name="Normal 2 4 2 3 3 5 3 2" xfId="24544" xr:uid="{C936F375-6BE2-46E0-A541-34F56A340A89}"/>
    <cellStyle name="Normal 2 4 2 3 3 5 3 3" xfId="15245" xr:uid="{F9C2978D-7714-4B45-A3D4-D35536668B5D}"/>
    <cellStyle name="Normal 2 4 2 3 3 5 4" xfId="20327" xr:uid="{825927FE-ED6A-4305-9D18-7D956A489D24}"/>
    <cellStyle name="Normal 2 4 2 3 3 5 5" xfId="11028" xr:uid="{F58CEC0A-EAA9-4BD0-82A9-21DDB916DA71}"/>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2 2 2" xfId="27102" xr:uid="{C6D7506B-44D7-4D8C-8E90-F855BA7BD2BF}"/>
    <cellStyle name="Normal 2 4 2 3 3 6 2 2 3" xfId="17803" xr:uid="{8886B8A4-3684-460F-8C39-63EC07570427}"/>
    <cellStyle name="Normal 2 4 2 3 3 6 2 3" xfId="22885" xr:uid="{1116F598-B825-44C4-8AFF-B8AD984F4381}"/>
    <cellStyle name="Normal 2 4 2 3 3 6 2 4" xfId="13586" xr:uid="{D65D3BF1-6D55-4D8F-9361-D4696D985532}"/>
    <cellStyle name="Normal 2 4 2 3 3 6 3" xfId="6332" xr:uid="{00000000-0005-0000-0000-00000C0F0000}"/>
    <cellStyle name="Normal 2 4 2 3 3 6 3 2" xfId="24957" xr:uid="{19C7DE2A-A4C9-42D8-8B83-7D5EC08CD1E1}"/>
    <cellStyle name="Normal 2 4 2 3 3 6 3 3" xfId="15658" xr:uid="{84A1D0EC-09F1-4C16-A195-E09E0618863E}"/>
    <cellStyle name="Normal 2 4 2 3 3 6 4" xfId="20740" xr:uid="{3A698F1A-00EE-4D72-9991-608E90AB60A2}"/>
    <cellStyle name="Normal 2 4 2 3 3 6 5" xfId="11441" xr:uid="{F68FEAD1-1A39-4D11-962E-6C02F900C428}"/>
    <cellStyle name="Normal 2 4 2 3 3 7" xfId="2462" xr:uid="{00000000-0005-0000-0000-00000D0F0000}"/>
    <cellStyle name="Normal 2 4 2 3 3 7 2" xfId="6745" xr:uid="{00000000-0005-0000-0000-00000E0F0000}"/>
    <cellStyle name="Normal 2 4 2 3 3 7 2 2" xfId="25370" xr:uid="{B7ED09D2-A1F0-4A67-9968-78DD78F1A94F}"/>
    <cellStyle name="Normal 2 4 2 3 3 7 2 3" xfId="16071" xr:uid="{3B76ABE4-DEE7-41D6-AD9A-D6F022FE61AF}"/>
    <cellStyle name="Normal 2 4 2 3 3 7 3" xfId="21153" xr:uid="{5F4B0AEF-CCB1-4B8B-911E-B3EE772B80E0}"/>
    <cellStyle name="Normal 2 4 2 3 3 7 4" xfId="11854" xr:uid="{2B00287C-67B4-4E4B-B385-98B07991F773}"/>
    <cellStyle name="Normal 2 4 2 3 3 8" xfId="4679" xr:uid="{00000000-0005-0000-0000-00000F0F0000}"/>
    <cellStyle name="Normal 2 4 2 3 3 8 2" xfId="23304" xr:uid="{F76DABED-AB89-45FB-8669-0EE8A1433289}"/>
    <cellStyle name="Normal 2 4 2 3 3 8 3" xfId="14005" xr:uid="{0F15F358-3361-4528-97C0-34CA49CE36E7}"/>
    <cellStyle name="Normal 2 4 2 3 3 9" xfId="8891" xr:uid="{D2DF60A1-A34B-4A3F-B29E-E581EFBA8360}"/>
    <cellStyle name="Normal 2 4 2 3 3 9 2" xfId="27514" xr:uid="{487EED01-6EE2-4451-A673-F14D2067BE44}"/>
    <cellStyle name="Normal 2 4 2 3 3 9 3" xfId="18215" xr:uid="{E55F84B2-1BCF-4E70-A17F-987B249E4D2F}"/>
    <cellStyle name="Normal 2 4 2 3 4" xfId="288" xr:uid="{00000000-0005-0000-0000-0000100F0000}"/>
    <cellStyle name="Normal 2 4 2 3 4 10" xfId="9790" xr:uid="{D6B45696-5F4D-453D-A31E-965D368B9D48}"/>
    <cellStyle name="Normal 2 4 2 3 4 2" xfId="779" xr:uid="{00000000-0005-0000-0000-0000110F0000}"/>
    <cellStyle name="Normal 2 4 2 3 4 2 2" xfId="3018" xr:uid="{00000000-0005-0000-0000-0000120F0000}"/>
    <cellStyle name="Normal 2 4 2 3 4 2 2 2" xfId="7240" xr:uid="{00000000-0005-0000-0000-0000130F0000}"/>
    <cellStyle name="Normal 2 4 2 3 4 2 2 2 2" xfId="25865" xr:uid="{2363936B-A2CC-4222-9C80-4FA0EBB7729D}"/>
    <cellStyle name="Normal 2 4 2 3 4 2 2 2 3" xfId="16566" xr:uid="{C961E390-8331-4715-B9AA-67DB3EC4A657}"/>
    <cellStyle name="Normal 2 4 2 3 4 2 2 3" xfId="21648" xr:uid="{39ACF85A-9E65-41ED-8947-3DC505A1A325}"/>
    <cellStyle name="Normal 2 4 2 3 4 2 2 4" xfId="12349" xr:uid="{F9E98E3A-EB9F-44DD-AF69-5F2138EDE40E}"/>
    <cellStyle name="Normal 2 4 2 3 4 2 3" xfId="5095" xr:uid="{00000000-0005-0000-0000-0000140F0000}"/>
    <cellStyle name="Normal 2 4 2 3 4 2 3 2" xfId="23720" xr:uid="{17891B7C-950F-41C3-A844-EFF8A2043183}"/>
    <cellStyle name="Normal 2 4 2 3 4 2 3 3" xfId="14421" xr:uid="{976787F7-3DE4-4287-8EB7-8A2D86923F1A}"/>
    <cellStyle name="Normal 2 4 2 3 4 2 4" xfId="9420" xr:uid="{49E252B3-99BC-416A-A0CB-FE2641ECFDE3}"/>
    <cellStyle name="Normal 2 4 2 3 4 2 4 2" xfId="28034" xr:uid="{97748F61-4076-4B76-9917-B7C2966773BD}"/>
    <cellStyle name="Normal 2 4 2 3 4 2 4 3" xfId="18735" xr:uid="{2F1263B3-28E5-410D-AF23-1D61D8CBF67D}"/>
    <cellStyle name="Normal 2 4 2 3 4 2 5" xfId="19503" xr:uid="{6E12A1FD-98FC-4CF8-8A8B-0107D83EBA4A}"/>
    <cellStyle name="Normal 2 4 2 3 4 2 6" xfId="10204" xr:uid="{168124E0-C1ED-4D94-A6BD-2B1941D1F605}"/>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2 2 2" xfId="26278" xr:uid="{4FEB4BD1-C6CF-4BCF-8AE2-BB52E4E7ABDD}"/>
    <cellStyle name="Normal 2 4 2 3 4 3 2 2 3" xfId="16979" xr:uid="{2A68F2D8-7CFE-4C66-B560-562D1AC52AEC}"/>
    <cellStyle name="Normal 2 4 2 3 4 3 2 3" xfId="22061" xr:uid="{A6E2D649-18B4-4C8F-BE9D-0C7E92813ADF}"/>
    <cellStyle name="Normal 2 4 2 3 4 3 2 4" xfId="12762" xr:uid="{DB49861A-F5E0-40B4-9AA7-E4174E5BEB05}"/>
    <cellStyle name="Normal 2 4 2 3 4 3 3" xfId="5508" xr:uid="{00000000-0005-0000-0000-0000180F0000}"/>
    <cellStyle name="Normal 2 4 2 3 4 3 3 2" xfId="24133" xr:uid="{0619D407-7BF9-4D63-8B48-957CA783D994}"/>
    <cellStyle name="Normal 2 4 2 3 4 3 3 3" xfId="14834" xr:uid="{5D7CB516-02D0-4BCF-9CA8-445D650E9555}"/>
    <cellStyle name="Normal 2 4 2 3 4 3 4" xfId="19916" xr:uid="{53EB2357-5EC2-4307-BBB8-BB9B58781926}"/>
    <cellStyle name="Normal 2 4 2 3 4 3 5" xfId="10617" xr:uid="{B86B61F7-25E6-4F2A-BFEF-70258C57DFD2}"/>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2 2 2" xfId="26691" xr:uid="{8C6BA82C-1B30-41FF-9B35-D4B50D99FF7D}"/>
    <cellStyle name="Normal 2 4 2 3 4 4 2 2 3" xfId="17392" xr:uid="{F3621D0B-7A19-4D67-9CC3-4915511E79CE}"/>
    <cellStyle name="Normal 2 4 2 3 4 4 2 3" xfId="22474" xr:uid="{2BE7F98D-CA73-4F9B-A1B7-E2CDD68D1103}"/>
    <cellStyle name="Normal 2 4 2 3 4 4 2 4" xfId="13175" xr:uid="{80947492-06C7-45B6-96A1-8EDB1D685613}"/>
    <cellStyle name="Normal 2 4 2 3 4 4 3" xfId="5921" xr:uid="{00000000-0005-0000-0000-00001C0F0000}"/>
    <cellStyle name="Normal 2 4 2 3 4 4 3 2" xfId="24546" xr:uid="{77893E07-F463-4FDC-9E85-688351A29DE4}"/>
    <cellStyle name="Normal 2 4 2 3 4 4 3 3" xfId="15247" xr:uid="{1B61332E-7AB0-4CE4-8070-06A0112C1DC2}"/>
    <cellStyle name="Normal 2 4 2 3 4 4 4" xfId="20329" xr:uid="{7DA78199-E5A7-444F-A1F2-26E9689B5040}"/>
    <cellStyle name="Normal 2 4 2 3 4 4 5" xfId="11030" xr:uid="{E490E7C7-4D01-403E-A103-23BF6F341BBD}"/>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2 2 2" xfId="27104" xr:uid="{FBA9BA99-B84E-4012-A209-E0AF45AEA711}"/>
    <cellStyle name="Normal 2 4 2 3 4 5 2 2 3" xfId="17805" xr:uid="{7E6EE266-7405-45AF-A6E6-FB69E3CC1FEF}"/>
    <cellStyle name="Normal 2 4 2 3 4 5 2 3" xfId="22887" xr:uid="{31D2F445-52EE-41CC-8361-A88BF4844748}"/>
    <cellStyle name="Normal 2 4 2 3 4 5 2 4" xfId="13588" xr:uid="{906DCD68-AEBC-44FD-9A62-B6B483539338}"/>
    <cellStyle name="Normal 2 4 2 3 4 5 3" xfId="6334" xr:uid="{00000000-0005-0000-0000-0000200F0000}"/>
    <cellStyle name="Normal 2 4 2 3 4 5 3 2" xfId="24959" xr:uid="{3EEEB484-1E60-4FE2-AA96-3D74D0D59A59}"/>
    <cellStyle name="Normal 2 4 2 3 4 5 3 3" xfId="15660" xr:uid="{2684DAE7-47CC-434E-A592-BCE40DA6CBF2}"/>
    <cellStyle name="Normal 2 4 2 3 4 5 4" xfId="20742" xr:uid="{E0D9595D-B07F-480F-907A-94EDD0EE0DE7}"/>
    <cellStyle name="Normal 2 4 2 3 4 5 5" xfId="11443" xr:uid="{E3335F62-481D-4BBB-A331-9B211EDF21B0}"/>
    <cellStyle name="Normal 2 4 2 3 4 6" xfId="2464" xr:uid="{00000000-0005-0000-0000-0000210F0000}"/>
    <cellStyle name="Normal 2 4 2 3 4 6 2" xfId="6747" xr:uid="{00000000-0005-0000-0000-0000220F0000}"/>
    <cellStyle name="Normal 2 4 2 3 4 6 2 2" xfId="25372" xr:uid="{161CDAE6-ECE4-49A1-A0FA-11744FDFBCFB}"/>
    <cellStyle name="Normal 2 4 2 3 4 6 2 3" xfId="16073" xr:uid="{A8A7E039-50B2-46A5-9484-CDA1157A79F2}"/>
    <cellStyle name="Normal 2 4 2 3 4 6 3" xfId="21155" xr:uid="{BC303600-629E-40AB-83A9-5DDABB89CC86}"/>
    <cellStyle name="Normal 2 4 2 3 4 6 4" xfId="11856" xr:uid="{A22FE761-4540-4099-9819-5067A75E2D6A}"/>
    <cellStyle name="Normal 2 4 2 3 4 7" xfId="4681" xr:uid="{00000000-0005-0000-0000-0000230F0000}"/>
    <cellStyle name="Normal 2 4 2 3 4 7 2" xfId="23306" xr:uid="{40EB6F47-E9A3-4D59-B398-2E31403182D3}"/>
    <cellStyle name="Normal 2 4 2 3 4 7 3" xfId="14007" xr:uid="{9CD41DAF-733C-4C4A-8E37-0C9B5F6488F6}"/>
    <cellStyle name="Normal 2 4 2 3 4 8" xfId="8995" xr:uid="{EEE25A27-4C18-4948-8341-FF27707A7A86}"/>
    <cellStyle name="Normal 2 4 2 3 4 8 2" xfId="27618" xr:uid="{B1D4625E-45D5-405B-9265-256F5D6C5B0B}"/>
    <cellStyle name="Normal 2 4 2 3 4 8 3" xfId="18319" xr:uid="{FC30E389-DC5F-4E17-8201-28112E24E89E}"/>
    <cellStyle name="Normal 2 4 2 3 4 9" xfId="19089" xr:uid="{BAA0A1A8-0C1C-4D0F-A9F0-18139DFB15D3}"/>
    <cellStyle name="Normal 2 4 2 3 5" xfId="772" xr:uid="{00000000-0005-0000-0000-0000240F0000}"/>
    <cellStyle name="Normal 2 4 2 3 5 2" xfId="3011" xr:uid="{00000000-0005-0000-0000-0000250F0000}"/>
    <cellStyle name="Normal 2 4 2 3 5 2 2" xfId="7233" xr:uid="{00000000-0005-0000-0000-0000260F0000}"/>
    <cellStyle name="Normal 2 4 2 3 5 2 2 2" xfId="25858" xr:uid="{6B715230-E80B-455F-B0BD-084639384F86}"/>
    <cellStyle name="Normal 2 4 2 3 5 2 2 3" xfId="16559" xr:uid="{3C2557A9-6B39-434B-8003-79651E082037}"/>
    <cellStyle name="Normal 2 4 2 3 5 2 3" xfId="21641" xr:uid="{083F1502-82B1-443E-A983-5FBCAE100F88}"/>
    <cellStyle name="Normal 2 4 2 3 5 2 4" xfId="12342" xr:uid="{5D0C821D-910A-4EE4-902B-336BB8D09050}"/>
    <cellStyle name="Normal 2 4 2 3 5 3" xfId="5088" xr:uid="{00000000-0005-0000-0000-0000270F0000}"/>
    <cellStyle name="Normal 2 4 2 3 5 3 2" xfId="23713" xr:uid="{B6C15E63-3175-4A78-862C-B7737C6D4FDF}"/>
    <cellStyle name="Normal 2 4 2 3 5 3 3" xfId="14414" xr:uid="{F0536BC7-85D5-452A-AF6A-4C549105CF8F}"/>
    <cellStyle name="Normal 2 4 2 3 5 4" xfId="9212" xr:uid="{39F1BF9F-C79C-4226-B2D8-665EAA6F3686}"/>
    <cellStyle name="Normal 2 4 2 3 5 4 2" xfId="27827" xr:uid="{590CCEDF-C4C8-4E1E-8330-87F6279BE445}"/>
    <cellStyle name="Normal 2 4 2 3 5 4 3" xfId="18528" xr:uid="{AF951BDC-9F2F-433D-89E1-52670CB1C03C}"/>
    <cellStyle name="Normal 2 4 2 3 5 5" xfId="19496" xr:uid="{13EC6285-6649-4111-9E23-B8AFCF582F87}"/>
    <cellStyle name="Normal 2 4 2 3 5 6" xfId="10197" xr:uid="{B2664F93-2AC7-4454-B086-C4CDCFC591E7}"/>
    <cellStyle name="Normal 2 4 2 3 6" xfId="1194" xr:uid="{00000000-0005-0000-0000-0000280F0000}"/>
    <cellStyle name="Normal 2 4 2 3 6 2" xfId="3424" xr:uid="{00000000-0005-0000-0000-0000290F0000}"/>
    <cellStyle name="Normal 2 4 2 3 6 2 2" xfId="7646" xr:uid="{00000000-0005-0000-0000-00002A0F0000}"/>
    <cellStyle name="Normal 2 4 2 3 6 2 2 2" xfId="26271" xr:uid="{727D460A-CB1D-4190-AE79-0FE048E4693C}"/>
    <cellStyle name="Normal 2 4 2 3 6 2 2 3" xfId="16972" xr:uid="{C41A3054-7168-4DF0-8CFF-B69EA668254E}"/>
    <cellStyle name="Normal 2 4 2 3 6 2 3" xfId="22054" xr:uid="{5D459CBF-A3AB-46B4-AA20-2EB591179A0D}"/>
    <cellStyle name="Normal 2 4 2 3 6 2 4" xfId="12755" xr:uid="{409167E0-2454-4E8D-A21D-57010A9FC148}"/>
    <cellStyle name="Normal 2 4 2 3 6 3" xfId="5501" xr:uid="{00000000-0005-0000-0000-00002B0F0000}"/>
    <cellStyle name="Normal 2 4 2 3 6 3 2" xfId="24126" xr:uid="{D94BE126-3A96-400A-818C-27755BA0786A}"/>
    <cellStyle name="Normal 2 4 2 3 6 3 3" xfId="14827" xr:uid="{407D98E8-4DDE-42D3-8CB8-45BDCE0FAD39}"/>
    <cellStyle name="Normal 2 4 2 3 6 4" xfId="19909" xr:uid="{8371F5C1-6978-487D-B89B-BFA259D8080C}"/>
    <cellStyle name="Normal 2 4 2 3 6 5" xfId="10610" xr:uid="{A98A79F2-4440-4BA9-BD66-798561F7B121}"/>
    <cellStyle name="Normal 2 4 2 3 7" xfId="1607" xr:uid="{00000000-0005-0000-0000-00002C0F0000}"/>
    <cellStyle name="Normal 2 4 2 3 7 2" xfId="3837" xr:uid="{00000000-0005-0000-0000-00002D0F0000}"/>
    <cellStyle name="Normal 2 4 2 3 7 2 2" xfId="8059" xr:uid="{00000000-0005-0000-0000-00002E0F0000}"/>
    <cellStyle name="Normal 2 4 2 3 7 2 2 2" xfId="26684" xr:uid="{1C5DDCB6-2CB2-4A50-AE7B-8D0914F6CA55}"/>
    <cellStyle name="Normal 2 4 2 3 7 2 2 3" xfId="17385" xr:uid="{EB117A3C-AF25-4706-AD9E-871746EF5FF8}"/>
    <cellStyle name="Normal 2 4 2 3 7 2 3" xfId="22467" xr:uid="{A036883B-909A-42C0-BAB8-838123349E3B}"/>
    <cellStyle name="Normal 2 4 2 3 7 2 4" xfId="13168" xr:uid="{FFE3FC2C-1A6D-4143-AF83-A11EFC26337A}"/>
    <cellStyle name="Normal 2 4 2 3 7 3" xfId="5914" xr:uid="{00000000-0005-0000-0000-00002F0F0000}"/>
    <cellStyle name="Normal 2 4 2 3 7 3 2" xfId="24539" xr:uid="{94535BDB-12C3-4EA4-BBFB-0DFD9E6AA41D}"/>
    <cellStyle name="Normal 2 4 2 3 7 3 3" xfId="15240" xr:uid="{BB16F111-E329-40CF-8DC7-85672A8C991D}"/>
    <cellStyle name="Normal 2 4 2 3 7 4" xfId="20322" xr:uid="{9A2E3512-4E24-4676-A236-CBA4189D3A7B}"/>
    <cellStyle name="Normal 2 4 2 3 7 5" xfId="11023" xr:uid="{B745E619-5685-4C76-BF12-EDF596EC7724}"/>
    <cellStyle name="Normal 2 4 2 3 8" xfId="2021" xr:uid="{00000000-0005-0000-0000-0000300F0000}"/>
    <cellStyle name="Normal 2 4 2 3 8 2" xfId="4250" xr:uid="{00000000-0005-0000-0000-0000310F0000}"/>
    <cellStyle name="Normal 2 4 2 3 8 2 2" xfId="8472" xr:uid="{00000000-0005-0000-0000-0000320F0000}"/>
    <cellStyle name="Normal 2 4 2 3 8 2 2 2" xfId="27097" xr:uid="{19AE4BDE-8124-4739-A493-85EF6F453148}"/>
    <cellStyle name="Normal 2 4 2 3 8 2 2 3" xfId="17798" xr:uid="{91B63236-612C-4F42-92DA-557FD03F8F7D}"/>
    <cellStyle name="Normal 2 4 2 3 8 2 3" xfId="22880" xr:uid="{0DE5C003-C0D1-416F-A9BF-1A1637A19569}"/>
    <cellStyle name="Normal 2 4 2 3 8 2 4" xfId="13581" xr:uid="{6A96DF30-6B02-454E-A041-23B984DEAF87}"/>
    <cellStyle name="Normal 2 4 2 3 8 3" xfId="6327" xr:uid="{00000000-0005-0000-0000-0000330F0000}"/>
    <cellStyle name="Normal 2 4 2 3 8 3 2" xfId="24952" xr:uid="{1F86EB2F-5A9E-42FF-BB70-8DCEC60640D1}"/>
    <cellStyle name="Normal 2 4 2 3 8 3 3" xfId="15653" xr:uid="{C0E78FA5-7FBE-439A-82C0-858DD96EA00C}"/>
    <cellStyle name="Normal 2 4 2 3 8 4" xfId="20735" xr:uid="{39873F14-0587-49B3-9FAA-4F0F6E866EE5}"/>
    <cellStyle name="Normal 2 4 2 3 8 5" xfId="11436" xr:uid="{989AF15C-57D6-45F8-84F2-88FE708E282E}"/>
    <cellStyle name="Normal 2 4 2 3 9" xfId="2457" xr:uid="{00000000-0005-0000-0000-0000340F0000}"/>
    <cellStyle name="Normal 2 4 2 3 9 2" xfId="6740" xr:uid="{00000000-0005-0000-0000-0000350F0000}"/>
    <cellStyle name="Normal 2 4 2 3 9 2 2" xfId="25365" xr:uid="{7705905E-2997-44A6-87BC-BAA2E230774F}"/>
    <cellStyle name="Normal 2 4 2 3 9 2 3" xfId="16066" xr:uid="{DF8BF126-FF70-44B5-9C74-C94F1A2A83CE}"/>
    <cellStyle name="Normal 2 4 2 3 9 3" xfId="21148" xr:uid="{8FC83F4C-3C44-4AFC-84E5-9F08ED267B58}"/>
    <cellStyle name="Normal 2 4 2 3 9 4" xfId="11849" xr:uid="{F8FCAF0A-ABBE-4CB2-BE50-107BC251F649}"/>
    <cellStyle name="Normal 2 4 2 4" xfId="289" xr:uid="{00000000-0005-0000-0000-0000360F0000}"/>
    <cellStyle name="Normal 2 4 2 4 10" xfId="8812" xr:uid="{C2E08BA7-2068-4F74-AFE2-E0AED0B82FE2}"/>
    <cellStyle name="Normal 2 4 2 4 10 2" xfId="27435" xr:uid="{7D38112A-9B0B-45D2-A65D-A821FD3454D0}"/>
    <cellStyle name="Normal 2 4 2 4 10 3" xfId="18136" xr:uid="{B98250F4-10E6-4F58-B347-70038F627D80}"/>
    <cellStyle name="Normal 2 4 2 4 11" xfId="19090" xr:uid="{195EF28F-FB43-4C61-B564-3F547660AE53}"/>
    <cellStyle name="Normal 2 4 2 4 12" xfId="9791" xr:uid="{8D93F59F-2A1D-4EEA-A125-2CE3ABF719E6}"/>
    <cellStyle name="Normal 2 4 2 4 2" xfId="290" xr:uid="{00000000-0005-0000-0000-0000370F0000}"/>
    <cellStyle name="Normal 2 4 2 4 2 10" xfId="19091" xr:uid="{FB387002-ADAC-481B-9065-1519652CE8F5}"/>
    <cellStyle name="Normal 2 4 2 4 2 11" xfId="9792" xr:uid="{63828960-E43B-453A-9FBC-BCD1D2E3C623}"/>
    <cellStyle name="Normal 2 4 2 4 2 2" xfId="291" xr:uid="{00000000-0005-0000-0000-0000380F0000}"/>
    <cellStyle name="Normal 2 4 2 4 2 2 10" xfId="9793" xr:uid="{3BB13B36-6B87-49CC-94E8-C4C447A46EDA}"/>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2 2 2" xfId="25868" xr:uid="{CE668431-A105-4BBF-A16E-2497CDFABC58}"/>
    <cellStyle name="Normal 2 4 2 4 2 2 2 2 2 3" xfId="16569" xr:uid="{110D84C9-D9F6-4D50-B243-158E622AB215}"/>
    <cellStyle name="Normal 2 4 2 4 2 2 2 2 3" xfId="21651" xr:uid="{AE4502D4-CC6D-4A22-99D8-833BCFA3F072}"/>
    <cellStyle name="Normal 2 4 2 4 2 2 2 2 4" xfId="12352" xr:uid="{0741A3E2-32D9-4D23-A075-25077D5ED575}"/>
    <cellStyle name="Normal 2 4 2 4 2 2 2 3" xfId="5098" xr:uid="{00000000-0005-0000-0000-00003C0F0000}"/>
    <cellStyle name="Normal 2 4 2 4 2 2 2 3 2" xfId="23723" xr:uid="{AE03F3A4-1DAD-4740-9CDE-2B6CF8E5995D}"/>
    <cellStyle name="Normal 2 4 2 4 2 2 2 3 3" xfId="14424" xr:uid="{A70D1D11-0280-43C8-898C-F2C230F58966}"/>
    <cellStyle name="Normal 2 4 2 4 2 2 2 4" xfId="9547" xr:uid="{F8909421-8B16-4168-8B85-A5523C430C3C}"/>
    <cellStyle name="Normal 2 4 2 4 2 2 2 4 2" xfId="28161" xr:uid="{947D78C5-3F6A-4BD9-80EE-3F3FF2CB54F6}"/>
    <cellStyle name="Normal 2 4 2 4 2 2 2 4 3" xfId="18862" xr:uid="{4C8D3061-B89D-4600-A1A5-72018F8C680E}"/>
    <cellStyle name="Normal 2 4 2 4 2 2 2 5" xfId="19506" xr:uid="{018469BD-D4E1-4B8B-AE31-DAA6BCCAA2E0}"/>
    <cellStyle name="Normal 2 4 2 4 2 2 2 6" xfId="10207" xr:uid="{B9A5A086-C543-49B2-A356-8141F8AC9362}"/>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2 2 2" xfId="26281" xr:uid="{0CD9F8E3-10BC-4770-B51D-CFCD5A65C96E}"/>
    <cellStyle name="Normal 2 4 2 4 2 2 3 2 2 3" xfId="16982" xr:uid="{69A586EC-6872-4659-948E-CC8A47F2CF24}"/>
    <cellStyle name="Normal 2 4 2 4 2 2 3 2 3" xfId="22064" xr:uid="{92AD93AC-7527-478F-9E15-D7B7BB5280E7}"/>
    <cellStyle name="Normal 2 4 2 4 2 2 3 2 4" xfId="12765" xr:uid="{37B61A00-4EAA-4CC7-B329-91108174AE01}"/>
    <cellStyle name="Normal 2 4 2 4 2 2 3 3" xfId="5511" xr:uid="{00000000-0005-0000-0000-0000400F0000}"/>
    <cellStyle name="Normal 2 4 2 4 2 2 3 3 2" xfId="24136" xr:uid="{F964E7E3-0C38-4F02-AC10-A6CF56121AA4}"/>
    <cellStyle name="Normal 2 4 2 4 2 2 3 3 3" xfId="14837" xr:uid="{1CEF89A4-5A37-4B72-BE37-27FA51ADF3B2}"/>
    <cellStyle name="Normal 2 4 2 4 2 2 3 4" xfId="19919" xr:uid="{8BDF02FB-B109-4B10-9029-FD97B44204F8}"/>
    <cellStyle name="Normal 2 4 2 4 2 2 3 5" xfId="10620" xr:uid="{6D805BCB-E6E9-4B14-8D5A-7C5EA5E8A443}"/>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2 2 2" xfId="26694" xr:uid="{97A7107F-88E3-421C-858E-556711F80DD4}"/>
    <cellStyle name="Normal 2 4 2 4 2 2 4 2 2 3" xfId="17395" xr:uid="{E1D57D46-09AA-4F77-9292-913E30BDFAAF}"/>
    <cellStyle name="Normal 2 4 2 4 2 2 4 2 3" xfId="22477" xr:uid="{DB599788-296F-4011-81FA-D1916EABEEAE}"/>
    <cellStyle name="Normal 2 4 2 4 2 2 4 2 4" xfId="13178" xr:uid="{2413AB07-82D2-47A4-8C59-041E1550D775}"/>
    <cellStyle name="Normal 2 4 2 4 2 2 4 3" xfId="5924" xr:uid="{00000000-0005-0000-0000-0000440F0000}"/>
    <cellStyle name="Normal 2 4 2 4 2 2 4 3 2" xfId="24549" xr:uid="{E96E75FA-66B2-46E1-A3E9-D84C01BC1CFE}"/>
    <cellStyle name="Normal 2 4 2 4 2 2 4 3 3" xfId="15250" xr:uid="{B0DCAF1F-61A7-4303-8A72-F8541A5F272A}"/>
    <cellStyle name="Normal 2 4 2 4 2 2 4 4" xfId="20332" xr:uid="{C323A6A1-3625-4453-A299-15A10174EBF1}"/>
    <cellStyle name="Normal 2 4 2 4 2 2 4 5" xfId="11033" xr:uid="{2C9F1ABC-4586-4B8F-9C12-D1EB696A8C48}"/>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2 2 2" xfId="27107" xr:uid="{3A1B9DDF-EA9C-4FFE-A58B-652934E18A33}"/>
    <cellStyle name="Normal 2 4 2 4 2 2 5 2 2 3" xfId="17808" xr:uid="{FEB744AE-E4AB-4FE7-B240-C4F27D62A6DF}"/>
    <cellStyle name="Normal 2 4 2 4 2 2 5 2 3" xfId="22890" xr:uid="{BFBB57F9-DE93-4348-A3AD-0EDE8A756A93}"/>
    <cellStyle name="Normal 2 4 2 4 2 2 5 2 4" xfId="13591" xr:uid="{79A3862D-6A56-46FB-95BD-254118B446A6}"/>
    <cellStyle name="Normal 2 4 2 4 2 2 5 3" xfId="6337" xr:uid="{00000000-0005-0000-0000-0000480F0000}"/>
    <cellStyle name="Normal 2 4 2 4 2 2 5 3 2" xfId="24962" xr:uid="{CA3FDD09-FED1-4A0C-B84F-687A75A4B3CA}"/>
    <cellStyle name="Normal 2 4 2 4 2 2 5 3 3" xfId="15663" xr:uid="{833C1751-FE56-49A1-AF92-063C615BAA46}"/>
    <cellStyle name="Normal 2 4 2 4 2 2 5 4" xfId="20745" xr:uid="{2472C10E-B1EB-4F73-95EB-E478927AC9E3}"/>
    <cellStyle name="Normal 2 4 2 4 2 2 5 5" xfId="11446" xr:uid="{C734E2A8-7C9F-4F68-848D-8A1C10384BC0}"/>
    <cellStyle name="Normal 2 4 2 4 2 2 6" xfId="2467" xr:uid="{00000000-0005-0000-0000-0000490F0000}"/>
    <cellStyle name="Normal 2 4 2 4 2 2 6 2" xfId="6750" xr:uid="{00000000-0005-0000-0000-00004A0F0000}"/>
    <cellStyle name="Normal 2 4 2 4 2 2 6 2 2" xfId="25375" xr:uid="{945ABA30-F077-4EEA-9F4E-C5DBE6D2E37D}"/>
    <cellStyle name="Normal 2 4 2 4 2 2 6 2 3" xfId="16076" xr:uid="{983F09CF-07BF-47E0-AE76-C5C1B858F244}"/>
    <cellStyle name="Normal 2 4 2 4 2 2 6 3" xfId="21158" xr:uid="{24B8FA5B-4221-421A-A1E7-15D71961D0C7}"/>
    <cellStyle name="Normal 2 4 2 4 2 2 6 4" xfId="11859" xr:uid="{52B08430-E283-48AB-8919-744C7300F58F}"/>
    <cellStyle name="Normal 2 4 2 4 2 2 7" xfId="4684" xr:uid="{00000000-0005-0000-0000-00004B0F0000}"/>
    <cellStyle name="Normal 2 4 2 4 2 2 7 2" xfId="23309" xr:uid="{D5ECBE14-03C7-4712-A8E0-442C439AC358}"/>
    <cellStyle name="Normal 2 4 2 4 2 2 7 3" xfId="14010" xr:uid="{2BFB767F-C43A-42BD-9F49-97A0A324269D}"/>
    <cellStyle name="Normal 2 4 2 4 2 2 8" xfId="9122" xr:uid="{861CB008-611F-4F3F-9D09-5BCA5A4CB255}"/>
    <cellStyle name="Normal 2 4 2 4 2 2 8 2" xfId="27745" xr:uid="{6E643F4C-EFFB-4864-A1B9-47E3D3AAE2A4}"/>
    <cellStyle name="Normal 2 4 2 4 2 2 8 3" xfId="18446" xr:uid="{35D30F14-1E8E-4797-9ED9-BE91E01D569E}"/>
    <cellStyle name="Normal 2 4 2 4 2 2 9" xfId="19092" xr:uid="{15F8DEC0-6396-42C6-9009-439B1A7F0D33}"/>
    <cellStyle name="Normal 2 4 2 4 2 3" xfId="781" xr:uid="{00000000-0005-0000-0000-00004C0F0000}"/>
    <cellStyle name="Normal 2 4 2 4 2 3 2" xfId="3020" xr:uid="{00000000-0005-0000-0000-00004D0F0000}"/>
    <cellStyle name="Normal 2 4 2 4 2 3 2 2" xfId="7242" xr:uid="{00000000-0005-0000-0000-00004E0F0000}"/>
    <cellStyle name="Normal 2 4 2 4 2 3 2 2 2" xfId="25867" xr:uid="{6842B1CF-2B0C-4951-A0DD-0F090DC05ECF}"/>
    <cellStyle name="Normal 2 4 2 4 2 3 2 2 3" xfId="16568" xr:uid="{6A7AD12A-AB9C-42D4-8D16-2B95EA8D9636}"/>
    <cellStyle name="Normal 2 4 2 4 2 3 2 3" xfId="21650" xr:uid="{253AEE70-8F98-44CC-A936-A786CFBA0892}"/>
    <cellStyle name="Normal 2 4 2 4 2 3 2 4" xfId="12351" xr:uid="{7F197096-963A-4D42-B346-D0127EFBB5C5}"/>
    <cellStyle name="Normal 2 4 2 4 2 3 3" xfId="5097" xr:uid="{00000000-0005-0000-0000-00004F0F0000}"/>
    <cellStyle name="Normal 2 4 2 4 2 3 3 2" xfId="23722" xr:uid="{B990C74D-D7F9-4146-B38A-A2D17211DFE1}"/>
    <cellStyle name="Normal 2 4 2 4 2 3 3 3" xfId="14423" xr:uid="{D3D38825-2FAF-4A08-968B-981D27990792}"/>
    <cellStyle name="Normal 2 4 2 4 2 3 4" xfId="9340" xr:uid="{2D1F2F91-F6E8-42AC-98D0-B8667E0ECE37}"/>
    <cellStyle name="Normal 2 4 2 4 2 3 4 2" xfId="27954" xr:uid="{3576A254-2EBA-420D-BECE-FE18574649EE}"/>
    <cellStyle name="Normal 2 4 2 4 2 3 4 3" xfId="18655" xr:uid="{2CA6BFA7-255F-4CD2-B8A0-45CD0116E0F2}"/>
    <cellStyle name="Normal 2 4 2 4 2 3 5" xfId="19505" xr:uid="{52D9766D-4AB2-44FA-B7CC-200BBC39C86A}"/>
    <cellStyle name="Normal 2 4 2 4 2 3 6" xfId="10206" xr:uid="{2451BCE4-84B8-4B18-8E41-7231D3DE2A7D}"/>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2 2 2" xfId="26280" xr:uid="{F37C2C23-D15F-4A8E-9536-306B3F1E639A}"/>
    <cellStyle name="Normal 2 4 2 4 2 4 2 2 3" xfId="16981" xr:uid="{4D01544D-6934-4EB9-82A7-60A8A59638E3}"/>
    <cellStyle name="Normal 2 4 2 4 2 4 2 3" xfId="22063" xr:uid="{8C9EADDC-5BE4-427A-8919-5886E93B909C}"/>
    <cellStyle name="Normal 2 4 2 4 2 4 2 4" xfId="12764" xr:uid="{11299972-9110-49A5-84F8-A9F3820F34DB}"/>
    <cellStyle name="Normal 2 4 2 4 2 4 3" xfId="5510" xr:uid="{00000000-0005-0000-0000-0000530F0000}"/>
    <cellStyle name="Normal 2 4 2 4 2 4 3 2" xfId="24135" xr:uid="{AECD4CD6-378E-42F1-9140-D957DDC64C63}"/>
    <cellStyle name="Normal 2 4 2 4 2 4 3 3" xfId="14836" xr:uid="{B5939C66-C634-447B-9AA3-A3022014B3F6}"/>
    <cellStyle name="Normal 2 4 2 4 2 4 4" xfId="19918" xr:uid="{160B52D2-F395-463A-A307-D39A95885076}"/>
    <cellStyle name="Normal 2 4 2 4 2 4 5" xfId="10619" xr:uid="{CDC40810-717E-444A-A686-790D7C2A7068}"/>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2 2 2" xfId="26693" xr:uid="{22E06BFD-E330-4024-8ABF-773A6287ED9B}"/>
    <cellStyle name="Normal 2 4 2 4 2 5 2 2 3" xfId="17394" xr:uid="{FC2A985C-B61F-4536-8FF4-21801843AD8E}"/>
    <cellStyle name="Normal 2 4 2 4 2 5 2 3" xfId="22476" xr:uid="{0CFDDD8C-0A1E-4AF9-A86B-FF6926BEB99D}"/>
    <cellStyle name="Normal 2 4 2 4 2 5 2 4" xfId="13177" xr:uid="{374C21F5-2182-4F79-A197-1083B787A8F7}"/>
    <cellStyle name="Normal 2 4 2 4 2 5 3" xfId="5923" xr:uid="{00000000-0005-0000-0000-0000570F0000}"/>
    <cellStyle name="Normal 2 4 2 4 2 5 3 2" xfId="24548" xr:uid="{77494420-AF44-4275-84BD-53A139280712}"/>
    <cellStyle name="Normal 2 4 2 4 2 5 3 3" xfId="15249" xr:uid="{AEFAEE54-817A-4C46-B55A-217407FE3FA3}"/>
    <cellStyle name="Normal 2 4 2 4 2 5 4" xfId="20331" xr:uid="{D81BECF2-618D-41A5-8CBD-C8C70417D1DE}"/>
    <cellStyle name="Normal 2 4 2 4 2 5 5" xfId="11032" xr:uid="{DBA1A68A-7D58-4CFE-9D52-986F6C4E56C4}"/>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2 2 2" xfId="27106" xr:uid="{661421DB-1F39-47FB-BC6B-1C554E4BF655}"/>
    <cellStyle name="Normal 2 4 2 4 2 6 2 2 3" xfId="17807" xr:uid="{5A87A39B-F264-425B-89C4-8FAE72B03F25}"/>
    <cellStyle name="Normal 2 4 2 4 2 6 2 3" xfId="22889" xr:uid="{499485F3-DD95-48DD-8E68-43266FE2596E}"/>
    <cellStyle name="Normal 2 4 2 4 2 6 2 4" xfId="13590" xr:uid="{5FB91C75-B7CA-4A58-A66C-7C0D689BEF2D}"/>
    <cellStyle name="Normal 2 4 2 4 2 6 3" xfId="6336" xr:uid="{00000000-0005-0000-0000-00005B0F0000}"/>
    <cellStyle name="Normal 2 4 2 4 2 6 3 2" xfId="24961" xr:uid="{1B2BF382-BB12-42BB-9657-D07F1939E864}"/>
    <cellStyle name="Normal 2 4 2 4 2 6 3 3" xfId="15662" xr:uid="{4A4AC3A8-799A-40AF-B65F-9E29562E569C}"/>
    <cellStyle name="Normal 2 4 2 4 2 6 4" xfId="20744" xr:uid="{D9FB4F56-77EB-4D10-92F1-290623CE0B0F}"/>
    <cellStyle name="Normal 2 4 2 4 2 6 5" xfId="11445" xr:uid="{A1B4CD6B-0F90-4BB7-A940-4FD79797DA6C}"/>
    <cellStyle name="Normal 2 4 2 4 2 7" xfId="2466" xr:uid="{00000000-0005-0000-0000-00005C0F0000}"/>
    <cellStyle name="Normal 2 4 2 4 2 7 2" xfId="6749" xr:uid="{00000000-0005-0000-0000-00005D0F0000}"/>
    <cellStyle name="Normal 2 4 2 4 2 7 2 2" xfId="25374" xr:uid="{BBBE3839-2C47-41F3-A2BF-29FBDE2C58A5}"/>
    <cellStyle name="Normal 2 4 2 4 2 7 2 3" xfId="16075" xr:uid="{F550F8AA-406E-49CE-BB49-1C88BBF349A0}"/>
    <cellStyle name="Normal 2 4 2 4 2 7 3" xfId="21157" xr:uid="{A7665913-4E1E-4823-A731-99936BDEF426}"/>
    <cellStyle name="Normal 2 4 2 4 2 7 4" xfId="11858" xr:uid="{7E0CBAD5-9130-4DF3-9326-B371BC820DE0}"/>
    <cellStyle name="Normal 2 4 2 4 2 8" xfId="4683" xr:uid="{00000000-0005-0000-0000-00005E0F0000}"/>
    <cellStyle name="Normal 2 4 2 4 2 8 2" xfId="23308" xr:uid="{59A4E681-7AD1-465B-AF6F-8B083A434821}"/>
    <cellStyle name="Normal 2 4 2 4 2 8 3" xfId="14009" xr:uid="{4C57D643-89AA-49D7-929F-8B15B7A898D6}"/>
    <cellStyle name="Normal 2 4 2 4 2 9" xfId="8915" xr:uid="{2BEB15AA-2AFA-47D4-AC0E-63DAF2CFE119}"/>
    <cellStyle name="Normal 2 4 2 4 2 9 2" xfId="27538" xr:uid="{7E1CC6DB-7AC4-467F-B401-E74F38C91C99}"/>
    <cellStyle name="Normal 2 4 2 4 2 9 3" xfId="18239" xr:uid="{E80823D8-DCAB-4B2F-99A5-3EDFE4ACE19D}"/>
    <cellStyle name="Normal 2 4 2 4 3" xfId="292" xr:uid="{00000000-0005-0000-0000-00005F0F0000}"/>
    <cellStyle name="Normal 2 4 2 4 3 10" xfId="9794" xr:uid="{B53A0F37-BA0D-42EB-B0DA-6BDD3902CD4A}"/>
    <cellStyle name="Normal 2 4 2 4 3 2" xfId="783" xr:uid="{00000000-0005-0000-0000-0000600F0000}"/>
    <cellStyle name="Normal 2 4 2 4 3 2 2" xfId="3022" xr:uid="{00000000-0005-0000-0000-0000610F0000}"/>
    <cellStyle name="Normal 2 4 2 4 3 2 2 2" xfId="7244" xr:uid="{00000000-0005-0000-0000-0000620F0000}"/>
    <cellStyle name="Normal 2 4 2 4 3 2 2 2 2" xfId="25869" xr:uid="{61B01CE4-9A0C-49B0-9A7D-8A7071C80195}"/>
    <cellStyle name="Normal 2 4 2 4 3 2 2 2 3" xfId="16570" xr:uid="{7B6861BC-2F8C-480D-8622-EC9E8F20C112}"/>
    <cellStyle name="Normal 2 4 2 4 3 2 2 3" xfId="21652" xr:uid="{E6477E44-5BC3-4C8C-9DEA-E3866E61EA28}"/>
    <cellStyle name="Normal 2 4 2 4 3 2 2 4" xfId="12353" xr:uid="{E85078F9-E955-4042-BF5E-E33EA5C491C4}"/>
    <cellStyle name="Normal 2 4 2 4 3 2 3" xfId="5099" xr:uid="{00000000-0005-0000-0000-0000630F0000}"/>
    <cellStyle name="Normal 2 4 2 4 3 2 3 2" xfId="23724" xr:uid="{ECF75F5D-5C01-4E13-A137-70F3D8B2AD6F}"/>
    <cellStyle name="Normal 2 4 2 4 3 2 3 3" xfId="14425" xr:uid="{FF0BEAA4-270D-4A5F-8157-6FF71E92833E}"/>
    <cellStyle name="Normal 2 4 2 4 3 2 4" xfId="9444" xr:uid="{807939DF-E7C0-4015-A3D8-AE9E56020172}"/>
    <cellStyle name="Normal 2 4 2 4 3 2 4 2" xfId="28058" xr:uid="{A1C96F76-E640-497F-A285-B7628BD1D1F8}"/>
    <cellStyle name="Normal 2 4 2 4 3 2 4 3" xfId="18759" xr:uid="{D69C96C5-B26D-4633-8308-4316BDF82ADB}"/>
    <cellStyle name="Normal 2 4 2 4 3 2 5" xfId="19507" xr:uid="{66F371D3-9435-4B2A-A840-4AD8FE4B5D71}"/>
    <cellStyle name="Normal 2 4 2 4 3 2 6" xfId="10208" xr:uid="{AEF89926-E005-48C0-8B33-17CF9AF5D847}"/>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2 2 2" xfId="26282" xr:uid="{DCC88D98-3097-4C1F-B41A-3BCABC4A7124}"/>
    <cellStyle name="Normal 2 4 2 4 3 3 2 2 3" xfId="16983" xr:uid="{808AC512-5933-464D-8BD0-F8816B54C21C}"/>
    <cellStyle name="Normal 2 4 2 4 3 3 2 3" xfId="22065" xr:uid="{1982CC9C-D0FC-4CCE-BCAB-D0CA6680915F}"/>
    <cellStyle name="Normal 2 4 2 4 3 3 2 4" xfId="12766" xr:uid="{6A341527-F705-496D-AF4D-98CB681AC1F9}"/>
    <cellStyle name="Normal 2 4 2 4 3 3 3" xfId="5512" xr:uid="{00000000-0005-0000-0000-0000670F0000}"/>
    <cellStyle name="Normal 2 4 2 4 3 3 3 2" xfId="24137" xr:uid="{477815C1-C6EA-40B3-B456-D50BB3CE3C6C}"/>
    <cellStyle name="Normal 2 4 2 4 3 3 3 3" xfId="14838" xr:uid="{BA93AB22-EF62-46EC-A4E7-E8FE442B9829}"/>
    <cellStyle name="Normal 2 4 2 4 3 3 4" xfId="19920" xr:uid="{5F8BE9C8-60A5-401A-B9F9-D717133BD356}"/>
    <cellStyle name="Normal 2 4 2 4 3 3 5" xfId="10621" xr:uid="{2563FB04-D897-43D4-BEB2-511E8DB1F18D}"/>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2 2 2" xfId="26695" xr:uid="{F6D1E5D3-27B8-4B16-83DA-B115D8309404}"/>
    <cellStyle name="Normal 2 4 2 4 3 4 2 2 3" xfId="17396" xr:uid="{F36E8327-9AB1-40B0-96C1-A5F4F6E82FC7}"/>
    <cellStyle name="Normal 2 4 2 4 3 4 2 3" xfId="22478" xr:uid="{AD87B0BB-B3DA-42C4-B21D-DFB77B6D2B95}"/>
    <cellStyle name="Normal 2 4 2 4 3 4 2 4" xfId="13179" xr:uid="{24E08C93-674B-4E5E-82EF-87D09966B634}"/>
    <cellStyle name="Normal 2 4 2 4 3 4 3" xfId="5925" xr:uid="{00000000-0005-0000-0000-00006B0F0000}"/>
    <cellStyle name="Normal 2 4 2 4 3 4 3 2" xfId="24550" xr:uid="{29315D12-5DE8-4A8C-B9BB-0607AF2375A6}"/>
    <cellStyle name="Normal 2 4 2 4 3 4 3 3" xfId="15251" xr:uid="{593336DD-9AB8-42E8-B393-4E0F56A589A1}"/>
    <cellStyle name="Normal 2 4 2 4 3 4 4" xfId="20333" xr:uid="{04251E83-1A13-42A1-8BE8-6B2D4453B21C}"/>
    <cellStyle name="Normal 2 4 2 4 3 4 5" xfId="11034" xr:uid="{99427090-CB82-4AF2-885B-6514B39A7F16}"/>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2 2 2" xfId="27108" xr:uid="{1D209767-40A3-4098-8BA3-1DCD5E38F7CB}"/>
    <cellStyle name="Normal 2 4 2 4 3 5 2 2 3" xfId="17809" xr:uid="{08850186-E2B3-4F06-869D-2BB12CD55C1D}"/>
    <cellStyle name="Normal 2 4 2 4 3 5 2 3" xfId="22891" xr:uid="{171D91FF-C1B9-47DC-B25E-473811E3FE7D}"/>
    <cellStyle name="Normal 2 4 2 4 3 5 2 4" xfId="13592" xr:uid="{25813DF2-073F-4AEA-9D84-0312B8CA634D}"/>
    <cellStyle name="Normal 2 4 2 4 3 5 3" xfId="6338" xr:uid="{00000000-0005-0000-0000-00006F0F0000}"/>
    <cellStyle name="Normal 2 4 2 4 3 5 3 2" xfId="24963" xr:uid="{F8D6BAFD-E4B0-4632-BB3F-D46ADE5ECFEC}"/>
    <cellStyle name="Normal 2 4 2 4 3 5 3 3" xfId="15664" xr:uid="{81C641BD-EBDB-48F0-AAD7-FDC4D6A78022}"/>
    <cellStyle name="Normal 2 4 2 4 3 5 4" xfId="20746" xr:uid="{19381CF1-63C2-4564-B319-3057E7AFD482}"/>
    <cellStyle name="Normal 2 4 2 4 3 5 5" xfId="11447" xr:uid="{64C976D0-851B-444B-B0FD-845919BA1E42}"/>
    <cellStyle name="Normal 2 4 2 4 3 6" xfId="2468" xr:uid="{00000000-0005-0000-0000-0000700F0000}"/>
    <cellStyle name="Normal 2 4 2 4 3 6 2" xfId="6751" xr:uid="{00000000-0005-0000-0000-0000710F0000}"/>
    <cellStyle name="Normal 2 4 2 4 3 6 2 2" xfId="25376" xr:uid="{B332CB6D-C8A1-46F4-9F08-5B9646891BF3}"/>
    <cellStyle name="Normal 2 4 2 4 3 6 2 3" xfId="16077" xr:uid="{ACCC96DE-039C-4C4C-83EA-E13BA23C5EA7}"/>
    <cellStyle name="Normal 2 4 2 4 3 6 3" xfId="21159" xr:uid="{DF0685DE-1005-4CF9-A354-306B83EFD2D1}"/>
    <cellStyle name="Normal 2 4 2 4 3 6 4" xfId="11860" xr:uid="{298C1D90-AE98-4184-BB56-93E7DAD160F6}"/>
    <cellStyle name="Normal 2 4 2 4 3 7" xfId="4685" xr:uid="{00000000-0005-0000-0000-0000720F0000}"/>
    <cellStyle name="Normal 2 4 2 4 3 7 2" xfId="23310" xr:uid="{33D30284-2BBB-46AB-99B8-0D13AF766995}"/>
    <cellStyle name="Normal 2 4 2 4 3 7 3" xfId="14011" xr:uid="{AE020B49-2B87-4C2B-8E3A-FB2E5CAA7814}"/>
    <cellStyle name="Normal 2 4 2 4 3 8" xfId="9019" xr:uid="{1F22810F-FF7D-4FF4-861A-F2BA8F253428}"/>
    <cellStyle name="Normal 2 4 2 4 3 8 2" xfId="27642" xr:uid="{B992DE59-D300-4659-B737-26BEE9ADCAFF}"/>
    <cellStyle name="Normal 2 4 2 4 3 8 3" xfId="18343" xr:uid="{A25A21D0-83FB-47EC-A828-4C8A92AB0D74}"/>
    <cellStyle name="Normal 2 4 2 4 3 9" xfId="19093" xr:uid="{A40A578D-417B-410F-95BA-5C0C216C3BA9}"/>
    <cellStyle name="Normal 2 4 2 4 4" xfId="780" xr:uid="{00000000-0005-0000-0000-0000730F0000}"/>
    <cellStyle name="Normal 2 4 2 4 4 2" xfId="3019" xr:uid="{00000000-0005-0000-0000-0000740F0000}"/>
    <cellStyle name="Normal 2 4 2 4 4 2 2" xfId="7241" xr:uid="{00000000-0005-0000-0000-0000750F0000}"/>
    <cellStyle name="Normal 2 4 2 4 4 2 2 2" xfId="25866" xr:uid="{5B7C01F5-589B-4A2A-B4B9-858E2A653476}"/>
    <cellStyle name="Normal 2 4 2 4 4 2 2 3" xfId="16567" xr:uid="{2A76CB8D-23AC-4486-BD56-789ACE3EA75D}"/>
    <cellStyle name="Normal 2 4 2 4 4 2 3" xfId="21649" xr:uid="{2F9DCF24-78C3-4F1C-B085-42F1534F72EC}"/>
    <cellStyle name="Normal 2 4 2 4 4 2 4" xfId="12350" xr:uid="{1A769BBE-DA2F-4D4C-8B19-371F477DBA25}"/>
    <cellStyle name="Normal 2 4 2 4 4 3" xfId="5096" xr:uid="{00000000-0005-0000-0000-0000760F0000}"/>
    <cellStyle name="Normal 2 4 2 4 4 3 2" xfId="23721" xr:uid="{77EC3390-AF4B-4372-B40C-5152DA36357A}"/>
    <cellStyle name="Normal 2 4 2 4 4 3 3" xfId="14422" xr:uid="{11860F40-6E35-4C45-8238-6D4C8B44A3F1}"/>
    <cellStyle name="Normal 2 4 2 4 4 4" xfId="9237" xr:uid="{FF4B133D-A40B-4895-9E3D-E727B18E66C8}"/>
    <cellStyle name="Normal 2 4 2 4 4 4 2" xfId="27851" xr:uid="{B5AFD67E-9E32-4C6F-9FBC-EF55C7D646F9}"/>
    <cellStyle name="Normal 2 4 2 4 4 4 3" xfId="18552" xr:uid="{988F830E-C7EE-413A-8F12-02FF065DE197}"/>
    <cellStyle name="Normal 2 4 2 4 4 5" xfId="19504" xr:uid="{86C128A4-3EFF-4A39-A918-4A22DD29F607}"/>
    <cellStyle name="Normal 2 4 2 4 4 6" xfId="10205" xr:uid="{0CA1D8F3-1DC3-4522-9D08-AE7A4520093B}"/>
    <cellStyle name="Normal 2 4 2 4 5" xfId="1202" xr:uid="{00000000-0005-0000-0000-0000770F0000}"/>
    <cellStyle name="Normal 2 4 2 4 5 2" xfId="3432" xr:uid="{00000000-0005-0000-0000-0000780F0000}"/>
    <cellStyle name="Normal 2 4 2 4 5 2 2" xfId="7654" xr:uid="{00000000-0005-0000-0000-0000790F0000}"/>
    <cellStyle name="Normal 2 4 2 4 5 2 2 2" xfId="26279" xr:uid="{1207FA8C-9ECE-4D44-8EFE-3C5AFB85AFC8}"/>
    <cellStyle name="Normal 2 4 2 4 5 2 2 3" xfId="16980" xr:uid="{C8635F85-B928-461B-8A43-B85AC8F29B93}"/>
    <cellStyle name="Normal 2 4 2 4 5 2 3" xfId="22062" xr:uid="{DAF2CDD3-BCA4-4352-BDFC-0A1C50D25EB6}"/>
    <cellStyle name="Normal 2 4 2 4 5 2 4" xfId="12763" xr:uid="{72DB199B-F8D4-4331-BEFA-ADBC092EA483}"/>
    <cellStyle name="Normal 2 4 2 4 5 3" xfId="5509" xr:uid="{00000000-0005-0000-0000-00007A0F0000}"/>
    <cellStyle name="Normal 2 4 2 4 5 3 2" xfId="24134" xr:uid="{FEF563C7-7F9C-422D-ADEF-B0651D22F89C}"/>
    <cellStyle name="Normal 2 4 2 4 5 3 3" xfId="14835" xr:uid="{203F14BE-28A3-41B2-867B-6E339820A9B9}"/>
    <cellStyle name="Normal 2 4 2 4 5 4" xfId="19917" xr:uid="{35395595-090D-4062-9270-E465B5FC4BA6}"/>
    <cellStyle name="Normal 2 4 2 4 5 5" xfId="10618" xr:uid="{3D6EEAB6-9B1A-4E30-BD99-4770DCAC13F2}"/>
    <cellStyle name="Normal 2 4 2 4 6" xfId="1615" xr:uid="{00000000-0005-0000-0000-00007B0F0000}"/>
    <cellStyle name="Normal 2 4 2 4 6 2" xfId="3845" xr:uid="{00000000-0005-0000-0000-00007C0F0000}"/>
    <cellStyle name="Normal 2 4 2 4 6 2 2" xfId="8067" xr:uid="{00000000-0005-0000-0000-00007D0F0000}"/>
    <cellStyle name="Normal 2 4 2 4 6 2 2 2" xfId="26692" xr:uid="{039B4F67-1B85-4134-8FB5-76F8F1FB43A0}"/>
    <cellStyle name="Normal 2 4 2 4 6 2 2 3" xfId="17393" xr:uid="{ABEB67FE-4F95-4AF4-9CFC-F1ABE30D653B}"/>
    <cellStyle name="Normal 2 4 2 4 6 2 3" xfId="22475" xr:uid="{330F87B3-FDE6-40BE-AB76-1A0C9EDD1912}"/>
    <cellStyle name="Normal 2 4 2 4 6 2 4" xfId="13176" xr:uid="{27560994-0D05-498D-AA7F-2BEF5A3E9F51}"/>
    <cellStyle name="Normal 2 4 2 4 6 3" xfId="5922" xr:uid="{00000000-0005-0000-0000-00007E0F0000}"/>
    <cellStyle name="Normal 2 4 2 4 6 3 2" xfId="24547" xr:uid="{F1193EBA-E40B-4AA5-B3CB-51A3E5BCBA43}"/>
    <cellStyle name="Normal 2 4 2 4 6 3 3" xfId="15248" xr:uid="{3B92C4B1-919D-49D4-BE78-3CB5822EA3D8}"/>
    <cellStyle name="Normal 2 4 2 4 6 4" xfId="20330" xr:uid="{CA84EFAD-FD74-4FFA-8105-14C0F2E28C0B}"/>
    <cellStyle name="Normal 2 4 2 4 6 5" xfId="11031" xr:uid="{869A7E71-E4C6-44FC-8416-A7A788CF6373}"/>
    <cellStyle name="Normal 2 4 2 4 7" xfId="2029" xr:uid="{00000000-0005-0000-0000-00007F0F0000}"/>
    <cellStyle name="Normal 2 4 2 4 7 2" xfId="4258" xr:uid="{00000000-0005-0000-0000-0000800F0000}"/>
    <cellStyle name="Normal 2 4 2 4 7 2 2" xfId="8480" xr:uid="{00000000-0005-0000-0000-0000810F0000}"/>
    <cellStyle name="Normal 2 4 2 4 7 2 2 2" xfId="27105" xr:uid="{717B90B6-2B6D-47B0-80B7-D65C6F7CE969}"/>
    <cellStyle name="Normal 2 4 2 4 7 2 2 3" xfId="17806" xr:uid="{389EB48F-10C3-4F90-80BA-B448874D4240}"/>
    <cellStyle name="Normal 2 4 2 4 7 2 3" xfId="22888" xr:uid="{51EB5592-0B6D-4EA4-AB90-5E91474CD4BE}"/>
    <cellStyle name="Normal 2 4 2 4 7 2 4" xfId="13589" xr:uid="{95496DB2-0D07-4866-9B1F-7A89DAC834B2}"/>
    <cellStyle name="Normal 2 4 2 4 7 3" xfId="6335" xr:uid="{00000000-0005-0000-0000-0000820F0000}"/>
    <cellStyle name="Normal 2 4 2 4 7 3 2" xfId="24960" xr:uid="{090F3A6D-7B92-493B-B8D7-4DF55AECCD76}"/>
    <cellStyle name="Normal 2 4 2 4 7 3 3" xfId="15661" xr:uid="{5A0E330E-A68B-428D-BE70-7FA133541797}"/>
    <cellStyle name="Normal 2 4 2 4 7 4" xfId="20743" xr:uid="{08EC565F-FB1E-49DC-96C6-C4D3214FE4BF}"/>
    <cellStyle name="Normal 2 4 2 4 7 5" xfId="11444" xr:uid="{AF91FD96-0C81-49B0-B188-917614FB5BC6}"/>
    <cellStyle name="Normal 2 4 2 4 8" xfId="2465" xr:uid="{00000000-0005-0000-0000-0000830F0000}"/>
    <cellStyle name="Normal 2 4 2 4 8 2" xfId="6748" xr:uid="{00000000-0005-0000-0000-0000840F0000}"/>
    <cellStyle name="Normal 2 4 2 4 8 2 2" xfId="25373" xr:uid="{30DABB80-8B90-4C92-8561-EE27FD2373AF}"/>
    <cellStyle name="Normal 2 4 2 4 8 2 3" xfId="16074" xr:uid="{DAB7D161-60AE-4418-A858-421E144CD70A}"/>
    <cellStyle name="Normal 2 4 2 4 8 3" xfId="21156" xr:uid="{AE751BA5-07AC-424D-A9BC-697196BBC367}"/>
    <cellStyle name="Normal 2 4 2 4 8 4" xfId="11857" xr:uid="{BBEF25E5-617E-4429-94C1-270D1F0C02F4}"/>
    <cellStyle name="Normal 2 4 2 4 9" xfId="4682" xr:uid="{00000000-0005-0000-0000-0000850F0000}"/>
    <cellStyle name="Normal 2 4 2 4 9 2" xfId="23307" xr:uid="{F20F8B4C-5668-4FF6-86B5-1CB4E18CE348}"/>
    <cellStyle name="Normal 2 4 2 4 9 3" xfId="14008" xr:uid="{73145CF8-D15B-445E-B975-63283B9FF1FC}"/>
    <cellStyle name="Normal 2 4 2 5" xfId="293" xr:uid="{00000000-0005-0000-0000-0000860F0000}"/>
    <cellStyle name="Normal 2 4 2 5 10" xfId="19094" xr:uid="{B22B4EB5-CC74-4EDE-9863-9AC10EC7A6F8}"/>
    <cellStyle name="Normal 2 4 2 5 11" xfId="9795" xr:uid="{7649DE44-C83E-46E1-8151-B60249107061}"/>
    <cellStyle name="Normal 2 4 2 5 2" xfId="294" xr:uid="{00000000-0005-0000-0000-0000870F0000}"/>
    <cellStyle name="Normal 2 4 2 5 2 10" xfId="9796" xr:uid="{31AD2524-CAB7-43D6-8B80-9A04BB76891F}"/>
    <cellStyle name="Normal 2 4 2 5 2 2" xfId="785" xr:uid="{00000000-0005-0000-0000-0000880F0000}"/>
    <cellStyle name="Normal 2 4 2 5 2 2 2" xfId="3024" xr:uid="{00000000-0005-0000-0000-0000890F0000}"/>
    <cellStyle name="Normal 2 4 2 5 2 2 2 2" xfId="7246" xr:uid="{00000000-0005-0000-0000-00008A0F0000}"/>
    <cellStyle name="Normal 2 4 2 5 2 2 2 2 2" xfId="25871" xr:uid="{E6246746-1E8B-4131-8FCC-48983EE8FCBE}"/>
    <cellStyle name="Normal 2 4 2 5 2 2 2 2 3" xfId="16572" xr:uid="{DCF416CF-BE26-489A-9635-9D208479DA05}"/>
    <cellStyle name="Normal 2 4 2 5 2 2 2 3" xfId="21654" xr:uid="{A02511D4-25B1-43A4-9E70-6B9B6A9E120F}"/>
    <cellStyle name="Normal 2 4 2 5 2 2 2 4" xfId="12355" xr:uid="{E8EBBFA2-5BD1-46E8-B179-7DF993E95BF4}"/>
    <cellStyle name="Normal 2 4 2 5 2 2 3" xfId="5101" xr:uid="{00000000-0005-0000-0000-00008B0F0000}"/>
    <cellStyle name="Normal 2 4 2 5 2 2 3 2" xfId="23726" xr:uid="{49C08FC0-42D1-4280-AADB-C1CF25D80AC6}"/>
    <cellStyle name="Normal 2 4 2 5 2 2 3 3" xfId="14427" xr:uid="{9EF4D007-5DF2-4629-8BE4-E749188F6FDD}"/>
    <cellStyle name="Normal 2 4 2 5 2 2 4" xfId="9492" xr:uid="{07DC9204-2F52-408E-80EE-617A106DD9FD}"/>
    <cellStyle name="Normal 2 4 2 5 2 2 4 2" xfId="28106" xr:uid="{A4336E50-4D46-4149-9DE4-C38CEBF3920A}"/>
    <cellStyle name="Normal 2 4 2 5 2 2 4 3" xfId="18807" xr:uid="{28D465E9-AAE0-4376-855D-ECA1BC9D396F}"/>
    <cellStyle name="Normal 2 4 2 5 2 2 5" xfId="19509" xr:uid="{5F473060-82FF-4B02-9C90-359A5EF5D329}"/>
    <cellStyle name="Normal 2 4 2 5 2 2 6" xfId="10210" xr:uid="{56BE59BC-00DE-4034-BE24-734CF6E3B11F}"/>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2 2 2" xfId="26284" xr:uid="{C4D9D821-6224-4B28-89B5-C9DC080D1FE5}"/>
    <cellStyle name="Normal 2 4 2 5 2 3 2 2 3" xfId="16985" xr:uid="{2FB404EB-A10E-47EC-ABBC-58CF67C205FD}"/>
    <cellStyle name="Normal 2 4 2 5 2 3 2 3" xfId="22067" xr:uid="{2A6795DA-7A97-4767-9773-1815B4AB9D40}"/>
    <cellStyle name="Normal 2 4 2 5 2 3 2 4" xfId="12768" xr:uid="{EB663A99-6FE6-4BD1-B4CB-D18325E16362}"/>
    <cellStyle name="Normal 2 4 2 5 2 3 3" xfId="5514" xr:uid="{00000000-0005-0000-0000-00008F0F0000}"/>
    <cellStyle name="Normal 2 4 2 5 2 3 3 2" xfId="24139" xr:uid="{16F7001F-42EC-4C48-9D77-E8036FB5D7B6}"/>
    <cellStyle name="Normal 2 4 2 5 2 3 3 3" xfId="14840" xr:uid="{795DCCE5-3401-47D7-8F1A-7359C10B951E}"/>
    <cellStyle name="Normal 2 4 2 5 2 3 4" xfId="19922" xr:uid="{16E537A2-E3E4-4BB8-BBA8-4314BBC46A24}"/>
    <cellStyle name="Normal 2 4 2 5 2 3 5" xfId="10623" xr:uid="{077A728E-2A22-4B8F-A803-0F8529D7CCB3}"/>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2 2 2" xfId="26697" xr:uid="{70B47787-8A0F-461E-A3C7-F0E12873026D}"/>
    <cellStyle name="Normal 2 4 2 5 2 4 2 2 3" xfId="17398" xr:uid="{CF9EC44D-E642-47D4-A87E-37BA54B7D8DD}"/>
    <cellStyle name="Normal 2 4 2 5 2 4 2 3" xfId="22480" xr:uid="{2970B645-1467-4738-B7B9-50F88D2E6F54}"/>
    <cellStyle name="Normal 2 4 2 5 2 4 2 4" xfId="13181" xr:uid="{425D6F5E-2E95-4E58-87BA-113A77A45C72}"/>
    <cellStyle name="Normal 2 4 2 5 2 4 3" xfId="5927" xr:uid="{00000000-0005-0000-0000-0000930F0000}"/>
    <cellStyle name="Normal 2 4 2 5 2 4 3 2" xfId="24552" xr:uid="{C8332C44-380D-4881-A3AA-B5D2FCCEA332}"/>
    <cellStyle name="Normal 2 4 2 5 2 4 3 3" xfId="15253" xr:uid="{9C08E6E6-78E0-4AA2-BC92-88F223755075}"/>
    <cellStyle name="Normal 2 4 2 5 2 4 4" xfId="20335" xr:uid="{ECCA07C6-0F9F-455C-8DF3-C6B12BF5A2FB}"/>
    <cellStyle name="Normal 2 4 2 5 2 4 5" xfId="11036" xr:uid="{813B7424-BEF1-4878-81D8-5E02D9F780DB}"/>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2 2 2" xfId="27110" xr:uid="{43F1993E-B065-4C78-B872-E64DD11052DA}"/>
    <cellStyle name="Normal 2 4 2 5 2 5 2 2 3" xfId="17811" xr:uid="{0DA3508B-3BE6-4FB7-ABA4-CDF77CEBAEA1}"/>
    <cellStyle name="Normal 2 4 2 5 2 5 2 3" xfId="22893" xr:uid="{FC182104-15EA-4E4E-98D2-1271690E9E67}"/>
    <cellStyle name="Normal 2 4 2 5 2 5 2 4" xfId="13594" xr:uid="{B9F4D382-1CE8-4B7A-B135-416E8A872F11}"/>
    <cellStyle name="Normal 2 4 2 5 2 5 3" xfId="6340" xr:uid="{00000000-0005-0000-0000-0000970F0000}"/>
    <cellStyle name="Normal 2 4 2 5 2 5 3 2" xfId="24965" xr:uid="{66999893-59BC-4027-983B-41E4B9E0D458}"/>
    <cellStyle name="Normal 2 4 2 5 2 5 3 3" xfId="15666" xr:uid="{6238CC98-0FC9-4250-BB31-4E4EDF615517}"/>
    <cellStyle name="Normal 2 4 2 5 2 5 4" xfId="20748" xr:uid="{CF6E1129-7D48-41C6-A178-B702C56E5931}"/>
    <cellStyle name="Normal 2 4 2 5 2 5 5" xfId="11449" xr:uid="{E0F3E03C-7F7A-4899-B62D-D56FFC1EDD8B}"/>
    <cellStyle name="Normal 2 4 2 5 2 6" xfId="2470" xr:uid="{00000000-0005-0000-0000-0000980F0000}"/>
    <cellStyle name="Normal 2 4 2 5 2 6 2" xfId="6753" xr:uid="{00000000-0005-0000-0000-0000990F0000}"/>
    <cellStyle name="Normal 2 4 2 5 2 6 2 2" xfId="25378" xr:uid="{6B4DD440-26C6-4C43-84D3-A9386798CC47}"/>
    <cellStyle name="Normal 2 4 2 5 2 6 2 3" xfId="16079" xr:uid="{DE3AD714-64BD-45C9-80FB-15D42B245B46}"/>
    <cellStyle name="Normal 2 4 2 5 2 6 3" xfId="21161" xr:uid="{45C838EF-24C5-4283-91CD-9E76A6A091AD}"/>
    <cellStyle name="Normal 2 4 2 5 2 6 4" xfId="11862" xr:uid="{69115A38-6886-4E0D-AFD2-D050EF1B6725}"/>
    <cellStyle name="Normal 2 4 2 5 2 7" xfId="4687" xr:uid="{00000000-0005-0000-0000-00009A0F0000}"/>
    <cellStyle name="Normal 2 4 2 5 2 7 2" xfId="23312" xr:uid="{90546D22-0584-4D49-A3B8-120A9964C9C7}"/>
    <cellStyle name="Normal 2 4 2 5 2 7 3" xfId="14013" xr:uid="{3C2C5C3F-1B5E-40B0-822E-582A41327FF6}"/>
    <cellStyle name="Normal 2 4 2 5 2 8" xfId="9067" xr:uid="{89D5CB5A-ADE0-44B8-BC1E-FDE984B579C9}"/>
    <cellStyle name="Normal 2 4 2 5 2 8 2" xfId="27690" xr:uid="{E9AEE4DB-2822-4603-B8DE-44D4B5DF0ABD}"/>
    <cellStyle name="Normal 2 4 2 5 2 8 3" xfId="18391" xr:uid="{E4029143-DB9A-49D9-935C-D84D1521E5CB}"/>
    <cellStyle name="Normal 2 4 2 5 2 9" xfId="19095" xr:uid="{ABC9E7B4-9187-4D20-A025-8C95EA1FAAF3}"/>
    <cellStyle name="Normal 2 4 2 5 3" xfId="784" xr:uid="{00000000-0005-0000-0000-00009B0F0000}"/>
    <cellStyle name="Normal 2 4 2 5 3 2" xfId="3023" xr:uid="{00000000-0005-0000-0000-00009C0F0000}"/>
    <cellStyle name="Normal 2 4 2 5 3 2 2" xfId="7245" xr:uid="{00000000-0005-0000-0000-00009D0F0000}"/>
    <cellStyle name="Normal 2 4 2 5 3 2 2 2" xfId="25870" xr:uid="{D4BFF8F7-3993-4CBD-9035-92A6B299E915}"/>
    <cellStyle name="Normal 2 4 2 5 3 2 2 3" xfId="16571" xr:uid="{D77AC444-A729-4FE5-BB1C-78BD6A8966A5}"/>
    <cellStyle name="Normal 2 4 2 5 3 2 3" xfId="21653" xr:uid="{136308A5-7B14-4519-9B90-0534AD78A210}"/>
    <cellStyle name="Normal 2 4 2 5 3 2 4" xfId="12354" xr:uid="{2196137C-DE40-4A8F-9B0A-171A8FE1C098}"/>
    <cellStyle name="Normal 2 4 2 5 3 3" xfId="5100" xr:uid="{00000000-0005-0000-0000-00009E0F0000}"/>
    <cellStyle name="Normal 2 4 2 5 3 3 2" xfId="23725" xr:uid="{B07AF481-5E8C-4999-9BC6-DE1EF66B8566}"/>
    <cellStyle name="Normal 2 4 2 5 3 3 3" xfId="14426" xr:uid="{D39BAD4F-6C29-49E6-92A2-A4F67C078E99}"/>
    <cellStyle name="Normal 2 4 2 5 3 4" xfId="9285" xr:uid="{5DA39FB9-904E-46D3-8E24-58BF2F19DA5B}"/>
    <cellStyle name="Normal 2 4 2 5 3 4 2" xfId="27899" xr:uid="{2527406D-8BED-4236-A85D-7EE750D62BA6}"/>
    <cellStyle name="Normal 2 4 2 5 3 4 3" xfId="18600" xr:uid="{CDFFAC50-ABFD-4570-863E-A7E3412D446F}"/>
    <cellStyle name="Normal 2 4 2 5 3 5" xfId="19508" xr:uid="{0BACE294-87B4-4081-A157-EB06588CC263}"/>
    <cellStyle name="Normal 2 4 2 5 3 6" xfId="10209" xr:uid="{F6A92E6B-BBC2-4415-9250-CCF9BCE57310}"/>
    <cellStyle name="Normal 2 4 2 5 4" xfId="1206" xr:uid="{00000000-0005-0000-0000-00009F0F0000}"/>
    <cellStyle name="Normal 2 4 2 5 4 2" xfId="3436" xr:uid="{00000000-0005-0000-0000-0000A00F0000}"/>
    <cellStyle name="Normal 2 4 2 5 4 2 2" xfId="7658" xr:uid="{00000000-0005-0000-0000-0000A10F0000}"/>
    <cellStyle name="Normal 2 4 2 5 4 2 2 2" xfId="26283" xr:uid="{40607785-5E58-4E4F-B30F-1D0094B32E26}"/>
    <cellStyle name="Normal 2 4 2 5 4 2 2 3" xfId="16984" xr:uid="{4FD0D8A4-03DA-44EA-9FD3-E15859834710}"/>
    <cellStyle name="Normal 2 4 2 5 4 2 3" xfId="22066" xr:uid="{6EEFC4F1-C1E8-4A0A-8C99-362B1A3F5108}"/>
    <cellStyle name="Normal 2 4 2 5 4 2 4" xfId="12767" xr:uid="{92BBBF12-604E-4C9F-99FB-9CABF767864F}"/>
    <cellStyle name="Normal 2 4 2 5 4 3" xfId="5513" xr:uid="{00000000-0005-0000-0000-0000A20F0000}"/>
    <cellStyle name="Normal 2 4 2 5 4 3 2" xfId="24138" xr:uid="{AECAC74E-31FD-48BE-BFB2-919D085BA5B6}"/>
    <cellStyle name="Normal 2 4 2 5 4 3 3" xfId="14839" xr:uid="{9B9FCC3D-E005-4A2D-B5DB-57416858897F}"/>
    <cellStyle name="Normal 2 4 2 5 4 4" xfId="19921" xr:uid="{B9946DA3-CE8C-4821-9232-56286C28880B}"/>
    <cellStyle name="Normal 2 4 2 5 4 5" xfId="10622" xr:uid="{FAA0256D-B602-460E-A0ED-CEEAD55501AC}"/>
    <cellStyle name="Normal 2 4 2 5 5" xfId="1619" xr:uid="{00000000-0005-0000-0000-0000A30F0000}"/>
    <cellStyle name="Normal 2 4 2 5 5 2" xfId="3849" xr:uid="{00000000-0005-0000-0000-0000A40F0000}"/>
    <cellStyle name="Normal 2 4 2 5 5 2 2" xfId="8071" xr:uid="{00000000-0005-0000-0000-0000A50F0000}"/>
    <cellStyle name="Normal 2 4 2 5 5 2 2 2" xfId="26696" xr:uid="{91BE1794-6A12-4E64-917C-E0334D562681}"/>
    <cellStyle name="Normal 2 4 2 5 5 2 2 3" xfId="17397" xr:uid="{3302C712-82B2-4B46-8E6D-B2B4C9365822}"/>
    <cellStyle name="Normal 2 4 2 5 5 2 3" xfId="22479" xr:uid="{F7E8E0A3-C31A-44D1-B5AB-4647EC382203}"/>
    <cellStyle name="Normal 2 4 2 5 5 2 4" xfId="13180" xr:uid="{11806EDD-A1BE-433C-B143-3F901C91821C}"/>
    <cellStyle name="Normal 2 4 2 5 5 3" xfId="5926" xr:uid="{00000000-0005-0000-0000-0000A60F0000}"/>
    <cellStyle name="Normal 2 4 2 5 5 3 2" xfId="24551" xr:uid="{E1143F60-9900-4A1D-ADE0-8094053E522B}"/>
    <cellStyle name="Normal 2 4 2 5 5 3 3" xfId="15252" xr:uid="{A59B8307-78C5-45CC-BD14-B5ECFF509BDA}"/>
    <cellStyle name="Normal 2 4 2 5 5 4" xfId="20334" xr:uid="{DA53ABB0-BED2-46A5-A9FB-E73B03AEB628}"/>
    <cellStyle name="Normal 2 4 2 5 5 5" xfId="11035" xr:uid="{88841F23-3F2A-414E-B69B-B4C4AABA9559}"/>
    <cellStyle name="Normal 2 4 2 5 6" xfId="2033" xr:uid="{00000000-0005-0000-0000-0000A70F0000}"/>
    <cellStyle name="Normal 2 4 2 5 6 2" xfId="4262" xr:uid="{00000000-0005-0000-0000-0000A80F0000}"/>
    <cellStyle name="Normal 2 4 2 5 6 2 2" xfId="8484" xr:uid="{00000000-0005-0000-0000-0000A90F0000}"/>
    <cellStyle name="Normal 2 4 2 5 6 2 2 2" xfId="27109" xr:uid="{434D41BD-11FD-4E41-8ECB-9B9EE126A335}"/>
    <cellStyle name="Normal 2 4 2 5 6 2 2 3" xfId="17810" xr:uid="{7F957BCF-EA6A-4574-A520-01B52030CC87}"/>
    <cellStyle name="Normal 2 4 2 5 6 2 3" xfId="22892" xr:uid="{E788F2F5-C893-478A-ABBA-299624010568}"/>
    <cellStyle name="Normal 2 4 2 5 6 2 4" xfId="13593" xr:uid="{31BE16B8-ECC0-430E-8E6B-4B34D0B1FE8C}"/>
    <cellStyle name="Normal 2 4 2 5 6 3" xfId="6339" xr:uid="{00000000-0005-0000-0000-0000AA0F0000}"/>
    <cellStyle name="Normal 2 4 2 5 6 3 2" xfId="24964" xr:uid="{659FC88D-ACE3-4AB1-B15A-5C9B424FA74C}"/>
    <cellStyle name="Normal 2 4 2 5 6 3 3" xfId="15665" xr:uid="{285E8CE9-CF2B-49C8-87D2-FE5E7B28F4E2}"/>
    <cellStyle name="Normal 2 4 2 5 6 4" xfId="20747" xr:uid="{05E8420B-0301-4E4C-BBF8-BDAED4DAD9DF}"/>
    <cellStyle name="Normal 2 4 2 5 6 5" xfId="11448" xr:uid="{98E64349-7404-439B-853A-0987791A6D11}"/>
    <cellStyle name="Normal 2 4 2 5 7" xfId="2469" xr:uid="{00000000-0005-0000-0000-0000AB0F0000}"/>
    <cellStyle name="Normal 2 4 2 5 7 2" xfId="6752" xr:uid="{00000000-0005-0000-0000-0000AC0F0000}"/>
    <cellStyle name="Normal 2 4 2 5 7 2 2" xfId="25377" xr:uid="{05856796-D49F-4E40-AC6A-2D139BF21FA5}"/>
    <cellStyle name="Normal 2 4 2 5 7 2 3" xfId="16078" xr:uid="{D55CFC05-1448-4DF8-A1D7-17A9C4A465FE}"/>
    <cellStyle name="Normal 2 4 2 5 7 3" xfId="21160" xr:uid="{BE7847AF-05DB-4203-A54F-D7E04A34A089}"/>
    <cellStyle name="Normal 2 4 2 5 7 4" xfId="11861" xr:uid="{77890A7A-5A13-4D71-831F-AC820EC7D921}"/>
    <cellStyle name="Normal 2 4 2 5 8" xfId="4686" xr:uid="{00000000-0005-0000-0000-0000AD0F0000}"/>
    <cellStyle name="Normal 2 4 2 5 8 2" xfId="23311" xr:uid="{E6032821-E044-4728-AD3D-0EDED7AD856F}"/>
    <cellStyle name="Normal 2 4 2 5 8 3" xfId="14012" xr:uid="{A6DFD820-7685-4428-8363-B7A5D03ACCCC}"/>
    <cellStyle name="Normal 2 4 2 5 9" xfId="8860" xr:uid="{5FAFEFC0-3249-464B-9F12-2B1DA137C588}"/>
    <cellStyle name="Normal 2 4 2 5 9 2" xfId="27483" xr:uid="{1F70913B-EACB-4E0E-B68C-F0681B0C873C}"/>
    <cellStyle name="Normal 2 4 2 5 9 3" xfId="18184" xr:uid="{32D451DC-9C69-48F8-BF8D-83FF861E1CA8}"/>
    <cellStyle name="Normal 2 4 2 6" xfId="295" xr:uid="{00000000-0005-0000-0000-0000AE0F0000}"/>
    <cellStyle name="Normal 2 4 2 6 10" xfId="9797" xr:uid="{E71CAEDD-72B2-41EB-81BD-32ED44B550D9}"/>
    <cellStyle name="Normal 2 4 2 6 2" xfId="786" xr:uid="{00000000-0005-0000-0000-0000AF0F0000}"/>
    <cellStyle name="Normal 2 4 2 6 2 2" xfId="3025" xr:uid="{00000000-0005-0000-0000-0000B00F0000}"/>
    <cellStyle name="Normal 2 4 2 6 2 2 2" xfId="7247" xr:uid="{00000000-0005-0000-0000-0000B10F0000}"/>
    <cellStyle name="Normal 2 4 2 6 2 2 2 2" xfId="25872" xr:uid="{042197BB-407F-4461-A6C0-A3087682A5F0}"/>
    <cellStyle name="Normal 2 4 2 6 2 2 2 3" xfId="16573" xr:uid="{2F936D7E-66FE-4ADE-A568-21BFD6018675}"/>
    <cellStyle name="Normal 2 4 2 6 2 2 3" xfId="21655" xr:uid="{890E8DF2-2814-4CAE-A0BE-274E7C6FC960}"/>
    <cellStyle name="Normal 2 4 2 6 2 2 4" xfId="12356" xr:uid="{CD9D8530-1A09-43D1-B621-39FD054CEC8A}"/>
    <cellStyle name="Normal 2 4 2 6 2 3" xfId="5102" xr:uid="{00000000-0005-0000-0000-0000B20F0000}"/>
    <cellStyle name="Normal 2 4 2 6 2 3 2" xfId="23727" xr:uid="{978B6CB1-1F7F-47F2-891A-EBBE208E4428}"/>
    <cellStyle name="Normal 2 4 2 6 2 3 3" xfId="14428" xr:uid="{BC699798-C718-47A2-A420-B7195BF90695}"/>
    <cellStyle name="Normal 2 4 2 6 2 4" xfId="9401" xr:uid="{C89DD342-23DD-474B-84C5-F9DED42F169B}"/>
    <cellStyle name="Normal 2 4 2 6 2 4 2" xfId="28015" xr:uid="{699BB8FB-A3DD-4A52-BBC6-D96A05486118}"/>
    <cellStyle name="Normal 2 4 2 6 2 4 3" xfId="18716" xr:uid="{C1BDC2BF-CF6B-4423-B102-62088FAD2C1A}"/>
    <cellStyle name="Normal 2 4 2 6 2 5" xfId="19510" xr:uid="{C8EEFDD1-9C89-45C4-9AFB-03517D3F88C3}"/>
    <cellStyle name="Normal 2 4 2 6 2 6" xfId="10211" xr:uid="{058F204C-7506-4C9C-BFDB-B7DEE6497012}"/>
    <cellStyle name="Normal 2 4 2 6 3" xfId="1208" xr:uid="{00000000-0005-0000-0000-0000B30F0000}"/>
    <cellStyle name="Normal 2 4 2 6 3 2" xfId="3438" xr:uid="{00000000-0005-0000-0000-0000B40F0000}"/>
    <cellStyle name="Normal 2 4 2 6 3 2 2" xfId="7660" xr:uid="{00000000-0005-0000-0000-0000B50F0000}"/>
    <cellStyle name="Normal 2 4 2 6 3 2 2 2" xfId="26285" xr:uid="{E5FCFFE2-FFC8-4DF7-AF2D-30A1530BE26C}"/>
    <cellStyle name="Normal 2 4 2 6 3 2 2 3" xfId="16986" xr:uid="{BD31A1F6-9CDC-45F9-9350-CCE9E2558F21}"/>
    <cellStyle name="Normal 2 4 2 6 3 2 3" xfId="22068" xr:uid="{633A19D5-7C96-410D-83D8-565473F1870D}"/>
    <cellStyle name="Normal 2 4 2 6 3 2 4" xfId="12769" xr:uid="{6533FA0F-017D-4FF7-A94B-AF258897B112}"/>
    <cellStyle name="Normal 2 4 2 6 3 3" xfId="5515" xr:uid="{00000000-0005-0000-0000-0000B60F0000}"/>
    <cellStyle name="Normal 2 4 2 6 3 3 2" xfId="24140" xr:uid="{9B599634-820A-47B1-9DF1-820E51B88ED3}"/>
    <cellStyle name="Normal 2 4 2 6 3 3 3" xfId="14841" xr:uid="{4BDAF0F5-411C-402F-A148-D3B267949113}"/>
    <cellStyle name="Normal 2 4 2 6 3 4" xfId="19923" xr:uid="{82B42F4E-2313-424F-86E0-291E7AB8DBD9}"/>
    <cellStyle name="Normal 2 4 2 6 3 5" xfId="10624" xr:uid="{C3115DDE-6DD2-4490-9470-FC5E46299F0F}"/>
    <cellStyle name="Normal 2 4 2 6 4" xfId="1621" xr:uid="{00000000-0005-0000-0000-0000B70F0000}"/>
    <cellStyle name="Normal 2 4 2 6 4 2" xfId="3851" xr:uid="{00000000-0005-0000-0000-0000B80F0000}"/>
    <cellStyle name="Normal 2 4 2 6 4 2 2" xfId="8073" xr:uid="{00000000-0005-0000-0000-0000B90F0000}"/>
    <cellStyle name="Normal 2 4 2 6 4 2 2 2" xfId="26698" xr:uid="{C7597DA5-ED08-4C85-B512-B39806A23997}"/>
    <cellStyle name="Normal 2 4 2 6 4 2 2 3" xfId="17399" xr:uid="{18C0CC67-776E-40D5-A1ED-0FE4D04F8847}"/>
    <cellStyle name="Normal 2 4 2 6 4 2 3" xfId="22481" xr:uid="{70CF11DD-F02D-45D1-A6DA-95360744308B}"/>
    <cellStyle name="Normal 2 4 2 6 4 2 4" xfId="13182" xr:uid="{7F8CE1D2-B98B-4326-A2C3-43AAF6A371FE}"/>
    <cellStyle name="Normal 2 4 2 6 4 3" xfId="5928" xr:uid="{00000000-0005-0000-0000-0000BA0F0000}"/>
    <cellStyle name="Normal 2 4 2 6 4 3 2" xfId="24553" xr:uid="{429DA91A-FAEF-4995-BE13-651C35938E50}"/>
    <cellStyle name="Normal 2 4 2 6 4 3 3" xfId="15254" xr:uid="{31C0B9FE-1903-4C64-89CD-6460EF1EB65A}"/>
    <cellStyle name="Normal 2 4 2 6 4 4" xfId="20336" xr:uid="{C93DDFFE-968C-45F4-AD9D-F5CC16B04311}"/>
    <cellStyle name="Normal 2 4 2 6 4 5" xfId="11037" xr:uid="{5EFB0811-22EC-473A-A4BA-A562CFB484F1}"/>
    <cellStyle name="Normal 2 4 2 6 5" xfId="2035" xr:uid="{00000000-0005-0000-0000-0000BB0F0000}"/>
    <cellStyle name="Normal 2 4 2 6 5 2" xfId="4264" xr:uid="{00000000-0005-0000-0000-0000BC0F0000}"/>
    <cellStyle name="Normal 2 4 2 6 5 2 2" xfId="8486" xr:uid="{00000000-0005-0000-0000-0000BD0F0000}"/>
    <cellStyle name="Normal 2 4 2 6 5 2 2 2" xfId="27111" xr:uid="{BFC2B12C-8496-4B5E-B883-75D4BA6D9E80}"/>
    <cellStyle name="Normal 2 4 2 6 5 2 2 3" xfId="17812" xr:uid="{123EC287-0A44-4B81-87FE-1B606FB65224}"/>
    <cellStyle name="Normal 2 4 2 6 5 2 3" xfId="22894" xr:uid="{F70B4C5B-3706-4FEC-873C-BBB4F2ECFBA7}"/>
    <cellStyle name="Normal 2 4 2 6 5 2 4" xfId="13595" xr:uid="{19867B24-7BAF-439B-A608-B302ADB97049}"/>
    <cellStyle name="Normal 2 4 2 6 5 3" xfId="6341" xr:uid="{00000000-0005-0000-0000-0000BE0F0000}"/>
    <cellStyle name="Normal 2 4 2 6 5 3 2" xfId="24966" xr:uid="{1DC24222-68FC-4B45-B60C-EE0CFB978E48}"/>
    <cellStyle name="Normal 2 4 2 6 5 3 3" xfId="15667" xr:uid="{1F97C302-3A7E-44F9-9655-903FB1900F3C}"/>
    <cellStyle name="Normal 2 4 2 6 5 4" xfId="20749" xr:uid="{4E1D315A-0A20-467B-BAE0-9669679CDFD5}"/>
    <cellStyle name="Normal 2 4 2 6 5 5" xfId="11450" xr:uid="{46FCDD33-752F-413B-BE3A-3E6FF4F9264A}"/>
    <cellStyle name="Normal 2 4 2 6 6" xfId="2471" xr:uid="{00000000-0005-0000-0000-0000BF0F0000}"/>
    <cellStyle name="Normal 2 4 2 6 6 2" xfId="6754" xr:uid="{00000000-0005-0000-0000-0000C00F0000}"/>
    <cellStyle name="Normal 2 4 2 6 6 2 2" xfId="25379" xr:uid="{0F80D270-0FAB-4A19-905E-5A982436002A}"/>
    <cellStyle name="Normal 2 4 2 6 6 2 3" xfId="16080" xr:uid="{F4B88DA0-7886-4FEE-A014-4B26902B033E}"/>
    <cellStyle name="Normal 2 4 2 6 6 3" xfId="21162" xr:uid="{EE46BDA9-641C-44B1-979C-B6CFC0B8C174}"/>
    <cellStyle name="Normal 2 4 2 6 6 4" xfId="11863" xr:uid="{00C4AC26-4DB5-4FC2-8BDE-0F84A8EC6CBB}"/>
    <cellStyle name="Normal 2 4 2 6 7" xfId="4688" xr:uid="{00000000-0005-0000-0000-0000C10F0000}"/>
    <cellStyle name="Normal 2 4 2 6 7 2" xfId="23313" xr:uid="{054181F8-E33A-41D6-B35E-3920780155F1}"/>
    <cellStyle name="Normal 2 4 2 6 7 3" xfId="14014" xr:uid="{EB714A4A-EF06-4331-A932-ECF9D1A10C6A}"/>
    <cellStyle name="Normal 2 4 2 6 8" xfId="8976" xr:uid="{6DEAFF8C-68CB-4364-A161-479509F453AE}"/>
    <cellStyle name="Normal 2 4 2 6 8 2" xfId="27599" xr:uid="{9ACAFD7C-0F3C-4801-9D2C-5EC8A7C4874B}"/>
    <cellStyle name="Normal 2 4 2 6 8 3" xfId="18300" xr:uid="{CDB95980-F872-441F-9961-770F35F85BBD}"/>
    <cellStyle name="Normal 2 4 2 6 9" xfId="19096" xr:uid="{08519B65-EE5F-48CA-97CD-95F37A9F981D}"/>
    <cellStyle name="Normal 2 4 2 7" xfId="771" xr:uid="{00000000-0005-0000-0000-0000C20F0000}"/>
    <cellStyle name="Normal 2 4 2 7 2" xfId="3010" xr:uid="{00000000-0005-0000-0000-0000C30F0000}"/>
    <cellStyle name="Normal 2 4 2 7 2 2" xfId="7232" xr:uid="{00000000-0005-0000-0000-0000C40F0000}"/>
    <cellStyle name="Normal 2 4 2 7 2 2 2" xfId="25857" xr:uid="{3A098479-75AF-4D0C-A203-F8E24C31BE9C}"/>
    <cellStyle name="Normal 2 4 2 7 2 2 3" xfId="16558" xr:uid="{9811CE77-D186-4264-A7D7-83D1FA697466}"/>
    <cellStyle name="Normal 2 4 2 7 2 3" xfId="21640" xr:uid="{CE9EF455-C6FE-49AB-BF52-1A50CC89DBF7}"/>
    <cellStyle name="Normal 2 4 2 7 2 4" xfId="12341" xr:uid="{DA531DF8-DC6F-4A0E-A7E3-C74C8EDC4818}"/>
    <cellStyle name="Normal 2 4 2 7 3" xfId="5087" xr:uid="{00000000-0005-0000-0000-0000C50F0000}"/>
    <cellStyle name="Normal 2 4 2 7 3 2" xfId="23712" xr:uid="{4C3FF602-031F-4D0D-B230-B37D7A7D819D}"/>
    <cellStyle name="Normal 2 4 2 7 3 3" xfId="14413" xr:uid="{3E9B3D09-335E-4B78-98AF-FC14AE105D17}"/>
    <cellStyle name="Normal 2 4 2 7 4" xfId="9179" xr:uid="{D1C44CED-398E-43B3-AFA3-1E7DC60C5D92}"/>
    <cellStyle name="Normal 2 4 2 7 4 2" xfId="27796" xr:uid="{EF11B506-B6FD-40AF-B4FF-DC4D94C7842B}"/>
    <cellStyle name="Normal 2 4 2 7 4 3" xfId="18497" xr:uid="{F53282DC-0B5B-481F-8EED-BA2ED65048B4}"/>
    <cellStyle name="Normal 2 4 2 7 5" xfId="19495" xr:uid="{39029D83-0FC4-4238-B4EF-8B7E8093FC03}"/>
    <cellStyle name="Normal 2 4 2 7 6" xfId="10196" xr:uid="{EE39525D-3206-4DF0-BB69-875F507A9E61}"/>
    <cellStyle name="Normal 2 4 2 8" xfId="1193" xr:uid="{00000000-0005-0000-0000-0000C60F0000}"/>
    <cellStyle name="Normal 2 4 2 8 2" xfId="3423" xr:uid="{00000000-0005-0000-0000-0000C70F0000}"/>
    <cellStyle name="Normal 2 4 2 8 2 2" xfId="7645" xr:uid="{00000000-0005-0000-0000-0000C80F0000}"/>
    <cellStyle name="Normal 2 4 2 8 2 2 2" xfId="26270" xr:uid="{BE264176-ED6E-4C48-B475-6CA40BB44816}"/>
    <cellStyle name="Normal 2 4 2 8 2 2 3" xfId="16971" xr:uid="{6A976777-6520-49F7-AC74-7E63B13A8FD2}"/>
    <cellStyle name="Normal 2 4 2 8 2 3" xfId="22053" xr:uid="{53A02B40-B7C2-4017-A56B-0B835058E696}"/>
    <cellStyle name="Normal 2 4 2 8 2 4" xfId="12754" xr:uid="{327458B6-766E-4538-8F14-A75BBDC9E85D}"/>
    <cellStyle name="Normal 2 4 2 8 3" xfId="5500" xr:uid="{00000000-0005-0000-0000-0000C90F0000}"/>
    <cellStyle name="Normal 2 4 2 8 3 2" xfId="24125" xr:uid="{25BE32E5-BCEA-4F72-8F64-1BAFDB973640}"/>
    <cellStyle name="Normal 2 4 2 8 3 3" xfId="14826" xr:uid="{7DF3DB03-F782-415A-89A5-16061076B7F1}"/>
    <cellStyle name="Normal 2 4 2 8 4" xfId="19908" xr:uid="{9C59FB33-7AB1-44E4-A1AE-B2458574D37D}"/>
    <cellStyle name="Normal 2 4 2 8 5" xfId="10609" xr:uid="{4C8BE7FB-47F2-4699-84DE-40EA4AE522C3}"/>
    <cellStyle name="Normal 2 4 2 9" xfId="1606" xr:uid="{00000000-0005-0000-0000-0000CA0F0000}"/>
    <cellStyle name="Normal 2 4 2 9 2" xfId="3836" xr:uid="{00000000-0005-0000-0000-0000CB0F0000}"/>
    <cellStyle name="Normal 2 4 2 9 2 2" xfId="8058" xr:uid="{00000000-0005-0000-0000-0000CC0F0000}"/>
    <cellStyle name="Normal 2 4 2 9 2 2 2" xfId="26683" xr:uid="{A4BDC171-A617-4CF4-B443-9D15C6E2A4C5}"/>
    <cellStyle name="Normal 2 4 2 9 2 2 3" xfId="17384" xr:uid="{5394F892-B347-4364-BD81-2E90D2FFA3A4}"/>
    <cellStyle name="Normal 2 4 2 9 2 3" xfId="22466" xr:uid="{9CEDEC4F-E070-4289-95CD-3B6096CC23E3}"/>
    <cellStyle name="Normal 2 4 2 9 2 4" xfId="13167" xr:uid="{52C18B02-B02A-48D6-96F5-3FD1901831EF}"/>
    <cellStyle name="Normal 2 4 2 9 3" xfId="5913" xr:uid="{00000000-0005-0000-0000-0000CD0F0000}"/>
    <cellStyle name="Normal 2 4 2 9 3 2" xfId="24538" xr:uid="{E2D95CA3-1EEC-438E-BDE3-43B233DEEE30}"/>
    <cellStyle name="Normal 2 4 2 9 3 3" xfId="15239" xr:uid="{BAC15D5B-2739-4F4D-A16C-6FEF449C0927}"/>
    <cellStyle name="Normal 2 4 2 9 4" xfId="20321" xr:uid="{1C1EA0BE-0310-44D4-9DD4-C98EB00F2E8F}"/>
    <cellStyle name="Normal 2 4 2 9 5" xfId="11022" xr:uid="{7EE895E1-13AD-412F-81D2-6CBFE4BABFC9}"/>
    <cellStyle name="Normal 2 4 3" xfId="296" xr:uid="{00000000-0005-0000-0000-0000CE0F0000}"/>
    <cellStyle name="Normal 2 4 3 10" xfId="19097" xr:uid="{2A567E9A-C0A9-4AB3-82D4-D815AF84BABA}"/>
    <cellStyle name="Normal 2 4 3 11" xfId="9798" xr:uid="{EFFCDE81-3454-4911-BC3E-293DFB798396}"/>
    <cellStyle name="Normal 2 4 3 2" xfId="297" xr:uid="{00000000-0005-0000-0000-0000CF0F0000}"/>
    <cellStyle name="Normal 2 4 3 3" xfId="298" xr:uid="{00000000-0005-0000-0000-0000D00F0000}"/>
    <cellStyle name="Normal 2 4 3 3 10" xfId="8814" xr:uid="{F78EFD99-FCC5-4915-ACA3-DFC3FC0D45A5}"/>
    <cellStyle name="Normal 2 4 3 3 10 2" xfId="27437" xr:uid="{B06690BC-7276-4C08-BAF4-7AA25F8CE9B5}"/>
    <cellStyle name="Normal 2 4 3 3 10 3" xfId="18138" xr:uid="{E6C40935-6FE8-4884-AFFC-438F9D6ECC9E}"/>
    <cellStyle name="Normal 2 4 3 3 11" xfId="19098" xr:uid="{E6F54C6B-53A3-4EBC-ACC6-C4C0206C10BF}"/>
    <cellStyle name="Normal 2 4 3 3 12" xfId="9799" xr:uid="{5AF37E2D-847C-4B45-9F0B-C0F8A1945BA1}"/>
    <cellStyle name="Normal 2 4 3 3 2" xfId="299" xr:uid="{00000000-0005-0000-0000-0000D10F0000}"/>
    <cellStyle name="Normal 2 4 3 3 2 10" xfId="19099" xr:uid="{5BC6672A-EF59-4A2C-AB2C-CC9BABDC398C}"/>
    <cellStyle name="Normal 2 4 3 3 2 11" xfId="9800" xr:uid="{53CB8418-8247-4C67-B0A9-7FD70B7DEBE6}"/>
    <cellStyle name="Normal 2 4 3 3 2 2" xfId="300" xr:uid="{00000000-0005-0000-0000-0000D20F0000}"/>
    <cellStyle name="Normal 2 4 3 3 2 2 10" xfId="9801" xr:uid="{8EECA235-4762-4C8B-87EE-17F462F271FA}"/>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2 2 2" xfId="25876" xr:uid="{B4B1C52D-AD1C-415B-8B4F-E1D20088A432}"/>
    <cellStyle name="Normal 2 4 3 3 2 2 2 2 2 3" xfId="16577" xr:uid="{CB3C04EA-B32A-4D30-9063-0690014F7603}"/>
    <cellStyle name="Normal 2 4 3 3 2 2 2 2 3" xfId="21659" xr:uid="{AEE231B7-9555-4D0C-A181-99508A54381E}"/>
    <cellStyle name="Normal 2 4 3 3 2 2 2 2 4" xfId="12360" xr:uid="{9E22DE66-6DA4-4FA2-8F9C-C0A3B8332DD0}"/>
    <cellStyle name="Normal 2 4 3 3 2 2 2 3" xfId="5106" xr:uid="{00000000-0005-0000-0000-0000D60F0000}"/>
    <cellStyle name="Normal 2 4 3 3 2 2 2 3 2" xfId="23731" xr:uid="{2BC95391-8103-4ABF-A3EB-F861D2B9E47E}"/>
    <cellStyle name="Normal 2 4 3 3 2 2 2 3 3" xfId="14432" xr:uid="{99927DD7-BDD4-458A-AB26-1FAC5AB40457}"/>
    <cellStyle name="Normal 2 4 3 3 2 2 2 4" xfId="9549" xr:uid="{EA88B7BC-E37D-4688-A768-0D7FE5EF9F42}"/>
    <cellStyle name="Normal 2 4 3 3 2 2 2 4 2" xfId="28163" xr:uid="{6BBDAA84-9E57-4C41-BC36-9B588B9CA0FE}"/>
    <cellStyle name="Normal 2 4 3 3 2 2 2 4 3" xfId="18864" xr:uid="{76BBA3C8-5826-4CD6-96CF-E1D9163BC686}"/>
    <cellStyle name="Normal 2 4 3 3 2 2 2 5" xfId="19514" xr:uid="{DF558C8E-A0F7-4150-88C8-D9A395E547D0}"/>
    <cellStyle name="Normal 2 4 3 3 2 2 2 6" xfId="10215" xr:uid="{E34EC5A5-02A2-461E-8832-499F9012D2B5}"/>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2 2 2" xfId="26289" xr:uid="{78D4F4C0-5482-4F51-8824-9BCB6369868A}"/>
    <cellStyle name="Normal 2 4 3 3 2 2 3 2 2 3" xfId="16990" xr:uid="{91F90C21-9D17-4DDE-AD9B-1B6912B0B234}"/>
    <cellStyle name="Normal 2 4 3 3 2 2 3 2 3" xfId="22072" xr:uid="{B2609686-FB53-475C-A018-0070006287FF}"/>
    <cellStyle name="Normal 2 4 3 3 2 2 3 2 4" xfId="12773" xr:uid="{E779C84A-0F8A-400E-8335-D336784154BF}"/>
    <cellStyle name="Normal 2 4 3 3 2 2 3 3" xfId="5519" xr:uid="{00000000-0005-0000-0000-0000DA0F0000}"/>
    <cellStyle name="Normal 2 4 3 3 2 2 3 3 2" xfId="24144" xr:uid="{D840FCC8-CF8C-48F2-9513-7B0A729047B0}"/>
    <cellStyle name="Normal 2 4 3 3 2 2 3 3 3" xfId="14845" xr:uid="{13C720F9-2B13-4312-AAB4-3DB4EED57503}"/>
    <cellStyle name="Normal 2 4 3 3 2 2 3 4" xfId="19927" xr:uid="{31CB3A83-0F46-463A-BE91-81D01EF2DF24}"/>
    <cellStyle name="Normal 2 4 3 3 2 2 3 5" xfId="10628" xr:uid="{18E82082-38F2-4E93-86F6-0AD3856F7CD7}"/>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2 2 2" xfId="26702" xr:uid="{75126D8E-DC0D-42E6-9A68-45802282DA2C}"/>
    <cellStyle name="Normal 2 4 3 3 2 2 4 2 2 3" xfId="17403" xr:uid="{08F80874-8F74-4FB8-80E9-32763F3D40B3}"/>
    <cellStyle name="Normal 2 4 3 3 2 2 4 2 3" xfId="22485" xr:uid="{F70C079F-6531-46D3-95D7-69866F968F79}"/>
    <cellStyle name="Normal 2 4 3 3 2 2 4 2 4" xfId="13186" xr:uid="{211E3A3E-7D1F-4D39-96AA-9E1750325BD9}"/>
    <cellStyle name="Normal 2 4 3 3 2 2 4 3" xfId="5932" xr:uid="{00000000-0005-0000-0000-0000DE0F0000}"/>
    <cellStyle name="Normal 2 4 3 3 2 2 4 3 2" xfId="24557" xr:uid="{643867F5-63BD-4CD7-869C-ADE6CC3493E3}"/>
    <cellStyle name="Normal 2 4 3 3 2 2 4 3 3" xfId="15258" xr:uid="{889561E9-60AA-4F72-9747-EFB681EDACDA}"/>
    <cellStyle name="Normal 2 4 3 3 2 2 4 4" xfId="20340" xr:uid="{05C1F4D8-51AF-4A26-8BC6-D47FA86B18C4}"/>
    <cellStyle name="Normal 2 4 3 3 2 2 4 5" xfId="11041" xr:uid="{F7BAB90C-502B-4445-8E5B-2582E7DB7AC9}"/>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2 2 2" xfId="27115" xr:uid="{A92E24E1-D982-4E29-A852-D6BE2EF0C17C}"/>
    <cellStyle name="Normal 2 4 3 3 2 2 5 2 2 3" xfId="17816" xr:uid="{AA0FC44F-5330-4B71-8016-5DDBAE6EFAF3}"/>
    <cellStyle name="Normal 2 4 3 3 2 2 5 2 3" xfId="22898" xr:uid="{8956CBB2-5AAD-43A4-8A34-E4B1E24E1E10}"/>
    <cellStyle name="Normal 2 4 3 3 2 2 5 2 4" xfId="13599" xr:uid="{C8949820-66B2-46C2-BD74-C78DFB7D300F}"/>
    <cellStyle name="Normal 2 4 3 3 2 2 5 3" xfId="6345" xr:uid="{00000000-0005-0000-0000-0000E20F0000}"/>
    <cellStyle name="Normal 2 4 3 3 2 2 5 3 2" xfId="24970" xr:uid="{BF7C8C20-07FE-4423-9C78-0F3F10ED443D}"/>
    <cellStyle name="Normal 2 4 3 3 2 2 5 3 3" xfId="15671" xr:uid="{322C0D2E-79D3-4611-9D2B-CE31E9EF2A1D}"/>
    <cellStyle name="Normal 2 4 3 3 2 2 5 4" xfId="20753" xr:uid="{FF81FEB9-4654-48A3-86B1-53E53063F741}"/>
    <cellStyle name="Normal 2 4 3 3 2 2 5 5" xfId="11454" xr:uid="{790622DE-4D15-4CF6-8DA2-18BB39CB00BD}"/>
    <cellStyle name="Normal 2 4 3 3 2 2 6" xfId="2475" xr:uid="{00000000-0005-0000-0000-0000E30F0000}"/>
    <cellStyle name="Normal 2 4 3 3 2 2 6 2" xfId="6758" xr:uid="{00000000-0005-0000-0000-0000E40F0000}"/>
    <cellStyle name="Normal 2 4 3 3 2 2 6 2 2" xfId="25383" xr:uid="{76D41A1D-2A09-485F-8028-15D5FF58492E}"/>
    <cellStyle name="Normal 2 4 3 3 2 2 6 2 3" xfId="16084" xr:uid="{2966F8E6-EA6B-4117-B308-8718571F6F45}"/>
    <cellStyle name="Normal 2 4 3 3 2 2 6 3" xfId="21166" xr:uid="{D860F342-01BD-424B-8D4F-20712592EF76}"/>
    <cellStyle name="Normal 2 4 3 3 2 2 6 4" xfId="11867" xr:uid="{D4CF1031-CB4B-4011-8AD0-753C552337C2}"/>
    <cellStyle name="Normal 2 4 3 3 2 2 7" xfId="4692" xr:uid="{00000000-0005-0000-0000-0000E50F0000}"/>
    <cellStyle name="Normal 2 4 3 3 2 2 7 2" xfId="23317" xr:uid="{963B8292-BEFD-4A58-80D2-66AB64D3BC44}"/>
    <cellStyle name="Normal 2 4 3 3 2 2 7 3" xfId="14018" xr:uid="{7CC6FC84-31B3-4E0E-8262-14D1A293ED70}"/>
    <cellStyle name="Normal 2 4 3 3 2 2 8" xfId="9124" xr:uid="{1FF2B195-09C8-4D7B-A363-E8AF809A669B}"/>
    <cellStyle name="Normal 2 4 3 3 2 2 8 2" xfId="27747" xr:uid="{F96477F4-59D2-48A8-8790-1788F6A3600F}"/>
    <cellStyle name="Normal 2 4 3 3 2 2 8 3" xfId="18448" xr:uid="{63A64CAF-EEA3-4B00-ACDE-B96B03EAE2BD}"/>
    <cellStyle name="Normal 2 4 3 3 2 2 9" xfId="19100" xr:uid="{5CC247F6-F2D8-4917-B4B7-667B9A46FE8C}"/>
    <cellStyle name="Normal 2 4 3 3 2 3" xfId="789" xr:uid="{00000000-0005-0000-0000-0000E60F0000}"/>
    <cellStyle name="Normal 2 4 3 3 2 3 2" xfId="3028" xr:uid="{00000000-0005-0000-0000-0000E70F0000}"/>
    <cellStyle name="Normal 2 4 3 3 2 3 2 2" xfId="7250" xr:uid="{00000000-0005-0000-0000-0000E80F0000}"/>
    <cellStyle name="Normal 2 4 3 3 2 3 2 2 2" xfId="25875" xr:uid="{0E472278-6245-43F3-8524-AFEF36D14E53}"/>
    <cellStyle name="Normal 2 4 3 3 2 3 2 2 3" xfId="16576" xr:uid="{03F7B44C-916D-4644-A03B-BCC26DA6EB00}"/>
    <cellStyle name="Normal 2 4 3 3 2 3 2 3" xfId="21658" xr:uid="{16556793-6C8C-419B-A492-C41D0F677FF8}"/>
    <cellStyle name="Normal 2 4 3 3 2 3 2 4" xfId="12359" xr:uid="{AA1BD614-69B6-4134-BDD1-F291FBAE9249}"/>
    <cellStyle name="Normal 2 4 3 3 2 3 3" xfId="5105" xr:uid="{00000000-0005-0000-0000-0000E90F0000}"/>
    <cellStyle name="Normal 2 4 3 3 2 3 3 2" xfId="23730" xr:uid="{FD3DA36E-79A5-4CBF-9F13-1337A7FDF8B0}"/>
    <cellStyle name="Normal 2 4 3 3 2 3 3 3" xfId="14431" xr:uid="{7CD84233-CF4F-46D5-A276-C66CB88913F2}"/>
    <cellStyle name="Normal 2 4 3 3 2 3 4" xfId="9342" xr:uid="{41454CF9-47C1-4E8A-868A-8F39341308EB}"/>
    <cellStyle name="Normal 2 4 3 3 2 3 4 2" xfId="27956" xr:uid="{CF9B0FAE-506F-48C2-A45B-EE327485F0A6}"/>
    <cellStyle name="Normal 2 4 3 3 2 3 4 3" xfId="18657" xr:uid="{9E5C9AD3-3AD2-4376-8365-EB174A5269FB}"/>
    <cellStyle name="Normal 2 4 3 3 2 3 5" xfId="19513" xr:uid="{3EF555C0-E2A2-4B11-A939-B7D0CFD7B99B}"/>
    <cellStyle name="Normal 2 4 3 3 2 3 6" xfId="10214" xr:uid="{6D25B106-97E2-44E4-86BC-3982BD9F9E8C}"/>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2 2 2" xfId="26288" xr:uid="{618F8EF9-446D-4B41-878A-0C70FFB05CD6}"/>
    <cellStyle name="Normal 2 4 3 3 2 4 2 2 3" xfId="16989" xr:uid="{939C736E-DDE3-43DE-879D-BF0694BDF081}"/>
    <cellStyle name="Normal 2 4 3 3 2 4 2 3" xfId="22071" xr:uid="{D4972535-80BE-4E83-9B56-BA2F8A205F94}"/>
    <cellStyle name="Normal 2 4 3 3 2 4 2 4" xfId="12772" xr:uid="{371AD09F-3418-480C-A088-000A3796EFCB}"/>
    <cellStyle name="Normal 2 4 3 3 2 4 3" xfId="5518" xr:uid="{00000000-0005-0000-0000-0000ED0F0000}"/>
    <cellStyle name="Normal 2 4 3 3 2 4 3 2" xfId="24143" xr:uid="{08AB833D-CB6A-4633-9827-CAD73658D85A}"/>
    <cellStyle name="Normal 2 4 3 3 2 4 3 3" xfId="14844" xr:uid="{B5669944-1FFD-4931-AB59-2E8B61926BEF}"/>
    <cellStyle name="Normal 2 4 3 3 2 4 4" xfId="19926" xr:uid="{8797792E-FD1D-451B-9B17-1F1B1E1FF330}"/>
    <cellStyle name="Normal 2 4 3 3 2 4 5" xfId="10627" xr:uid="{84D31FF6-4557-474B-A582-4305669CA915}"/>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2 2 2" xfId="26701" xr:uid="{3C9513E5-BD5A-4B24-BF8B-4519F00EF851}"/>
    <cellStyle name="Normal 2 4 3 3 2 5 2 2 3" xfId="17402" xr:uid="{FD8DF19F-9ED9-4D5E-97CC-18894F8EF853}"/>
    <cellStyle name="Normal 2 4 3 3 2 5 2 3" xfId="22484" xr:uid="{FAD5E70C-A774-4449-A0D6-3F85AD9C3265}"/>
    <cellStyle name="Normal 2 4 3 3 2 5 2 4" xfId="13185" xr:uid="{773ABDD6-A08C-49E3-A590-2FC81FAA86CE}"/>
    <cellStyle name="Normal 2 4 3 3 2 5 3" xfId="5931" xr:uid="{00000000-0005-0000-0000-0000F10F0000}"/>
    <cellStyle name="Normal 2 4 3 3 2 5 3 2" xfId="24556" xr:uid="{930F4219-6687-4576-A2BA-143A5A17157D}"/>
    <cellStyle name="Normal 2 4 3 3 2 5 3 3" xfId="15257" xr:uid="{834F5C60-88F5-4735-9FAA-119BA757D540}"/>
    <cellStyle name="Normal 2 4 3 3 2 5 4" xfId="20339" xr:uid="{DA1A70D4-4617-4F0C-9FA8-27D2D84D089B}"/>
    <cellStyle name="Normal 2 4 3 3 2 5 5" xfId="11040" xr:uid="{CAD408A5-E9AE-4F65-9148-F1F43111A355}"/>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2 2 2" xfId="27114" xr:uid="{1A3420FD-B09D-408E-B4BE-3110F3D6BFDF}"/>
    <cellStyle name="Normal 2 4 3 3 2 6 2 2 3" xfId="17815" xr:uid="{80F6C87A-EC56-43D3-916D-8CDD0180D53D}"/>
    <cellStyle name="Normal 2 4 3 3 2 6 2 3" xfId="22897" xr:uid="{90896E45-E9AC-4354-894E-7B472F575D60}"/>
    <cellStyle name="Normal 2 4 3 3 2 6 2 4" xfId="13598" xr:uid="{21B49EBD-0FE2-40BA-B916-7E266A58088F}"/>
    <cellStyle name="Normal 2 4 3 3 2 6 3" xfId="6344" xr:uid="{00000000-0005-0000-0000-0000F50F0000}"/>
    <cellStyle name="Normal 2 4 3 3 2 6 3 2" xfId="24969" xr:uid="{259E1088-F6FF-4493-8633-B2A30F7975D0}"/>
    <cellStyle name="Normal 2 4 3 3 2 6 3 3" xfId="15670" xr:uid="{EFC40D23-E21D-42D8-B65A-358A061063EB}"/>
    <cellStyle name="Normal 2 4 3 3 2 6 4" xfId="20752" xr:uid="{9935E5D6-411C-4136-9273-E0DC1AC23A19}"/>
    <cellStyle name="Normal 2 4 3 3 2 6 5" xfId="11453" xr:uid="{0A0654DD-FEFD-4898-86E8-B9DC731A2973}"/>
    <cellStyle name="Normal 2 4 3 3 2 7" xfId="2474" xr:uid="{00000000-0005-0000-0000-0000F60F0000}"/>
    <cellStyle name="Normal 2 4 3 3 2 7 2" xfId="6757" xr:uid="{00000000-0005-0000-0000-0000F70F0000}"/>
    <cellStyle name="Normal 2 4 3 3 2 7 2 2" xfId="25382" xr:uid="{C639FB9E-E0C7-42E2-9671-C662B9C38E1E}"/>
    <cellStyle name="Normal 2 4 3 3 2 7 2 3" xfId="16083" xr:uid="{454A7663-35FE-4E8A-B449-B86F896D9B51}"/>
    <cellStyle name="Normal 2 4 3 3 2 7 3" xfId="21165" xr:uid="{D5E03E55-DA6B-4D47-BE05-D4A18024FEFF}"/>
    <cellStyle name="Normal 2 4 3 3 2 7 4" xfId="11866" xr:uid="{1C6B07AE-D5C1-4562-8017-8F7E33B258D2}"/>
    <cellStyle name="Normal 2 4 3 3 2 8" xfId="4691" xr:uid="{00000000-0005-0000-0000-0000F80F0000}"/>
    <cellStyle name="Normal 2 4 3 3 2 8 2" xfId="23316" xr:uid="{A3C9374F-51A5-47EC-9AFB-75980ED1A20E}"/>
    <cellStyle name="Normal 2 4 3 3 2 8 3" xfId="14017" xr:uid="{5A0D0D28-E63A-4F22-8F77-6088D6956B20}"/>
    <cellStyle name="Normal 2 4 3 3 2 9" xfId="8917" xr:uid="{1E22693C-F4B1-4678-80B0-65CF6DC31586}"/>
    <cellStyle name="Normal 2 4 3 3 2 9 2" xfId="27540" xr:uid="{2C8C124B-1222-4E56-ADC1-0A042C76542A}"/>
    <cellStyle name="Normal 2 4 3 3 2 9 3" xfId="18241" xr:uid="{5139E757-EB74-4FAA-982D-C0349DD95CC4}"/>
    <cellStyle name="Normal 2 4 3 3 3" xfId="301" xr:uid="{00000000-0005-0000-0000-0000F90F0000}"/>
    <cellStyle name="Normal 2 4 3 3 3 10" xfId="9802" xr:uid="{C2E2DF3F-23AD-43B4-B2D3-6AEFE6AB1CAC}"/>
    <cellStyle name="Normal 2 4 3 3 3 2" xfId="791" xr:uid="{00000000-0005-0000-0000-0000FA0F0000}"/>
    <cellStyle name="Normal 2 4 3 3 3 2 2" xfId="3030" xr:uid="{00000000-0005-0000-0000-0000FB0F0000}"/>
    <cellStyle name="Normal 2 4 3 3 3 2 2 2" xfId="7252" xr:uid="{00000000-0005-0000-0000-0000FC0F0000}"/>
    <cellStyle name="Normal 2 4 3 3 3 2 2 2 2" xfId="25877" xr:uid="{8AF872D5-FD56-40D2-B372-4A0FEB06DC15}"/>
    <cellStyle name="Normal 2 4 3 3 3 2 2 2 3" xfId="16578" xr:uid="{147E233D-9AA0-4F32-A7F6-F59E9FC03691}"/>
    <cellStyle name="Normal 2 4 3 3 3 2 2 3" xfId="21660" xr:uid="{A41E26B9-7AD3-4B55-994C-1743A89564C1}"/>
    <cellStyle name="Normal 2 4 3 3 3 2 2 4" xfId="12361" xr:uid="{A753B7BC-C303-43EA-9CF2-26491BE567D7}"/>
    <cellStyle name="Normal 2 4 3 3 3 2 3" xfId="5107" xr:uid="{00000000-0005-0000-0000-0000FD0F0000}"/>
    <cellStyle name="Normal 2 4 3 3 3 2 3 2" xfId="23732" xr:uid="{300252EF-66E4-4695-94CF-88A13E5183EB}"/>
    <cellStyle name="Normal 2 4 3 3 3 2 3 3" xfId="14433" xr:uid="{832F61FA-C266-4636-A656-70A439EB6BA7}"/>
    <cellStyle name="Normal 2 4 3 3 3 2 4" xfId="9446" xr:uid="{7ACDBBC8-943F-41CF-9832-96F56BCB3985}"/>
    <cellStyle name="Normal 2 4 3 3 3 2 4 2" xfId="28060" xr:uid="{835C325C-73BD-48AD-9634-F5257474DCA6}"/>
    <cellStyle name="Normal 2 4 3 3 3 2 4 3" xfId="18761" xr:uid="{146956A2-F60B-46F3-BAC9-A29204A03B86}"/>
    <cellStyle name="Normal 2 4 3 3 3 2 5" xfId="19515" xr:uid="{AAD0582D-6A9C-4C81-B4EE-313E8DA77DD9}"/>
    <cellStyle name="Normal 2 4 3 3 3 2 6" xfId="10216" xr:uid="{81728397-5045-4573-BBB0-A1B8DAB6E9C2}"/>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2 2 2" xfId="26290" xr:uid="{4109B55F-CBD4-4AF9-B338-E8CD8B596410}"/>
    <cellStyle name="Normal 2 4 3 3 3 3 2 2 3" xfId="16991" xr:uid="{E0A1B6E0-A888-4E14-A33D-0EFF6A969622}"/>
    <cellStyle name="Normal 2 4 3 3 3 3 2 3" xfId="22073" xr:uid="{B08F54A8-03AF-4874-859C-68D69AD470D9}"/>
    <cellStyle name="Normal 2 4 3 3 3 3 2 4" xfId="12774" xr:uid="{55F5ABE6-E44B-4141-B9B9-913C709D634D}"/>
    <cellStyle name="Normal 2 4 3 3 3 3 3" xfId="5520" xr:uid="{00000000-0005-0000-0000-000001100000}"/>
    <cellStyle name="Normal 2 4 3 3 3 3 3 2" xfId="24145" xr:uid="{13A9E2AD-6D6C-4BAB-9D7C-F73645E1B41D}"/>
    <cellStyle name="Normal 2 4 3 3 3 3 3 3" xfId="14846" xr:uid="{FAD3ED38-7A5A-4E49-9CD0-E5DA3E6438F3}"/>
    <cellStyle name="Normal 2 4 3 3 3 3 4" xfId="19928" xr:uid="{1F38AB34-F2D5-45AE-B5CA-1473912DFDF6}"/>
    <cellStyle name="Normal 2 4 3 3 3 3 5" xfId="10629" xr:uid="{736863A2-7ACC-4DCA-92F5-B70A86AFB076}"/>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2 2 2" xfId="26703" xr:uid="{B77A2483-1AC8-4816-9120-1750DB36519A}"/>
    <cellStyle name="Normal 2 4 3 3 3 4 2 2 3" xfId="17404" xr:uid="{5C8227E0-C770-4031-9026-0441A6F7C1A4}"/>
    <cellStyle name="Normal 2 4 3 3 3 4 2 3" xfId="22486" xr:uid="{6175F18F-CF5B-4A1E-8B36-97C63CD611AE}"/>
    <cellStyle name="Normal 2 4 3 3 3 4 2 4" xfId="13187" xr:uid="{F7F5FE61-D6A8-4E73-B295-8066BC3AF963}"/>
    <cellStyle name="Normal 2 4 3 3 3 4 3" xfId="5933" xr:uid="{00000000-0005-0000-0000-000005100000}"/>
    <cellStyle name="Normal 2 4 3 3 3 4 3 2" xfId="24558" xr:uid="{18EB570A-EE9A-41AB-B569-5F762BB92530}"/>
    <cellStyle name="Normal 2 4 3 3 3 4 3 3" xfId="15259" xr:uid="{2CDFA188-DA06-49C0-81A0-AC1670D24FFB}"/>
    <cellStyle name="Normal 2 4 3 3 3 4 4" xfId="20341" xr:uid="{D40958B7-D566-4130-BF26-ECB80815DE00}"/>
    <cellStyle name="Normal 2 4 3 3 3 4 5" xfId="11042" xr:uid="{7E15AAD4-D1E7-4951-9205-FEE57AD2025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2 2 2" xfId="27116" xr:uid="{F0426028-00AA-4D4B-B76C-83B72F4A1B38}"/>
    <cellStyle name="Normal 2 4 3 3 3 5 2 2 3" xfId="17817" xr:uid="{43289730-EDBA-4664-9B4D-9A3D0382F609}"/>
    <cellStyle name="Normal 2 4 3 3 3 5 2 3" xfId="22899" xr:uid="{07F7BD26-3C50-4DF0-A6FC-5763EAA16F5C}"/>
    <cellStyle name="Normal 2 4 3 3 3 5 2 4" xfId="13600" xr:uid="{2785A12E-B79F-4ABB-9F2C-4B16FA8C7426}"/>
    <cellStyle name="Normal 2 4 3 3 3 5 3" xfId="6346" xr:uid="{00000000-0005-0000-0000-000009100000}"/>
    <cellStyle name="Normal 2 4 3 3 3 5 3 2" xfId="24971" xr:uid="{752C1387-A3C0-45BD-9ECF-F61E21D9907D}"/>
    <cellStyle name="Normal 2 4 3 3 3 5 3 3" xfId="15672" xr:uid="{75A30B39-7D7D-4BD2-85C7-39D60D146FD9}"/>
    <cellStyle name="Normal 2 4 3 3 3 5 4" xfId="20754" xr:uid="{6A2361F6-EE65-4F99-8520-E7C03BFD518F}"/>
    <cellStyle name="Normal 2 4 3 3 3 5 5" xfId="11455" xr:uid="{4004B57A-000D-4DDD-9BEA-C0A14FD8AC9E}"/>
    <cellStyle name="Normal 2 4 3 3 3 6" xfId="2476" xr:uid="{00000000-0005-0000-0000-00000A100000}"/>
    <cellStyle name="Normal 2 4 3 3 3 6 2" xfId="6759" xr:uid="{00000000-0005-0000-0000-00000B100000}"/>
    <cellStyle name="Normal 2 4 3 3 3 6 2 2" xfId="25384" xr:uid="{C23CE918-D16F-402C-95FA-204709C250B1}"/>
    <cellStyle name="Normal 2 4 3 3 3 6 2 3" xfId="16085" xr:uid="{D241193E-CE23-4BB8-AB05-B840C07FB3A8}"/>
    <cellStyle name="Normal 2 4 3 3 3 6 3" xfId="21167" xr:uid="{7ECE5BE3-5689-4BFC-9C48-241EE9412018}"/>
    <cellStyle name="Normal 2 4 3 3 3 6 4" xfId="11868" xr:uid="{B978188B-E200-418D-BEBA-29F2C9610C7C}"/>
    <cellStyle name="Normal 2 4 3 3 3 7" xfId="4693" xr:uid="{00000000-0005-0000-0000-00000C100000}"/>
    <cellStyle name="Normal 2 4 3 3 3 7 2" xfId="23318" xr:uid="{A9601383-97F4-49CC-9581-CA8F8468074C}"/>
    <cellStyle name="Normal 2 4 3 3 3 7 3" xfId="14019" xr:uid="{2BED4FD6-56D8-484B-AF10-DE3E70731A14}"/>
    <cellStyle name="Normal 2 4 3 3 3 8" xfId="9021" xr:uid="{4EC0F035-DC07-4262-9C58-7142AC357944}"/>
    <cellStyle name="Normal 2 4 3 3 3 8 2" xfId="27644" xr:uid="{71310A82-6C4B-4BCE-A50D-5D3678F01FA2}"/>
    <cellStyle name="Normal 2 4 3 3 3 8 3" xfId="18345" xr:uid="{388F7A4E-5063-44A1-8077-95CCF06CBEB4}"/>
    <cellStyle name="Normal 2 4 3 3 3 9" xfId="19101" xr:uid="{24211B7C-E15B-4209-9B6C-F96E89DA2AF7}"/>
    <cellStyle name="Normal 2 4 3 3 4" xfId="788" xr:uid="{00000000-0005-0000-0000-00000D100000}"/>
    <cellStyle name="Normal 2 4 3 3 4 2" xfId="3027" xr:uid="{00000000-0005-0000-0000-00000E100000}"/>
    <cellStyle name="Normal 2 4 3 3 4 2 2" xfId="7249" xr:uid="{00000000-0005-0000-0000-00000F100000}"/>
    <cellStyle name="Normal 2 4 3 3 4 2 2 2" xfId="25874" xr:uid="{CCA695C6-531F-4DD7-BAE5-7AE2F8AABAF2}"/>
    <cellStyle name="Normal 2 4 3 3 4 2 2 3" xfId="16575" xr:uid="{F48D54C6-4FDB-4023-A6F8-B31DBAD29BE4}"/>
    <cellStyle name="Normal 2 4 3 3 4 2 3" xfId="21657" xr:uid="{9A0445A3-F1F7-43B7-8186-1D8AB3DC9DB6}"/>
    <cellStyle name="Normal 2 4 3 3 4 2 4" xfId="12358" xr:uid="{094AA7A6-2418-4B2F-9613-C5A56BED870A}"/>
    <cellStyle name="Normal 2 4 3 3 4 3" xfId="5104" xr:uid="{00000000-0005-0000-0000-000010100000}"/>
    <cellStyle name="Normal 2 4 3 3 4 3 2" xfId="23729" xr:uid="{EAFF7A24-BC6E-44C6-AEDF-6172D42042D1}"/>
    <cellStyle name="Normal 2 4 3 3 4 3 3" xfId="14430" xr:uid="{4409C112-2829-4B17-82D8-68FED794A545}"/>
    <cellStyle name="Normal 2 4 3 3 4 4" xfId="9239" xr:uid="{3DCBA9AF-C63D-4CA9-81B6-AC7CB7B67292}"/>
    <cellStyle name="Normal 2 4 3 3 4 4 2" xfId="27853" xr:uid="{64D25F4B-E6C0-4E7A-A18E-0A49E87D0045}"/>
    <cellStyle name="Normal 2 4 3 3 4 4 3" xfId="18554" xr:uid="{BDC71FB8-1151-4D2B-8E08-6049D9D068C6}"/>
    <cellStyle name="Normal 2 4 3 3 4 5" xfId="19512" xr:uid="{6BE6C736-858F-475A-9D42-84D4E565FDB2}"/>
    <cellStyle name="Normal 2 4 3 3 4 6" xfId="10213" xr:uid="{D9E9AEFB-CB0E-4E00-9375-1C65E47CF21F}"/>
    <cellStyle name="Normal 2 4 3 3 5" xfId="1210" xr:uid="{00000000-0005-0000-0000-000011100000}"/>
    <cellStyle name="Normal 2 4 3 3 5 2" xfId="3440" xr:uid="{00000000-0005-0000-0000-000012100000}"/>
    <cellStyle name="Normal 2 4 3 3 5 2 2" xfId="7662" xr:uid="{00000000-0005-0000-0000-000013100000}"/>
    <cellStyle name="Normal 2 4 3 3 5 2 2 2" xfId="26287" xr:uid="{D9D77D8B-AA4D-46BF-A5E3-A95B20156403}"/>
    <cellStyle name="Normal 2 4 3 3 5 2 2 3" xfId="16988" xr:uid="{A6078192-DAC8-410B-84DF-C6A04F95C45C}"/>
    <cellStyle name="Normal 2 4 3 3 5 2 3" xfId="22070" xr:uid="{0738396C-38AA-4EDA-A5A3-53968C76BBB6}"/>
    <cellStyle name="Normal 2 4 3 3 5 2 4" xfId="12771" xr:uid="{FCF881A7-F7D0-49C5-926E-C09080C60A08}"/>
    <cellStyle name="Normal 2 4 3 3 5 3" xfId="5517" xr:uid="{00000000-0005-0000-0000-000014100000}"/>
    <cellStyle name="Normal 2 4 3 3 5 3 2" xfId="24142" xr:uid="{B53725FB-A2C2-4D9E-96B7-B724B3431893}"/>
    <cellStyle name="Normal 2 4 3 3 5 3 3" xfId="14843" xr:uid="{488F9959-D9C4-48D3-81C8-AFACAF1D3FC2}"/>
    <cellStyle name="Normal 2 4 3 3 5 4" xfId="19925" xr:uid="{243A70D5-3AE2-4D64-B83E-8B72CF5C9B67}"/>
    <cellStyle name="Normal 2 4 3 3 5 5" xfId="10626" xr:uid="{C4495198-B362-4A5C-B74E-17196011F238}"/>
    <cellStyle name="Normal 2 4 3 3 6" xfId="1623" xr:uid="{00000000-0005-0000-0000-000015100000}"/>
    <cellStyle name="Normal 2 4 3 3 6 2" xfId="3853" xr:uid="{00000000-0005-0000-0000-000016100000}"/>
    <cellStyle name="Normal 2 4 3 3 6 2 2" xfId="8075" xr:uid="{00000000-0005-0000-0000-000017100000}"/>
    <cellStyle name="Normal 2 4 3 3 6 2 2 2" xfId="26700" xr:uid="{A718D407-D75C-44FD-91C3-28E90E8EA44D}"/>
    <cellStyle name="Normal 2 4 3 3 6 2 2 3" xfId="17401" xr:uid="{CB87190C-49C1-46E3-9713-4EB644BD92F0}"/>
    <cellStyle name="Normal 2 4 3 3 6 2 3" xfId="22483" xr:uid="{3C59301E-4AC8-4FE8-B0A7-723314AF5DA5}"/>
    <cellStyle name="Normal 2 4 3 3 6 2 4" xfId="13184" xr:uid="{BB819DFC-A4FA-4D0E-87E2-04497C255EFD}"/>
    <cellStyle name="Normal 2 4 3 3 6 3" xfId="5930" xr:uid="{00000000-0005-0000-0000-000018100000}"/>
    <cellStyle name="Normal 2 4 3 3 6 3 2" xfId="24555" xr:uid="{73F8792B-84AD-4559-9F47-C97BD6B3F6BE}"/>
    <cellStyle name="Normal 2 4 3 3 6 3 3" xfId="15256" xr:uid="{30D542AB-0D35-4D4D-AF09-BA7D2A3B4786}"/>
    <cellStyle name="Normal 2 4 3 3 6 4" xfId="20338" xr:uid="{3B77D5ED-A9AD-4F60-952F-F75DBD7D7710}"/>
    <cellStyle name="Normal 2 4 3 3 6 5" xfId="11039" xr:uid="{608B0696-3DE0-4357-814E-5DA8C94CFC3A}"/>
    <cellStyle name="Normal 2 4 3 3 7" xfId="2037" xr:uid="{00000000-0005-0000-0000-000019100000}"/>
    <cellStyle name="Normal 2 4 3 3 7 2" xfId="4266" xr:uid="{00000000-0005-0000-0000-00001A100000}"/>
    <cellStyle name="Normal 2 4 3 3 7 2 2" xfId="8488" xr:uid="{00000000-0005-0000-0000-00001B100000}"/>
    <cellStyle name="Normal 2 4 3 3 7 2 2 2" xfId="27113" xr:uid="{6DEA0739-FDAF-48AD-8BA8-64845B29404C}"/>
    <cellStyle name="Normal 2 4 3 3 7 2 2 3" xfId="17814" xr:uid="{8411EC9F-84C5-4744-9A35-A6C580DCCCC0}"/>
    <cellStyle name="Normal 2 4 3 3 7 2 3" xfId="22896" xr:uid="{94310498-7DED-4751-9926-D5AE0E0EDFCE}"/>
    <cellStyle name="Normal 2 4 3 3 7 2 4" xfId="13597" xr:uid="{FBA240B0-417F-4B34-9439-99AD618F1AB7}"/>
    <cellStyle name="Normal 2 4 3 3 7 3" xfId="6343" xr:uid="{00000000-0005-0000-0000-00001C100000}"/>
    <cellStyle name="Normal 2 4 3 3 7 3 2" xfId="24968" xr:uid="{2D63C708-2A07-43C2-8437-6E127FAE2501}"/>
    <cellStyle name="Normal 2 4 3 3 7 3 3" xfId="15669" xr:uid="{1BEE6B3E-1185-4546-B2B4-68EE004003D4}"/>
    <cellStyle name="Normal 2 4 3 3 7 4" xfId="20751" xr:uid="{69E5CD59-2B71-4D26-AC07-3E19BB44AB65}"/>
    <cellStyle name="Normal 2 4 3 3 7 5" xfId="11452" xr:uid="{F447E88B-76F3-42B4-B345-B7051F555BE7}"/>
    <cellStyle name="Normal 2 4 3 3 8" xfId="2473" xr:uid="{00000000-0005-0000-0000-00001D100000}"/>
    <cellStyle name="Normal 2 4 3 3 8 2" xfId="6756" xr:uid="{00000000-0005-0000-0000-00001E100000}"/>
    <cellStyle name="Normal 2 4 3 3 8 2 2" xfId="25381" xr:uid="{1D1F8DB4-D501-4753-A806-1D06B80C9974}"/>
    <cellStyle name="Normal 2 4 3 3 8 2 3" xfId="16082" xr:uid="{67EB7910-8D7B-4DC8-9808-D257794C2ABC}"/>
    <cellStyle name="Normal 2 4 3 3 8 3" xfId="21164" xr:uid="{501979A2-4AA0-45FB-AD9E-F27E8BF0C7A3}"/>
    <cellStyle name="Normal 2 4 3 3 8 4" xfId="11865" xr:uid="{649162A0-BBA2-48B2-B6FD-A698D45835D2}"/>
    <cellStyle name="Normal 2 4 3 3 9" xfId="4690" xr:uid="{00000000-0005-0000-0000-00001F100000}"/>
    <cellStyle name="Normal 2 4 3 3 9 2" xfId="23315" xr:uid="{E0B180A4-7AF2-4421-ABDF-322ACDDD660F}"/>
    <cellStyle name="Normal 2 4 3 3 9 3" xfId="14016" xr:uid="{334558EA-602A-442B-B035-C91E038DECC3}"/>
    <cellStyle name="Normal 2 4 3 4" xfId="787" xr:uid="{00000000-0005-0000-0000-000020100000}"/>
    <cellStyle name="Normal 2 4 3 4 2" xfId="3026" xr:uid="{00000000-0005-0000-0000-000021100000}"/>
    <cellStyle name="Normal 2 4 3 4 2 2" xfId="7248" xr:uid="{00000000-0005-0000-0000-000022100000}"/>
    <cellStyle name="Normal 2 4 3 4 2 2 2" xfId="25873" xr:uid="{A5C19798-713F-4726-BC72-98C6F5377E65}"/>
    <cellStyle name="Normal 2 4 3 4 2 2 3" xfId="16574" xr:uid="{918CDA52-5AC7-4D3D-8294-11137C9E7C36}"/>
    <cellStyle name="Normal 2 4 3 4 2 3" xfId="21656" xr:uid="{84E70994-7C4C-426D-8395-7D1FE7F13B4B}"/>
    <cellStyle name="Normal 2 4 3 4 2 4" xfId="12357" xr:uid="{865E3DF0-C655-48BB-A72F-25F490D2B54F}"/>
    <cellStyle name="Normal 2 4 3 4 3" xfId="5103" xr:uid="{00000000-0005-0000-0000-000023100000}"/>
    <cellStyle name="Normal 2 4 3 4 3 2" xfId="23728" xr:uid="{CB2B4367-330D-4382-9915-00C3D5AC3D3A}"/>
    <cellStyle name="Normal 2 4 3 4 3 3" xfId="14429" xr:uid="{38CB409C-1B2A-4744-90CC-067FFF5B2BD5}"/>
    <cellStyle name="Normal 2 4 3 4 4" xfId="9605" xr:uid="{31B075F0-6828-4EC6-AC77-4B4B0626A722}"/>
    <cellStyle name="Normal 2 4 3 4 4 2" xfId="28205" xr:uid="{62B984DE-0261-4E10-956F-FBD9DAB45C9F}"/>
    <cellStyle name="Normal 2 4 3 4 4 3" xfId="18906" xr:uid="{2ABEBF17-3122-4470-8FD5-DB91D082C665}"/>
    <cellStyle name="Normal 2 4 3 4 5" xfId="19511" xr:uid="{683778FD-CF49-4F5C-B2D7-F7F62D599BC5}"/>
    <cellStyle name="Normal 2 4 3 4 6" xfId="10212" xr:uid="{B931228B-91FC-4922-A03F-B88584B89CBB}"/>
    <cellStyle name="Normal 2 4 3 5" xfId="1209" xr:uid="{00000000-0005-0000-0000-000024100000}"/>
    <cellStyle name="Normal 2 4 3 5 2" xfId="3439" xr:uid="{00000000-0005-0000-0000-000025100000}"/>
    <cellStyle name="Normal 2 4 3 5 2 2" xfId="7661" xr:uid="{00000000-0005-0000-0000-000026100000}"/>
    <cellStyle name="Normal 2 4 3 5 2 2 2" xfId="26286" xr:uid="{AAC31089-A678-4AD6-9FFD-623F7BAA05C6}"/>
    <cellStyle name="Normal 2 4 3 5 2 2 3" xfId="16987" xr:uid="{51DBCC4D-F60B-4E9F-AD3C-136DA6DEACFE}"/>
    <cellStyle name="Normal 2 4 3 5 2 3" xfId="22069" xr:uid="{8DF05934-989D-41DB-8B88-C726A133C2C9}"/>
    <cellStyle name="Normal 2 4 3 5 2 4" xfId="12770" xr:uid="{FFF0FE63-F4EA-4B9F-9A7C-6ED87A3EDE9F}"/>
    <cellStyle name="Normal 2 4 3 5 3" xfId="5516" xr:uid="{00000000-0005-0000-0000-000027100000}"/>
    <cellStyle name="Normal 2 4 3 5 3 2" xfId="24141" xr:uid="{09A1D7AC-D032-4420-B203-D8658F0AC3DC}"/>
    <cellStyle name="Normal 2 4 3 5 3 3" xfId="14842" xr:uid="{505AC2CF-64CC-4589-A3FE-52C8A813AE97}"/>
    <cellStyle name="Normal 2 4 3 5 4" xfId="19924" xr:uid="{75415F26-EA36-4F84-AE30-6407118AE9E8}"/>
    <cellStyle name="Normal 2 4 3 5 5" xfId="10625" xr:uid="{9CE572BC-1ED6-4A1A-B361-E446832DE24F}"/>
    <cellStyle name="Normal 2 4 3 6" xfId="1622" xr:uid="{00000000-0005-0000-0000-000028100000}"/>
    <cellStyle name="Normal 2 4 3 6 2" xfId="3852" xr:uid="{00000000-0005-0000-0000-000029100000}"/>
    <cellStyle name="Normal 2 4 3 6 2 2" xfId="8074" xr:uid="{00000000-0005-0000-0000-00002A100000}"/>
    <cellStyle name="Normal 2 4 3 6 2 2 2" xfId="26699" xr:uid="{BE75BF29-0CEC-4072-AB42-12F06EE45A09}"/>
    <cellStyle name="Normal 2 4 3 6 2 2 3" xfId="17400" xr:uid="{C98977E1-C372-4247-BA0C-6A075DE54998}"/>
    <cellStyle name="Normal 2 4 3 6 2 3" xfId="22482" xr:uid="{A07CF8B3-BEC7-4B95-8847-E590D2ABB74F}"/>
    <cellStyle name="Normal 2 4 3 6 2 4" xfId="13183" xr:uid="{E8762EF0-9F31-47C9-A077-23FF8E2ACD44}"/>
    <cellStyle name="Normal 2 4 3 6 3" xfId="5929" xr:uid="{00000000-0005-0000-0000-00002B100000}"/>
    <cellStyle name="Normal 2 4 3 6 3 2" xfId="24554" xr:uid="{247C2897-DA5F-44BD-A764-07882F0C9AD7}"/>
    <cellStyle name="Normal 2 4 3 6 3 3" xfId="15255" xr:uid="{E216A054-1109-4CA6-B69E-3D7A07CA3AD9}"/>
    <cellStyle name="Normal 2 4 3 6 4" xfId="20337" xr:uid="{BE48A6D0-790E-409C-A7D1-5466D40E34F1}"/>
    <cellStyle name="Normal 2 4 3 6 5" xfId="11038" xr:uid="{919B736A-F565-46D6-8990-466C69583707}"/>
    <cellStyle name="Normal 2 4 3 7" xfId="2036" xr:uid="{00000000-0005-0000-0000-00002C100000}"/>
    <cellStyle name="Normal 2 4 3 7 2" xfId="4265" xr:uid="{00000000-0005-0000-0000-00002D100000}"/>
    <cellStyle name="Normal 2 4 3 7 2 2" xfId="8487" xr:uid="{00000000-0005-0000-0000-00002E100000}"/>
    <cellStyle name="Normal 2 4 3 7 2 2 2" xfId="27112" xr:uid="{80D8F241-3F5A-410C-AB5D-970AC7F48323}"/>
    <cellStyle name="Normal 2 4 3 7 2 2 3" xfId="17813" xr:uid="{B99AADE9-519C-49AF-B573-4E7BFB267A52}"/>
    <cellStyle name="Normal 2 4 3 7 2 3" xfId="22895" xr:uid="{473F22A3-F7D6-4F0B-A407-0F021817052E}"/>
    <cellStyle name="Normal 2 4 3 7 2 4" xfId="13596" xr:uid="{C6DD43E5-E779-41C9-803D-58C238F05CE3}"/>
    <cellStyle name="Normal 2 4 3 7 3" xfId="6342" xr:uid="{00000000-0005-0000-0000-00002F100000}"/>
    <cellStyle name="Normal 2 4 3 7 3 2" xfId="24967" xr:uid="{76D35252-0749-4E96-A4CD-E4CD667A5400}"/>
    <cellStyle name="Normal 2 4 3 7 3 3" xfId="15668" xr:uid="{041DFEE0-D8C8-4F64-9AB6-7062D4384733}"/>
    <cellStyle name="Normal 2 4 3 7 4" xfId="20750" xr:uid="{6E555743-40B3-488B-A074-E2EAAB330F6A}"/>
    <cellStyle name="Normal 2 4 3 7 5" xfId="11451" xr:uid="{E84F3A6E-A04B-4E84-86BE-220AEF20AB5D}"/>
    <cellStyle name="Normal 2 4 3 8" xfId="2472" xr:uid="{00000000-0005-0000-0000-000030100000}"/>
    <cellStyle name="Normal 2 4 3 8 2" xfId="6755" xr:uid="{00000000-0005-0000-0000-000031100000}"/>
    <cellStyle name="Normal 2 4 3 8 2 2" xfId="25380" xr:uid="{C869031F-C7C0-4AEF-B303-081EA20E6F52}"/>
    <cellStyle name="Normal 2 4 3 8 2 3" xfId="16081" xr:uid="{429619DD-7EEA-43C9-ADC2-8765E7E2753E}"/>
    <cellStyle name="Normal 2 4 3 8 3" xfId="21163" xr:uid="{69F39BDE-8E1F-4E39-9BFF-F60AB9D9EEFA}"/>
    <cellStyle name="Normal 2 4 3 8 4" xfId="11864" xr:uid="{E7E80000-F35C-438B-AA1A-53F61ED03E42}"/>
    <cellStyle name="Normal 2 4 3 9" xfId="4689" xr:uid="{00000000-0005-0000-0000-000032100000}"/>
    <cellStyle name="Normal 2 4 3 9 2" xfId="23314" xr:uid="{ECD297D0-C19E-42F6-9C2D-9F71A61671B6}"/>
    <cellStyle name="Normal 2 4 3 9 3" xfId="14015" xr:uid="{B94C7911-C55C-48CE-B831-0F848244D092}"/>
    <cellStyle name="Normal 2 4 4" xfId="302" xr:uid="{00000000-0005-0000-0000-000033100000}"/>
    <cellStyle name="Normal 2 4 5" xfId="303" xr:uid="{00000000-0005-0000-0000-000034100000}"/>
    <cellStyle name="Normal 2 4 5 10" xfId="4694" xr:uid="{00000000-0005-0000-0000-000035100000}"/>
    <cellStyle name="Normal 2 4 5 10 2" xfId="23319" xr:uid="{A20D5AC4-65FB-4FE2-9AC6-1E1B82BFCC36}"/>
    <cellStyle name="Normal 2 4 5 10 3" xfId="14020" xr:uid="{07D24409-809A-4041-A22A-C6F8D7BB4A96}"/>
    <cellStyle name="Normal 2 4 5 11" xfId="8780" xr:uid="{7650B30D-5C17-47F0-B17B-A5E27258C29E}"/>
    <cellStyle name="Normal 2 4 5 11 2" xfId="27403" xr:uid="{B328C2E0-E8BF-44EE-8000-B98A3824B312}"/>
    <cellStyle name="Normal 2 4 5 11 3" xfId="18104" xr:uid="{2D47AD00-01E9-4E9E-89C7-88F8044B6857}"/>
    <cellStyle name="Normal 2 4 5 12" xfId="19102" xr:uid="{0CDD6890-7F02-466F-9EB5-CAE65A125D58}"/>
    <cellStyle name="Normal 2 4 5 13" xfId="9803" xr:uid="{C402261A-1C61-49C1-9B1D-5685FCEAD042}"/>
    <cellStyle name="Normal 2 4 5 2" xfId="304" xr:uid="{00000000-0005-0000-0000-000036100000}"/>
    <cellStyle name="Normal 2 4 5 2 10" xfId="8815" xr:uid="{40A5EFE5-2EC9-4F25-B9EC-CAF9321E00F7}"/>
    <cellStyle name="Normal 2 4 5 2 10 2" xfId="27438" xr:uid="{85EE3684-45E6-4F16-9C81-132DD386B6F0}"/>
    <cellStyle name="Normal 2 4 5 2 10 3" xfId="18139" xr:uid="{3B388D02-66E8-4DC7-BB77-5D144E1944EE}"/>
    <cellStyle name="Normal 2 4 5 2 11" xfId="19103" xr:uid="{4A009E8D-751B-4202-9000-93992EA9DFD1}"/>
    <cellStyle name="Normal 2 4 5 2 12" xfId="9804" xr:uid="{29387FE8-502B-469B-986C-55BADA4DB97F}"/>
    <cellStyle name="Normal 2 4 5 2 2" xfId="305" xr:uid="{00000000-0005-0000-0000-000037100000}"/>
    <cellStyle name="Normal 2 4 5 2 2 10" xfId="19104" xr:uid="{7EBED28A-6737-4B62-AF1B-89753F62C7B6}"/>
    <cellStyle name="Normal 2 4 5 2 2 11" xfId="9805" xr:uid="{ADC3EEF0-AEFF-4B60-A8BA-E1A82E14FE39}"/>
    <cellStyle name="Normal 2 4 5 2 2 2" xfId="306" xr:uid="{00000000-0005-0000-0000-000038100000}"/>
    <cellStyle name="Normal 2 4 5 2 2 2 10" xfId="9806" xr:uid="{C0E5E83D-38AD-4E8F-9227-4CD0EBABE476}"/>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2 2 2" xfId="25881" xr:uid="{6F887997-E2EF-43E2-8766-07883D25637A}"/>
    <cellStyle name="Normal 2 4 5 2 2 2 2 2 2 3" xfId="16582" xr:uid="{18440123-35F7-4CFB-86A8-073C1BBF304B}"/>
    <cellStyle name="Normal 2 4 5 2 2 2 2 2 3" xfId="21664" xr:uid="{BF8AD8EA-AE07-4B97-BBD2-1E8437CCFFDA}"/>
    <cellStyle name="Normal 2 4 5 2 2 2 2 2 4" xfId="12365" xr:uid="{35939CA2-49B3-4D67-BA40-E06E8EFF3886}"/>
    <cellStyle name="Normal 2 4 5 2 2 2 2 3" xfId="5111" xr:uid="{00000000-0005-0000-0000-00003C100000}"/>
    <cellStyle name="Normal 2 4 5 2 2 2 2 3 2" xfId="23736" xr:uid="{D6B5B254-FF50-4BAE-B14F-5C274744DEA7}"/>
    <cellStyle name="Normal 2 4 5 2 2 2 2 3 3" xfId="14437" xr:uid="{04F59091-439A-4EBA-BB31-9035662D0EAF}"/>
    <cellStyle name="Normal 2 4 5 2 2 2 2 4" xfId="9550" xr:uid="{8A7671EC-AB7E-4F51-9B1B-FE1F0FDC42A9}"/>
    <cellStyle name="Normal 2 4 5 2 2 2 2 4 2" xfId="28164" xr:uid="{BD28DA57-E067-4C39-98C4-8C695E5EADB6}"/>
    <cellStyle name="Normal 2 4 5 2 2 2 2 4 3" xfId="18865" xr:uid="{61B3B586-C2CD-4A49-A02B-91E74F71677C}"/>
    <cellStyle name="Normal 2 4 5 2 2 2 2 5" xfId="19519" xr:uid="{422FEAB8-09A6-40A6-B844-1F5EBE0CF55C}"/>
    <cellStyle name="Normal 2 4 5 2 2 2 2 6" xfId="10220" xr:uid="{245A0B62-C619-4F10-B088-7AD793DEB321}"/>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2 2 2" xfId="26294" xr:uid="{E70C05F6-4CBE-424F-B318-6401F0EA4748}"/>
    <cellStyle name="Normal 2 4 5 2 2 2 3 2 2 3" xfId="16995" xr:uid="{55718E09-CF8C-4FD2-A4BB-3335F1DA2530}"/>
    <cellStyle name="Normal 2 4 5 2 2 2 3 2 3" xfId="22077" xr:uid="{F64C5DAA-6F34-4CC2-9A1D-CD11314DBDA8}"/>
    <cellStyle name="Normal 2 4 5 2 2 2 3 2 4" xfId="12778" xr:uid="{C75739DE-BB8D-4EB7-8198-6D086A5B6820}"/>
    <cellStyle name="Normal 2 4 5 2 2 2 3 3" xfId="5524" xr:uid="{00000000-0005-0000-0000-000040100000}"/>
    <cellStyle name="Normal 2 4 5 2 2 2 3 3 2" xfId="24149" xr:uid="{1EDC3D07-7C7E-4EA9-99E3-BBE723F394A4}"/>
    <cellStyle name="Normal 2 4 5 2 2 2 3 3 3" xfId="14850" xr:uid="{C09F7A35-D3AC-4403-AC40-D3BC6CEE8D8C}"/>
    <cellStyle name="Normal 2 4 5 2 2 2 3 4" xfId="19932" xr:uid="{B155EEA3-A25B-4931-AD45-76521955C857}"/>
    <cellStyle name="Normal 2 4 5 2 2 2 3 5" xfId="10633" xr:uid="{A249FBB9-5BC1-4E03-9944-793833BBFA45}"/>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2 2 2" xfId="26707" xr:uid="{47FA5158-8A9E-4B47-A3C3-FE53412F45F9}"/>
    <cellStyle name="Normal 2 4 5 2 2 2 4 2 2 3" xfId="17408" xr:uid="{88B9A2D0-8AA2-4AD2-B97B-A95A29AC62B1}"/>
    <cellStyle name="Normal 2 4 5 2 2 2 4 2 3" xfId="22490" xr:uid="{D102DA35-B096-4D38-8532-0F251A42FD6C}"/>
    <cellStyle name="Normal 2 4 5 2 2 2 4 2 4" xfId="13191" xr:uid="{57EAF44B-AEC6-45C0-A5A8-D560172FB761}"/>
    <cellStyle name="Normal 2 4 5 2 2 2 4 3" xfId="5937" xr:uid="{00000000-0005-0000-0000-000044100000}"/>
    <cellStyle name="Normal 2 4 5 2 2 2 4 3 2" xfId="24562" xr:uid="{3376F689-568B-4C98-B716-8734C2CBD6F1}"/>
    <cellStyle name="Normal 2 4 5 2 2 2 4 3 3" xfId="15263" xr:uid="{CD81E81D-F807-4674-88DD-D97D321CF39F}"/>
    <cellStyle name="Normal 2 4 5 2 2 2 4 4" xfId="20345" xr:uid="{F6FFD97A-DEDF-438A-BFE0-0D8909890FF4}"/>
    <cellStyle name="Normal 2 4 5 2 2 2 4 5" xfId="11046" xr:uid="{4F7D6F31-2161-48E9-848D-E73B2370F3C4}"/>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2 2 2" xfId="27120" xr:uid="{1F70F135-A573-4E7E-BD2D-83623BC6333E}"/>
    <cellStyle name="Normal 2 4 5 2 2 2 5 2 2 3" xfId="17821" xr:uid="{BE651CF2-9873-4018-B914-6DDA97D4ABFA}"/>
    <cellStyle name="Normal 2 4 5 2 2 2 5 2 3" xfId="22903" xr:uid="{32258BD6-C843-49E2-8651-ACB106DBB17A}"/>
    <cellStyle name="Normal 2 4 5 2 2 2 5 2 4" xfId="13604" xr:uid="{CE8DF68B-1C5D-46F1-A704-9E64B1A26B8D}"/>
    <cellStyle name="Normal 2 4 5 2 2 2 5 3" xfId="6350" xr:uid="{00000000-0005-0000-0000-000048100000}"/>
    <cellStyle name="Normal 2 4 5 2 2 2 5 3 2" xfId="24975" xr:uid="{28A96FB1-9F8B-4D78-AA42-24D89A172035}"/>
    <cellStyle name="Normal 2 4 5 2 2 2 5 3 3" xfId="15676" xr:uid="{FDB2EF43-0A2F-44D1-875F-504F70456D05}"/>
    <cellStyle name="Normal 2 4 5 2 2 2 5 4" xfId="20758" xr:uid="{BE83D871-F168-4B2A-AFE8-62100E5D83BE}"/>
    <cellStyle name="Normal 2 4 5 2 2 2 5 5" xfId="11459" xr:uid="{86D9FE4F-1114-4F23-BC0E-785518F2527A}"/>
    <cellStyle name="Normal 2 4 5 2 2 2 6" xfId="2480" xr:uid="{00000000-0005-0000-0000-000049100000}"/>
    <cellStyle name="Normal 2 4 5 2 2 2 6 2" xfId="6763" xr:uid="{00000000-0005-0000-0000-00004A100000}"/>
    <cellStyle name="Normal 2 4 5 2 2 2 6 2 2" xfId="25388" xr:uid="{57C3A987-53A2-4D48-B701-0CC0873DC2BF}"/>
    <cellStyle name="Normal 2 4 5 2 2 2 6 2 3" xfId="16089" xr:uid="{82D83747-8BAE-4BD2-8B3A-A95960B0D072}"/>
    <cellStyle name="Normal 2 4 5 2 2 2 6 3" xfId="21171" xr:uid="{CE04E17E-C681-4230-93CC-A7026592F727}"/>
    <cellStyle name="Normal 2 4 5 2 2 2 6 4" xfId="11872" xr:uid="{B5A5F33A-0D9D-4F20-9398-D03D07D18F0D}"/>
    <cellStyle name="Normal 2 4 5 2 2 2 7" xfId="4697" xr:uid="{00000000-0005-0000-0000-00004B100000}"/>
    <cellStyle name="Normal 2 4 5 2 2 2 7 2" xfId="23322" xr:uid="{66A6A8A4-094F-4D3A-94F0-B00369C8179C}"/>
    <cellStyle name="Normal 2 4 5 2 2 2 7 3" xfId="14023" xr:uid="{CE487CDB-4FEA-4268-B587-4D882FB27B67}"/>
    <cellStyle name="Normal 2 4 5 2 2 2 8" xfId="9125" xr:uid="{AE6B93A1-5C0B-49F1-AF15-6FC3FAFFE3B2}"/>
    <cellStyle name="Normal 2 4 5 2 2 2 8 2" xfId="27748" xr:uid="{22F2BE71-E636-4588-8129-D3771F7E0D9F}"/>
    <cellStyle name="Normal 2 4 5 2 2 2 8 3" xfId="18449" xr:uid="{A6681EA6-1BC8-4B2C-9FC2-5A83171CC92B}"/>
    <cellStyle name="Normal 2 4 5 2 2 2 9" xfId="19105" xr:uid="{9C3E9972-7177-4ABD-A9A8-E027EEC69F6A}"/>
    <cellStyle name="Normal 2 4 5 2 2 3" xfId="794" xr:uid="{00000000-0005-0000-0000-00004C100000}"/>
    <cellStyle name="Normal 2 4 5 2 2 3 2" xfId="3033" xr:uid="{00000000-0005-0000-0000-00004D100000}"/>
    <cellStyle name="Normal 2 4 5 2 2 3 2 2" xfId="7255" xr:uid="{00000000-0005-0000-0000-00004E100000}"/>
    <cellStyle name="Normal 2 4 5 2 2 3 2 2 2" xfId="25880" xr:uid="{93331041-B7AF-4AF6-8DC8-BFB1A79E7A8D}"/>
    <cellStyle name="Normal 2 4 5 2 2 3 2 2 3" xfId="16581" xr:uid="{6F131FAC-390C-49DD-B473-AE3FF79AA20D}"/>
    <cellStyle name="Normal 2 4 5 2 2 3 2 3" xfId="21663" xr:uid="{624CFB63-6E69-4E87-BBA7-C24D5BADC1BC}"/>
    <cellStyle name="Normal 2 4 5 2 2 3 2 4" xfId="12364" xr:uid="{6A1A6179-1F7E-4FC0-91E1-78635E4223E5}"/>
    <cellStyle name="Normal 2 4 5 2 2 3 3" xfId="5110" xr:uid="{00000000-0005-0000-0000-00004F100000}"/>
    <cellStyle name="Normal 2 4 5 2 2 3 3 2" xfId="23735" xr:uid="{6F5A06F5-0F42-4BEA-88BA-CD04CAC4EB4E}"/>
    <cellStyle name="Normal 2 4 5 2 2 3 3 3" xfId="14436" xr:uid="{45BFFE4F-C738-4347-905B-3C707184F277}"/>
    <cellStyle name="Normal 2 4 5 2 2 3 4" xfId="9343" xr:uid="{FC4CD386-4202-45E2-8021-2A85CACF4E8B}"/>
    <cellStyle name="Normal 2 4 5 2 2 3 4 2" xfId="27957" xr:uid="{37366BE2-3938-4812-877B-197C31755FE2}"/>
    <cellStyle name="Normal 2 4 5 2 2 3 4 3" xfId="18658" xr:uid="{A77A0673-4442-4CBD-8945-1984D4FA2B85}"/>
    <cellStyle name="Normal 2 4 5 2 2 3 5" xfId="19518" xr:uid="{6AA164BA-5A9E-4A41-B99D-208959541ACE}"/>
    <cellStyle name="Normal 2 4 5 2 2 3 6" xfId="10219" xr:uid="{78758660-5A66-4009-B387-BFA7B34DEEA9}"/>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2 2 2" xfId="26293" xr:uid="{F91B4269-9DE2-441F-8E35-E376D00DB43A}"/>
    <cellStyle name="Normal 2 4 5 2 2 4 2 2 3" xfId="16994" xr:uid="{39610499-C2FE-41FF-913F-F3D6E4BBB0E2}"/>
    <cellStyle name="Normal 2 4 5 2 2 4 2 3" xfId="22076" xr:uid="{0B284079-8CD9-4B97-86E7-9497B48FD6C3}"/>
    <cellStyle name="Normal 2 4 5 2 2 4 2 4" xfId="12777" xr:uid="{C189F24B-261A-4D5D-9710-4B44D1CF9F82}"/>
    <cellStyle name="Normal 2 4 5 2 2 4 3" xfId="5523" xr:uid="{00000000-0005-0000-0000-000053100000}"/>
    <cellStyle name="Normal 2 4 5 2 2 4 3 2" xfId="24148" xr:uid="{59B2F436-E15F-43CE-9186-6594CD918E65}"/>
    <cellStyle name="Normal 2 4 5 2 2 4 3 3" xfId="14849" xr:uid="{4F2343ED-6C7D-4378-80CF-A80F948CE49A}"/>
    <cellStyle name="Normal 2 4 5 2 2 4 4" xfId="19931" xr:uid="{2B29C4DA-329C-46CE-8F69-563E652C209C}"/>
    <cellStyle name="Normal 2 4 5 2 2 4 5" xfId="10632" xr:uid="{DACE86CD-221B-4D1B-B4F6-99350C99A2D2}"/>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2 2 2" xfId="26706" xr:uid="{48896746-5042-4A4D-9DB3-1C28E5FC231E}"/>
    <cellStyle name="Normal 2 4 5 2 2 5 2 2 3" xfId="17407" xr:uid="{398BDE54-765F-43DE-AC48-418C3080256B}"/>
    <cellStyle name="Normal 2 4 5 2 2 5 2 3" xfId="22489" xr:uid="{FF3F42C2-57B3-4DA8-BC54-9C098C2D4D2E}"/>
    <cellStyle name="Normal 2 4 5 2 2 5 2 4" xfId="13190" xr:uid="{8EFD3FAA-6239-4890-AE8B-9637838705F8}"/>
    <cellStyle name="Normal 2 4 5 2 2 5 3" xfId="5936" xr:uid="{00000000-0005-0000-0000-000057100000}"/>
    <cellStyle name="Normal 2 4 5 2 2 5 3 2" xfId="24561" xr:uid="{2768FD48-58FB-4B4D-B1C2-246CB4337FC5}"/>
    <cellStyle name="Normal 2 4 5 2 2 5 3 3" xfId="15262" xr:uid="{7401CF76-A61C-4772-90EE-FA38DBCEC938}"/>
    <cellStyle name="Normal 2 4 5 2 2 5 4" xfId="20344" xr:uid="{285AE641-97F1-4F7C-ACC1-992586F217F1}"/>
    <cellStyle name="Normal 2 4 5 2 2 5 5" xfId="11045" xr:uid="{645FAA65-D4D0-4E65-B68C-B504FF978915}"/>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2 2 2" xfId="27119" xr:uid="{B57758C3-9292-4AE8-949D-79B3F29219C0}"/>
    <cellStyle name="Normal 2 4 5 2 2 6 2 2 3" xfId="17820" xr:uid="{5D0C0AD4-76DA-4F01-B131-33EDA4994474}"/>
    <cellStyle name="Normal 2 4 5 2 2 6 2 3" xfId="22902" xr:uid="{DDB4E96B-A0C7-4E3B-902E-0B9D88EE1512}"/>
    <cellStyle name="Normal 2 4 5 2 2 6 2 4" xfId="13603" xr:uid="{9A821D44-1A88-47A6-B474-1749919F19EA}"/>
    <cellStyle name="Normal 2 4 5 2 2 6 3" xfId="6349" xr:uid="{00000000-0005-0000-0000-00005B100000}"/>
    <cellStyle name="Normal 2 4 5 2 2 6 3 2" xfId="24974" xr:uid="{D2E61ACA-ABF3-478F-BD2E-786551B080C7}"/>
    <cellStyle name="Normal 2 4 5 2 2 6 3 3" xfId="15675" xr:uid="{29A5DD80-10D9-4219-8B80-F0FC7D08781F}"/>
    <cellStyle name="Normal 2 4 5 2 2 6 4" xfId="20757" xr:uid="{9BF39F0D-C861-417A-985E-27895314F95A}"/>
    <cellStyle name="Normal 2 4 5 2 2 6 5" xfId="11458" xr:uid="{8DF7BC53-43FA-44C9-9279-8342048E6C05}"/>
    <cellStyle name="Normal 2 4 5 2 2 7" xfId="2479" xr:uid="{00000000-0005-0000-0000-00005C100000}"/>
    <cellStyle name="Normal 2 4 5 2 2 7 2" xfId="6762" xr:uid="{00000000-0005-0000-0000-00005D100000}"/>
    <cellStyle name="Normal 2 4 5 2 2 7 2 2" xfId="25387" xr:uid="{D086EAF5-6D08-4ACD-850A-C3B612F9D448}"/>
    <cellStyle name="Normal 2 4 5 2 2 7 2 3" xfId="16088" xr:uid="{1AB12BC1-CC01-4BAB-869F-73D1C2181561}"/>
    <cellStyle name="Normal 2 4 5 2 2 7 3" xfId="21170" xr:uid="{B52D4E86-A46B-42C9-936C-D77B9AF6A67B}"/>
    <cellStyle name="Normal 2 4 5 2 2 7 4" xfId="11871" xr:uid="{59AD552F-D027-47E6-ADE0-AFA4CA53E58F}"/>
    <cellStyle name="Normal 2 4 5 2 2 8" xfId="4696" xr:uid="{00000000-0005-0000-0000-00005E100000}"/>
    <cellStyle name="Normal 2 4 5 2 2 8 2" xfId="23321" xr:uid="{30C26FBA-C4D4-4F9B-8867-F34A8FB94F97}"/>
    <cellStyle name="Normal 2 4 5 2 2 8 3" xfId="14022" xr:uid="{32323851-F9A9-41F3-AB2D-301E83CE6D5C}"/>
    <cellStyle name="Normal 2 4 5 2 2 9" xfId="8918" xr:uid="{C191AFB9-5B9B-45BF-8589-0BB68E370D0F}"/>
    <cellStyle name="Normal 2 4 5 2 2 9 2" xfId="27541" xr:uid="{E1337E76-C795-43DC-ACA0-685B072D967A}"/>
    <cellStyle name="Normal 2 4 5 2 2 9 3" xfId="18242" xr:uid="{0AE98624-E638-4AB9-805D-F69B4B34F654}"/>
    <cellStyle name="Normal 2 4 5 2 3" xfId="307" xr:uid="{00000000-0005-0000-0000-00005F100000}"/>
    <cellStyle name="Normal 2 4 5 2 3 10" xfId="9807" xr:uid="{C3166F2A-58EA-4FAB-817C-52D0E7AFB83E}"/>
    <cellStyle name="Normal 2 4 5 2 3 2" xfId="796" xr:uid="{00000000-0005-0000-0000-000060100000}"/>
    <cellStyle name="Normal 2 4 5 2 3 2 2" xfId="3035" xr:uid="{00000000-0005-0000-0000-000061100000}"/>
    <cellStyle name="Normal 2 4 5 2 3 2 2 2" xfId="7257" xr:uid="{00000000-0005-0000-0000-000062100000}"/>
    <cellStyle name="Normal 2 4 5 2 3 2 2 2 2" xfId="25882" xr:uid="{844D7DBD-ABD4-4CE6-96F5-2B963D0084DE}"/>
    <cellStyle name="Normal 2 4 5 2 3 2 2 2 3" xfId="16583" xr:uid="{631518B0-230F-432E-A98C-E3A8273ABBC6}"/>
    <cellStyle name="Normal 2 4 5 2 3 2 2 3" xfId="21665" xr:uid="{4D9520D1-84D4-4116-95E8-D5A9AA2D3E63}"/>
    <cellStyle name="Normal 2 4 5 2 3 2 2 4" xfId="12366" xr:uid="{3116E84E-C9D8-4166-BE3D-BD1D6D99CDF5}"/>
    <cellStyle name="Normal 2 4 5 2 3 2 3" xfId="5112" xr:uid="{00000000-0005-0000-0000-000063100000}"/>
    <cellStyle name="Normal 2 4 5 2 3 2 3 2" xfId="23737" xr:uid="{D451C29A-FE48-40DB-B628-042A58D10101}"/>
    <cellStyle name="Normal 2 4 5 2 3 2 3 3" xfId="14438" xr:uid="{0A77E94D-CC40-4BD9-98E3-13F345EF3250}"/>
    <cellStyle name="Normal 2 4 5 2 3 2 4" xfId="9447" xr:uid="{5DAE67B2-15F6-4C7F-9310-B9C816D42F72}"/>
    <cellStyle name="Normal 2 4 5 2 3 2 4 2" xfId="28061" xr:uid="{D9513DCB-6F47-452F-9312-451E07FA6A71}"/>
    <cellStyle name="Normal 2 4 5 2 3 2 4 3" xfId="18762" xr:uid="{2CCBC0D4-C1DE-4FFE-B99A-50DE1E854DBB}"/>
    <cellStyle name="Normal 2 4 5 2 3 2 5" xfId="19520" xr:uid="{AC1CD90C-410D-4442-9D18-657475E13F3F}"/>
    <cellStyle name="Normal 2 4 5 2 3 2 6" xfId="10221" xr:uid="{198751ED-C1F2-49D1-86FD-72D522DF1BB7}"/>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2 2 2" xfId="26295" xr:uid="{20D87CE8-4276-413D-86B2-04669C3F41A2}"/>
    <cellStyle name="Normal 2 4 5 2 3 3 2 2 3" xfId="16996" xr:uid="{49300137-7C20-4E3C-9FE0-8384153A45EE}"/>
    <cellStyle name="Normal 2 4 5 2 3 3 2 3" xfId="22078" xr:uid="{C18A9D3F-CD48-4810-9075-5065814525ED}"/>
    <cellStyle name="Normal 2 4 5 2 3 3 2 4" xfId="12779" xr:uid="{1A308187-E140-4EDE-9E66-257A99161DD5}"/>
    <cellStyle name="Normal 2 4 5 2 3 3 3" xfId="5525" xr:uid="{00000000-0005-0000-0000-000067100000}"/>
    <cellStyle name="Normal 2 4 5 2 3 3 3 2" xfId="24150" xr:uid="{BD4C2D55-60DD-4DCD-A8D2-FF2430A6F45E}"/>
    <cellStyle name="Normal 2 4 5 2 3 3 3 3" xfId="14851" xr:uid="{92376FA8-30DD-4307-8699-1923B758F72E}"/>
    <cellStyle name="Normal 2 4 5 2 3 3 4" xfId="19933" xr:uid="{DBEB233E-FE2E-4D73-9889-D2869958695D}"/>
    <cellStyle name="Normal 2 4 5 2 3 3 5" xfId="10634" xr:uid="{868CFF43-1E2E-45E2-B5DD-66294A4F3D52}"/>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2 2 2" xfId="26708" xr:uid="{81BF05E7-0877-4A0F-821E-25E1C0C144D3}"/>
    <cellStyle name="Normal 2 4 5 2 3 4 2 2 3" xfId="17409" xr:uid="{A99B1864-47F6-42D0-9ADE-C56C04C6A72D}"/>
    <cellStyle name="Normal 2 4 5 2 3 4 2 3" xfId="22491" xr:uid="{F2DF2206-FE79-44C5-8FD9-E31A5D5497C0}"/>
    <cellStyle name="Normal 2 4 5 2 3 4 2 4" xfId="13192" xr:uid="{FB2228F4-3B7C-4A12-B2E2-CD3F5275517F}"/>
    <cellStyle name="Normal 2 4 5 2 3 4 3" xfId="5938" xr:uid="{00000000-0005-0000-0000-00006B100000}"/>
    <cellStyle name="Normal 2 4 5 2 3 4 3 2" xfId="24563" xr:uid="{B9DAD90B-6462-4701-8754-72D98771E126}"/>
    <cellStyle name="Normal 2 4 5 2 3 4 3 3" xfId="15264" xr:uid="{AC93BE6D-D6F3-49E3-8DA3-A47F347BD73C}"/>
    <cellStyle name="Normal 2 4 5 2 3 4 4" xfId="20346" xr:uid="{3E3A87A2-D433-4F26-8930-40C27E025280}"/>
    <cellStyle name="Normal 2 4 5 2 3 4 5" xfId="11047" xr:uid="{0836547E-4F7C-48BB-A0D7-F2CEE61F3252}"/>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2 2 2" xfId="27121" xr:uid="{7561BDBB-89EC-48E1-B098-D6791B7A41B5}"/>
    <cellStyle name="Normal 2 4 5 2 3 5 2 2 3" xfId="17822" xr:uid="{F295ACF3-6090-4074-A87A-A5E0E597D611}"/>
    <cellStyle name="Normal 2 4 5 2 3 5 2 3" xfId="22904" xr:uid="{C49E6BD4-1EF2-4B0D-90EF-18E7ACAEACA5}"/>
    <cellStyle name="Normal 2 4 5 2 3 5 2 4" xfId="13605" xr:uid="{6EF7E68B-778C-474E-A53E-4DC6A0218686}"/>
    <cellStyle name="Normal 2 4 5 2 3 5 3" xfId="6351" xr:uid="{00000000-0005-0000-0000-00006F100000}"/>
    <cellStyle name="Normal 2 4 5 2 3 5 3 2" xfId="24976" xr:uid="{53DE0816-CB91-4858-9D5A-BE3B1F793E75}"/>
    <cellStyle name="Normal 2 4 5 2 3 5 3 3" xfId="15677" xr:uid="{28A10210-B316-4154-9AC1-401A32BF5D99}"/>
    <cellStyle name="Normal 2 4 5 2 3 5 4" xfId="20759" xr:uid="{4B8B4015-3D1E-4E6F-A38E-395C5125897D}"/>
    <cellStyle name="Normal 2 4 5 2 3 5 5" xfId="11460" xr:uid="{1B1BB4B0-DF31-4DB5-8E0A-6A0CF22D6123}"/>
    <cellStyle name="Normal 2 4 5 2 3 6" xfId="2481" xr:uid="{00000000-0005-0000-0000-000070100000}"/>
    <cellStyle name="Normal 2 4 5 2 3 6 2" xfId="6764" xr:uid="{00000000-0005-0000-0000-000071100000}"/>
    <cellStyle name="Normal 2 4 5 2 3 6 2 2" xfId="25389" xr:uid="{A9A9FCA7-589F-4FA1-A01E-0E53B633215D}"/>
    <cellStyle name="Normal 2 4 5 2 3 6 2 3" xfId="16090" xr:uid="{60F11A3D-A8C4-41C1-AF10-0EF404BEBF9D}"/>
    <cellStyle name="Normal 2 4 5 2 3 6 3" xfId="21172" xr:uid="{3C307039-053B-475F-9B5A-D6DCC4BEF761}"/>
    <cellStyle name="Normal 2 4 5 2 3 6 4" xfId="11873" xr:uid="{706BDDE6-23C5-492D-B0FE-6FCBE13B79E5}"/>
    <cellStyle name="Normal 2 4 5 2 3 7" xfId="4698" xr:uid="{00000000-0005-0000-0000-000072100000}"/>
    <cellStyle name="Normal 2 4 5 2 3 7 2" xfId="23323" xr:uid="{3799FA06-D939-426C-A9A6-CB959E302D31}"/>
    <cellStyle name="Normal 2 4 5 2 3 7 3" xfId="14024" xr:uid="{78F2EC9C-6896-4E27-9AE0-AADC3E2CE3C1}"/>
    <cellStyle name="Normal 2 4 5 2 3 8" xfId="9022" xr:uid="{B979F5DF-A88B-437D-B1B4-B92D08856DC7}"/>
    <cellStyle name="Normal 2 4 5 2 3 8 2" xfId="27645" xr:uid="{CC3BB431-ABA7-4608-BD61-4B35DD5946F6}"/>
    <cellStyle name="Normal 2 4 5 2 3 8 3" xfId="18346" xr:uid="{E985F3CB-35AD-4DE3-84EF-9F01861C51C9}"/>
    <cellStyle name="Normal 2 4 5 2 3 9" xfId="19106" xr:uid="{1724291C-FC22-4244-9C73-E8C0F2FDE8E3}"/>
    <cellStyle name="Normal 2 4 5 2 4" xfId="793" xr:uid="{00000000-0005-0000-0000-000073100000}"/>
    <cellStyle name="Normal 2 4 5 2 4 2" xfId="3032" xr:uid="{00000000-0005-0000-0000-000074100000}"/>
    <cellStyle name="Normal 2 4 5 2 4 2 2" xfId="7254" xr:uid="{00000000-0005-0000-0000-000075100000}"/>
    <cellStyle name="Normal 2 4 5 2 4 2 2 2" xfId="25879" xr:uid="{DE2CBDF9-4614-4839-8100-309F8E587CA9}"/>
    <cellStyle name="Normal 2 4 5 2 4 2 2 3" xfId="16580" xr:uid="{98258AEE-390A-4FB8-9FF2-9BC559420136}"/>
    <cellStyle name="Normal 2 4 5 2 4 2 3" xfId="21662" xr:uid="{7AD0F36E-D947-4CB8-8819-1EFDEC9EC9E2}"/>
    <cellStyle name="Normal 2 4 5 2 4 2 4" xfId="12363" xr:uid="{A799691B-CA9E-4BA2-AC3B-943C891697B2}"/>
    <cellStyle name="Normal 2 4 5 2 4 3" xfId="5109" xr:uid="{00000000-0005-0000-0000-000076100000}"/>
    <cellStyle name="Normal 2 4 5 2 4 3 2" xfId="23734" xr:uid="{4AED19F3-68A3-4F9D-9719-B99E923A0A1B}"/>
    <cellStyle name="Normal 2 4 5 2 4 3 3" xfId="14435" xr:uid="{5499A62E-3921-4A41-9720-3A48BC8565A2}"/>
    <cellStyle name="Normal 2 4 5 2 4 4" xfId="9240" xr:uid="{16FBE981-4867-4157-8C0D-9C1339DB5B3F}"/>
    <cellStyle name="Normal 2 4 5 2 4 4 2" xfId="27854" xr:uid="{D0C74DA6-61B2-4565-ADF6-F7463C3C6258}"/>
    <cellStyle name="Normal 2 4 5 2 4 4 3" xfId="18555" xr:uid="{B468FE16-F26C-41EB-BBE5-B2911672B0C0}"/>
    <cellStyle name="Normal 2 4 5 2 4 5" xfId="19517" xr:uid="{BF79ED8D-02D7-49B5-91FF-16B1563D874C}"/>
    <cellStyle name="Normal 2 4 5 2 4 6" xfId="10218" xr:uid="{18ED6E30-28E0-4913-8940-1BEFF2EFB4D7}"/>
    <cellStyle name="Normal 2 4 5 2 5" xfId="1215" xr:uid="{00000000-0005-0000-0000-000077100000}"/>
    <cellStyle name="Normal 2 4 5 2 5 2" xfId="3445" xr:uid="{00000000-0005-0000-0000-000078100000}"/>
    <cellStyle name="Normal 2 4 5 2 5 2 2" xfId="7667" xr:uid="{00000000-0005-0000-0000-000079100000}"/>
    <cellStyle name="Normal 2 4 5 2 5 2 2 2" xfId="26292" xr:uid="{A014A14D-01C5-4CB7-93CB-0D7AC83C728B}"/>
    <cellStyle name="Normal 2 4 5 2 5 2 2 3" xfId="16993" xr:uid="{8F300FC3-1303-4974-8E4B-E92696E06CAA}"/>
    <cellStyle name="Normal 2 4 5 2 5 2 3" xfId="22075" xr:uid="{44CA25A5-775F-4C57-9C55-59BF5F9FA24F}"/>
    <cellStyle name="Normal 2 4 5 2 5 2 4" xfId="12776" xr:uid="{40F47ACF-932A-4201-A364-47C1F0988FAF}"/>
    <cellStyle name="Normal 2 4 5 2 5 3" xfId="5522" xr:uid="{00000000-0005-0000-0000-00007A100000}"/>
    <cellStyle name="Normal 2 4 5 2 5 3 2" xfId="24147" xr:uid="{392746C8-4804-4C1F-A57C-7AC119598056}"/>
    <cellStyle name="Normal 2 4 5 2 5 3 3" xfId="14848" xr:uid="{39B91172-2DD5-4050-B15F-96A703D293B5}"/>
    <cellStyle name="Normal 2 4 5 2 5 4" xfId="19930" xr:uid="{33D3C713-CA4E-4B2D-B442-16B1634E9C36}"/>
    <cellStyle name="Normal 2 4 5 2 5 5" xfId="10631" xr:uid="{E351BE4F-CD03-4E67-B102-A6E886D264BF}"/>
    <cellStyle name="Normal 2 4 5 2 6" xfId="1628" xr:uid="{00000000-0005-0000-0000-00007B100000}"/>
    <cellStyle name="Normal 2 4 5 2 6 2" xfId="3858" xr:uid="{00000000-0005-0000-0000-00007C100000}"/>
    <cellStyle name="Normal 2 4 5 2 6 2 2" xfId="8080" xr:uid="{00000000-0005-0000-0000-00007D100000}"/>
    <cellStyle name="Normal 2 4 5 2 6 2 2 2" xfId="26705" xr:uid="{D376ECCE-2860-4FE2-A69F-C49FCEF73B79}"/>
    <cellStyle name="Normal 2 4 5 2 6 2 2 3" xfId="17406" xr:uid="{7FD8F62E-FFD1-4DBA-90BF-88856B070714}"/>
    <cellStyle name="Normal 2 4 5 2 6 2 3" xfId="22488" xr:uid="{1F7ED47A-B348-47C5-B430-16E3CF29BEA2}"/>
    <cellStyle name="Normal 2 4 5 2 6 2 4" xfId="13189" xr:uid="{1A36C71E-1A05-49FD-9BB9-23D2B424EBA5}"/>
    <cellStyle name="Normal 2 4 5 2 6 3" xfId="5935" xr:uid="{00000000-0005-0000-0000-00007E100000}"/>
    <cellStyle name="Normal 2 4 5 2 6 3 2" xfId="24560" xr:uid="{6FDB2D76-BD73-461C-AE72-6A85B88B0B9C}"/>
    <cellStyle name="Normal 2 4 5 2 6 3 3" xfId="15261" xr:uid="{E7CB29D3-A67D-4C23-8A6F-A4FDA8DE2CAD}"/>
    <cellStyle name="Normal 2 4 5 2 6 4" xfId="20343" xr:uid="{5A77E7A0-08A0-4981-B370-4B208B6AE8B4}"/>
    <cellStyle name="Normal 2 4 5 2 6 5" xfId="11044" xr:uid="{50AE0A84-E798-4CD2-B03F-89A764C3F080}"/>
    <cellStyle name="Normal 2 4 5 2 7" xfId="2042" xr:uid="{00000000-0005-0000-0000-00007F100000}"/>
    <cellStyle name="Normal 2 4 5 2 7 2" xfId="4271" xr:uid="{00000000-0005-0000-0000-000080100000}"/>
    <cellStyle name="Normal 2 4 5 2 7 2 2" xfId="8493" xr:uid="{00000000-0005-0000-0000-000081100000}"/>
    <cellStyle name="Normal 2 4 5 2 7 2 2 2" xfId="27118" xr:uid="{86372146-D8D7-4BF4-A555-045D35451070}"/>
    <cellStyle name="Normal 2 4 5 2 7 2 2 3" xfId="17819" xr:uid="{C2EE6D28-5C21-4020-B318-6D150B15574E}"/>
    <cellStyle name="Normal 2 4 5 2 7 2 3" xfId="22901" xr:uid="{B34FEF6D-0A94-426C-8C77-D46F4098B2A5}"/>
    <cellStyle name="Normal 2 4 5 2 7 2 4" xfId="13602" xr:uid="{02682C59-C144-4346-92BF-099B7AEA7436}"/>
    <cellStyle name="Normal 2 4 5 2 7 3" xfId="6348" xr:uid="{00000000-0005-0000-0000-000082100000}"/>
    <cellStyle name="Normal 2 4 5 2 7 3 2" xfId="24973" xr:uid="{14C6D1A1-D5D9-44A7-B773-9BFBB1901F76}"/>
    <cellStyle name="Normal 2 4 5 2 7 3 3" xfId="15674" xr:uid="{24CD8EB6-EBA1-41F8-80FD-5119D3C86FDC}"/>
    <cellStyle name="Normal 2 4 5 2 7 4" xfId="20756" xr:uid="{B7EAC045-0F8A-46CF-BB82-64994DDAA0E6}"/>
    <cellStyle name="Normal 2 4 5 2 7 5" xfId="11457" xr:uid="{DB5A03AD-0DE9-4ACD-8B78-1D49DEE29B3D}"/>
    <cellStyle name="Normal 2 4 5 2 8" xfId="2478" xr:uid="{00000000-0005-0000-0000-000083100000}"/>
    <cellStyle name="Normal 2 4 5 2 8 2" xfId="6761" xr:uid="{00000000-0005-0000-0000-000084100000}"/>
    <cellStyle name="Normal 2 4 5 2 8 2 2" xfId="25386" xr:uid="{95D8769D-91EA-44BA-9947-52639F0341CB}"/>
    <cellStyle name="Normal 2 4 5 2 8 2 3" xfId="16087" xr:uid="{6819848A-3395-448A-81E6-56068A0E4897}"/>
    <cellStyle name="Normal 2 4 5 2 8 3" xfId="21169" xr:uid="{B102B5CA-AF55-4820-8426-49BFE85A6E25}"/>
    <cellStyle name="Normal 2 4 5 2 8 4" xfId="11870" xr:uid="{6C1CDB66-CF93-4ECA-9A06-9A3941395080}"/>
    <cellStyle name="Normal 2 4 5 2 9" xfId="4695" xr:uid="{00000000-0005-0000-0000-000085100000}"/>
    <cellStyle name="Normal 2 4 5 2 9 2" xfId="23320" xr:uid="{4F45ACE6-2ADE-4ABC-88F3-244E5BA090D8}"/>
    <cellStyle name="Normal 2 4 5 2 9 3" xfId="14021" xr:uid="{2BAECF2F-F2A2-4F70-81A6-834F0FE186C7}"/>
    <cellStyle name="Normal 2 4 5 3" xfId="308" xr:uid="{00000000-0005-0000-0000-000086100000}"/>
    <cellStyle name="Normal 2 4 5 3 10" xfId="19107" xr:uid="{9B09D35C-E256-498E-9516-D4A804C73091}"/>
    <cellStyle name="Normal 2 4 5 3 11" xfId="9808" xr:uid="{9D2BA097-1BA7-4666-963E-A1486E06CC9E}"/>
    <cellStyle name="Normal 2 4 5 3 2" xfId="309" xr:uid="{00000000-0005-0000-0000-000087100000}"/>
    <cellStyle name="Normal 2 4 5 3 2 10" xfId="9809" xr:uid="{C3280FD5-E3C9-465F-A108-4E429951514F}"/>
    <cellStyle name="Normal 2 4 5 3 2 2" xfId="798" xr:uid="{00000000-0005-0000-0000-000088100000}"/>
    <cellStyle name="Normal 2 4 5 3 2 2 2" xfId="3037" xr:uid="{00000000-0005-0000-0000-000089100000}"/>
    <cellStyle name="Normal 2 4 5 3 2 2 2 2" xfId="7259" xr:uid="{00000000-0005-0000-0000-00008A100000}"/>
    <cellStyle name="Normal 2 4 5 3 2 2 2 2 2" xfId="25884" xr:uid="{223C60AD-9045-4327-BD2B-E944025D4AD0}"/>
    <cellStyle name="Normal 2 4 5 3 2 2 2 2 3" xfId="16585" xr:uid="{036CA735-9679-40C1-9EC2-708F703627B9}"/>
    <cellStyle name="Normal 2 4 5 3 2 2 2 3" xfId="21667" xr:uid="{7FDD2D8F-072C-4A63-99E8-FD68D419FD6B}"/>
    <cellStyle name="Normal 2 4 5 3 2 2 2 4" xfId="12368" xr:uid="{AC1137E0-DBE6-4B76-8258-497D688D68AF}"/>
    <cellStyle name="Normal 2 4 5 3 2 2 3" xfId="5114" xr:uid="{00000000-0005-0000-0000-00008B100000}"/>
    <cellStyle name="Normal 2 4 5 3 2 2 3 2" xfId="23739" xr:uid="{04747457-4AEC-4846-A849-774377720A8C}"/>
    <cellStyle name="Normal 2 4 5 3 2 2 3 3" xfId="14440" xr:uid="{A8488FFD-EE65-43D1-85E1-EBDAA3EBF129}"/>
    <cellStyle name="Normal 2 4 5 3 2 2 4" xfId="9515" xr:uid="{A1D6949C-773D-44DB-B26F-4DD01D24FF00}"/>
    <cellStyle name="Normal 2 4 5 3 2 2 4 2" xfId="28129" xr:uid="{2D0BA7FC-4FFB-4FC1-954C-8883AB7823B3}"/>
    <cellStyle name="Normal 2 4 5 3 2 2 4 3" xfId="18830" xr:uid="{01640EF1-1FD9-4D67-8539-7749C3903EAF}"/>
    <cellStyle name="Normal 2 4 5 3 2 2 5" xfId="19522" xr:uid="{698A893D-A546-4767-BBA4-76ACABCD9D95}"/>
    <cellStyle name="Normal 2 4 5 3 2 2 6" xfId="10223" xr:uid="{695BDC53-2D1A-4A46-AA2F-26BDE69106DC}"/>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2 2 2" xfId="26297" xr:uid="{5CD1B2C5-1B08-416E-8C05-99F34D5F5110}"/>
    <cellStyle name="Normal 2 4 5 3 2 3 2 2 3" xfId="16998" xr:uid="{43E07DC5-56A5-4741-86C9-893CB1F33C91}"/>
    <cellStyle name="Normal 2 4 5 3 2 3 2 3" xfId="22080" xr:uid="{72F655EA-E1DE-4EC9-988B-0F4A06503C5E}"/>
    <cellStyle name="Normal 2 4 5 3 2 3 2 4" xfId="12781" xr:uid="{DC7FC697-59CF-4291-AF88-18A6AA6EEB51}"/>
    <cellStyle name="Normal 2 4 5 3 2 3 3" xfId="5527" xr:uid="{00000000-0005-0000-0000-00008F100000}"/>
    <cellStyle name="Normal 2 4 5 3 2 3 3 2" xfId="24152" xr:uid="{735F3F55-32AE-4CBE-9DF4-A1B9BBB390CA}"/>
    <cellStyle name="Normal 2 4 5 3 2 3 3 3" xfId="14853" xr:uid="{7187FD96-FCB8-4F9E-A531-09C02F195952}"/>
    <cellStyle name="Normal 2 4 5 3 2 3 4" xfId="19935" xr:uid="{97DF40C6-5121-4C3A-941E-8FD18FF237A2}"/>
    <cellStyle name="Normal 2 4 5 3 2 3 5" xfId="10636" xr:uid="{B2B76ADF-CC56-4E77-AF51-4C65C4F723C7}"/>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2 2 2" xfId="26710" xr:uid="{14C5B37B-239E-4DA7-9506-6E8DE6C9FE45}"/>
    <cellStyle name="Normal 2 4 5 3 2 4 2 2 3" xfId="17411" xr:uid="{9DD2A3A6-66BF-4D9D-A1A7-0726E1928BE7}"/>
    <cellStyle name="Normal 2 4 5 3 2 4 2 3" xfId="22493" xr:uid="{F4CAC2E0-86F7-446C-AEB7-DFB056332F1C}"/>
    <cellStyle name="Normal 2 4 5 3 2 4 2 4" xfId="13194" xr:uid="{74274856-04F3-412C-93C3-5E8591ADD0FE}"/>
    <cellStyle name="Normal 2 4 5 3 2 4 3" xfId="5940" xr:uid="{00000000-0005-0000-0000-000093100000}"/>
    <cellStyle name="Normal 2 4 5 3 2 4 3 2" xfId="24565" xr:uid="{F54B369C-8EA4-4C4B-8232-F528F75C0499}"/>
    <cellStyle name="Normal 2 4 5 3 2 4 3 3" xfId="15266" xr:uid="{37D1D6D5-76BA-4118-9E61-B4CB438135C3}"/>
    <cellStyle name="Normal 2 4 5 3 2 4 4" xfId="20348" xr:uid="{0FB274B1-07E8-4711-AE48-91555F56AFDB}"/>
    <cellStyle name="Normal 2 4 5 3 2 4 5" xfId="11049" xr:uid="{270C9B4A-A84D-431D-96C4-FE3B8E0B4D07}"/>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2 2 2" xfId="27123" xr:uid="{6CDE87CD-9D34-401A-9365-ACDBC620EF9B}"/>
    <cellStyle name="Normal 2 4 5 3 2 5 2 2 3" xfId="17824" xr:uid="{6301721E-DA11-417A-9AEA-C9B8B0C508D6}"/>
    <cellStyle name="Normal 2 4 5 3 2 5 2 3" xfId="22906" xr:uid="{AB9BD404-1E3D-4442-A028-52446D31DBD9}"/>
    <cellStyle name="Normal 2 4 5 3 2 5 2 4" xfId="13607" xr:uid="{4CEDEA73-724D-419F-94D2-295CE86C6A6E}"/>
    <cellStyle name="Normal 2 4 5 3 2 5 3" xfId="6353" xr:uid="{00000000-0005-0000-0000-000097100000}"/>
    <cellStyle name="Normal 2 4 5 3 2 5 3 2" xfId="24978" xr:uid="{E48520AA-B70A-49AE-9EFB-D81C86FB64F0}"/>
    <cellStyle name="Normal 2 4 5 3 2 5 3 3" xfId="15679" xr:uid="{949D5D3C-E90E-4775-9D01-EC96CAA9F3E2}"/>
    <cellStyle name="Normal 2 4 5 3 2 5 4" xfId="20761" xr:uid="{B69E7665-7743-427D-9859-53373D1A5396}"/>
    <cellStyle name="Normal 2 4 5 3 2 5 5" xfId="11462" xr:uid="{FEB81C84-DA59-449E-8B47-8DDC0C1A0D12}"/>
    <cellStyle name="Normal 2 4 5 3 2 6" xfId="2483" xr:uid="{00000000-0005-0000-0000-000098100000}"/>
    <cellStyle name="Normal 2 4 5 3 2 6 2" xfId="6766" xr:uid="{00000000-0005-0000-0000-000099100000}"/>
    <cellStyle name="Normal 2 4 5 3 2 6 2 2" xfId="25391" xr:uid="{1CC82B27-A207-49C4-8F2D-E5E5D6B13BA2}"/>
    <cellStyle name="Normal 2 4 5 3 2 6 2 3" xfId="16092" xr:uid="{302F7A4D-4F1C-49A1-853B-DED69B202D31}"/>
    <cellStyle name="Normal 2 4 5 3 2 6 3" xfId="21174" xr:uid="{E4EA2CDB-1ED1-4CE7-8BB3-6B7C57AA845C}"/>
    <cellStyle name="Normal 2 4 5 3 2 6 4" xfId="11875" xr:uid="{9CBA89E9-FA5F-4304-8590-5304909DB6CC}"/>
    <cellStyle name="Normal 2 4 5 3 2 7" xfId="4700" xr:uid="{00000000-0005-0000-0000-00009A100000}"/>
    <cellStyle name="Normal 2 4 5 3 2 7 2" xfId="23325" xr:uid="{2B9EA237-5EAF-4C6E-B092-761E6F370215}"/>
    <cellStyle name="Normal 2 4 5 3 2 7 3" xfId="14026" xr:uid="{2912A654-0435-448B-8E78-91496240F2EA}"/>
    <cellStyle name="Normal 2 4 5 3 2 8" xfId="9090" xr:uid="{4B64C5F8-5AC3-43D3-B94A-46850BBF79A5}"/>
    <cellStyle name="Normal 2 4 5 3 2 8 2" xfId="27713" xr:uid="{E1361BD7-DD34-4E87-AD87-C1D9004A3740}"/>
    <cellStyle name="Normal 2 4 5 3 2 8 3" xfId="18414" xr:uid="{6E263D78-740E-4B72-B745-E98274A55422}"/>
    <cellStyle name="Normal 2 4 5 3 2 9" xfId="19108" xr:uid="{E6797321-1A02-4D4C-9FAC-79701E26757E}"/>
    <cellStyle name="Normal 2 4 5 3 3" xfId="797" xr:uid="{00000000-0005-0000-0000-00009B100000}"/>
    <cellStyle name="Normal 2 4 5 3 3 2" xfId="3036" xr:uid="{00000000-0005-0000-0000-00009C100000}"/>
    <cellStyle name="Normal 2 4 5 3 3 2 2" xfId="7258" xr:uid="{00000000-0005-0000-0000-00009D100000}"/>
    <cellStyle name="Normal 2 4 5 3 3 2 2 2" xfId="25883" xr:uid="{1D0AD078-DF11-4117-88CD-4ED710A7D7E3}"/>
    <cellStyle name="Normal 2 4 5 3 3 2 2 3" xfId="16584" xr:uid="{FFDC9965-3F0B-4E50-8476-968D87A5EDBE}"/>
    <cellStyle name="Normal 2 4 5 3 3 2 3" xfId="21666" xr:uid="{FC51DB04-1F61-41D7-89C5-54290CEB5CEB}"/>
    <cellStyle name="Normal 2 4 5 3 3 2 4" xfId="12367" xr:uid="{35F9E043-6303-4040-9873-D560C03B6EFF}"/>
    <cellStyle name="Normal 2 4 5 3 3 3" xfId="5113" xr:uid="{00000000-0005-0000-0000-00009E100000}"/>
    <cellStyle name="Normal 2 4 5 3 3 3 2" xfId="23738" xr:uid="{74B1376E-90EB-462E-AC9A-68C0E8C7AA90}"/>
    <cellStyle name="Normal 2 4 5 3 3 3 3" xfId="14439" xr:uid="{35B031D8-45A0-47AC-A254-5309329B26B2}"/>
    <cellStyle name="Normal 2 4 5 3 3 4" xfId="9308" xr:uid="{40198FFA-4C90-42BE-90C8-42459F1A2A1C}"/>
    <cellStyle name="Normal 2 4 5 3 3 4 2" xfId="27922" xr:uid="{C53B0F2A-3B48-4722-8602-FF8E40A72444}"/>
    <cellStyle name="Normal 2 4 5 3 3 4 3" xfId="18623" xr:uid="{6314246D-E69E-460A-A5AC-ED6F8ECE7840}"/>
    <cellStyle name="Normal 2 4 5 3 3 5" xfId="19521" xr:uid="{A51E61BA-01D3-439A-B558-7D921D4CB132}"/>
    <cellStyle name="Normal 2 4 5 3 3 6" xfId="10222" xr:uid="{29FB4EF3-D331-48AC-9A15-F7575E3288EF}"/>
    <cellStyle name="Normal 2 4 5 3 4" xfId="1219" xr:uid="{00000000-0005-0000-0000-00009F100000}"/>
    <cellStyle name="Normal 2 4 5 3 4 2" xfId="3449" xr:uid="{00000000-0005-0000-0000-0000A0100000}"/>
    <cellStyle name="Normal 2 4 5 3 4 2 2" xfId="7671" xr:uid="{00000000-0005-0000-0000-0000A1100000}"/>
    <cellStyle name="Normal 2 4 5 3 4 2 2 2" xfId="26296" xr:uid="{493CDA61-64AD-484B-A08A-4B01BD9A3F6E}"/>
    <cellStyle name="Normal 2 4 5 3 4 2 2 3" xfId="16997" xr:uid="{A0DD7AA5-208F-4153-82F8-739A5BDC5E8A}"/>
    <cellStyle name="Normal 2 4 5 3 4 2 3" xfId="22079" xr:uid="{A2303503-2920-4639-A37E-537FB56ACC6D}"/>
    <cellStyle name="Normal 2 4 5 3 4 2 4" xfId="12780" xr:uid="{13C00B2F-4870-4D2D-88DB-91FA1906E8EB}"/>
    <cellStyle name="Normal 2 4 5 3 4 3" xfId="5526" xr:uid="{00000000-0005-0000-0000-0000A2100000}"/>
    <cellStyle name="Normal 2 4 5 3 4 3 2" xfId="24151" xr:uid="{D6BA9532-50CF-40FD-978A-4269D8F59AE1}"/>
    <cellStyle name="Normal 2 4 5 3 4 3 3" xfId="14852" xr:uid="{17BE37E7-6B49-4FB0-94B1-A56FC30BD6BE}"/>
    <cellStyle name="Normal 2 4 5 3 4 4" xfId="19934" xr:uid="{97F15DBF-76C0-4278-95CA-EC83B8E98833}"/>
    <cellStyle name="Normal 2 4 5 3 4 5" xfId="10635" xr:uid="{825E7A32-13E0-479F-9189-7553584E5727}"/>
    <cellStyle name="Normal 2 4 5 3 5" xfId="1632" xr:uid="{00000000-0005-0000-0000-0000A3100000}"/>
    <cellStyle name="Normal 2 4 5 3 5 2" xfId="3862" xr:uid="{00000000-0005-0000-0000-0000A4100000}"/>
    <cellStyle name="Normal 2 4 5 3 5 2 2" xfId="8084" xr:uid="{00000000-0005-0000-0000-0000A5100000}"/>
    <cellStyle name="Normal 2 4 5 3 5 2 2 2" xfId="26709" xr:uid="{7E9FC14E-04C1-4C18-8966-E83A28E566B1}"/>
    <cellStyle name="Normal 2 4 5 3 5 2 2 3" xfId="17410" xr:uid="{63584F67-DC28-4CDA-BACF-A7570F46B0E6}"/>
    <cellStyle name="Normal 2 4 5 3 5 2 3" xfId="22492" xr:uid="{A17179F8-5E90-418D-B138-4264064368A2}"/>
    <cellStyle name="Normal 2 4 5 3 5 2 4" xfId="13193" xr:uid="{96D1A330-CF1D-456B-B198-ACC5D9D2CA94}"/>
    <cellStyle name="Normal 2 4 5 3 5 3" xfId="5939" xr:uid="{00000000-0005-0000-0000-0000A6100000}"/>
    <cellStyle name="Normal 2 4 5 3 5 3 2" xfId="24564" xr:uid="{0BDAC105-5ACA-4DE9-9C75-5AD03447E780}"/>
    <cellStyle name="Normal 2 4 5 3 5 3 3" xfId="15265" xr:uid="{A2D39509-3CA8-4E2C-9853-82FA118A177F}"/>
    <cellStyle name="Normal 2 4 5 3 5 4" xfId="20347" xr:uid="{320EBCA9-6537-44FC-993B-D8F876566307}"/>
    <cellStyle name="Normal 2 4 5 3 5 5" xfId="11048" xr:uid="{C8CAA6EE-51A3-47BF-8046-D7DA7BF8F66A}"/>
    <cellStyle name="Normal 2 4 5 3 6" xfId="2046" xr:uid="{00000000-0005-0000-0000-0000A7100000}"/>
    <cellStyle name="Normal 2 4 5 3 6 2" xfId="4275" xr:uid="{00000000-0005-0000-0000-0000A8100000}"/>
    <cellStyle name="Normal 2 4 5 3 6 2 2" xfId="8497" xr:uid="{00000000-0005-0000-0000-0000A9100000}"/>
    <cellStyle name="Normal 2 4 5 3 6 2 2 2" xfId="27122" xr:uid="{6C0D6E59-2FFB-4343-846B-B06DA32052BB}"/>
    <cellStyle name="Normal 2 4 5 3 6 2 2 3" xfId="17823" xr:uid="{D6EE0A2F-0473-4712-861D-806451C45D5B}"/>
    <cellStyle name="Normal 2 4 5 3 6 2 3" xfId="22905" xr:uid="{7B3CA3C4-E959-4C38-95BB-8849123BF34C}"/>
    <cellStyle name="Normal 2 4 5 3 6 2 4" xfId="13606" xr:uid="{0FB4BBC5-7974-493E-B12C-96A8188D2D5F}"/>
    <cellStyle name="Normal 2 4 5 3 6 3" xfId="6352" xr:uid="{00000000-0005-0000-0000-0000AA100000}"/>
    <cellStyle name="Normal 2 4 5 3 6 3 2" xfId="24977" xr:uid="{E7C4B8D9-8082-4491-8BE1-8AC3BEDC7429}"/>
    <cellStyle name="Normal 2 4 5 3 6 3 3" xfId="15678" xr:uid="{D09DD3CE-6DAD-4AB3-9B89-213EAC808752}"/>
    <cellStyle name="Normal 2 4 5 3 6 4" xfId="20760" xr:uid="{76A135D3-A436-41C4-AC40-0D4289C94C29}"/>
    <cellStyle name="Normal 2 4 5 3 6 5" xfId="11461" xr:uid="{1391DD50-4005-49AF-8BCD-8E734AA3CC46}"/>
    <cellStyle name="Normal 2 4 5 3 7" xfId="2482" xr:uid="{00000000-0005-0000-0000-0000AB100000}"/>
    <cellStyle name="Normal 2 4 5 3 7 2" xfId="6765" xr:uid="{00000000-0005-0000-0000-0000AC100000}"/>
    <cellStyle name="Normal 2 4 5 3 7 2 2" xfId="25390" xr:uid="{39CFED41-1B5D-4FA2-8ECE-313C68F87D2A}"/>
    <cellStyle name="Normal 2 4 5 3 7 2 3" xfId="16091" xr:uid="{49ECDB1D-DBC1-4048-A0A4-4598B6B9FD2D}"/>
    <cellStyle name="Normal 2 4 5 3 7 3" xfId="21173" xr:uid="{1D9F6F1B-278D-4B8A-B3BA-0FB53D5C2B85}"/>
    <cellStyle name="Normal 2 4 5 3 7 4" xfId="11874" xr:uid="{585D073D-CE73-4286-A8A9-918614DD91CA}"/>
    <cellStyle name="Normal 2 4 5 3 8" xfId="4699" xr:uid="{00000000-0005-0000-0000-0000AD100000}"/>
    <cellStyle name="Normal 2 4 5 3 8 2" xfId="23324" xr:uid="{55ABEDCF-F5A7-4C47-8A44-3C946CDF4D43}"/>
    <cellStyle name="Normal 2 4 5 3 8 3" xfId="14025" xr:uid="{CE3CC9ED-43B3-4685-AAAA-20006ED0AB5D}"/>
    <cellStyle name="Normal 2 4 5 3 9" xfId="8883" xr:uid="{0A470B75-873E-4D74-A257-113E3E343E18}"/>
    <cellStyle name="Normal 2 4 5 3 9 2" xfId="27506" xr:uid="{85C20358-A6DA-4239-B780-035344B5C000}"/>
    <cellStyle name="Normal 2 4 5 3 9 3" xfId="18207" xr:uid="{0821F422-7476-43D9-9B11-E09094EBA35E}"/>
    <cellStyle name="Normal 2 4 5 4" xfId="310" xr:uid="{00000000-0005-0000-0000-0000AE100000}"/>
    <cellStyle name="Normal 2 4 5 4 10" xfId="9810" xr:uid="{1813587B-7813-4040-9B9A-AE38B5A394C0}"/>
    <cellStyle name="Normal 2 4 5 4 2" xfId="799" xr:uid="{00000000-0005-0000-0000-0000AF100000}"/>
    <cellStyle name="Normal 2 4 5 4 2 2" xfId="3038" xr:uid="{00000000-0005-0000-0000-0000B0100000}"/>
    <cellStyle name="Normal 2 4 5 4 2 2 2" xfId="7260" xr:uid="{00000000-0005-0000-0000-0000B1100000}"/>
    <cellStyle name="Normal 2 4 5 4 2 2 2 2" xfId="25885" xr:uid="{E1CABBE2-99EE-42F0-BB10-E00D1463C8E9}"/>
    <cellStyle name="Normal 2 4 5 4 2 2 2 3" xfId="16586" xr:uid="{6855C526-5A96-4734-A741-0E4AB2582CD3}"/>
    <cellStyle name="Normal 2 4 5 4 2 2 3" xfId="21668" xr:uid="{A894C90B-0EC9-4DF1-A471-204D8276C7FE}"/>
    <cellStyle name="Normal 2 4 5 4 2 2 4" xfId="12369" xr:uid="{CC37C340-F099-47C4-88B6-BF0516F76EB1}"/>
    <cellStyle name="Normal 2 4 5 4 2 3" xfId="5115" xr:uid="{00000000-0005-0000-0000-0000B2100000}"/>
    <cellStyle name="Normal 2 4 5 4 2 3 2" xfId="23740" xr:uid="{B3F2BDF1-4FC1-4E99-98DC-5AD4BA49B275}"/>
    <cellStyle name="Normal 2 4 5 4 2 3 3" xfId="14441" xr:uid="{905E6DBC-796A-4FBB-A9E3-2A21078C61FF}"/>
    <cellStyle name="Normal 2 4 5 4 2 4" xfId="9412" xr:uid="{0ECAC303-3EA0-4623-AA0F-854157CA32E5}"/>
    <cellStyle name="Normal 2 4 5 4 2 4 2" xfId="28026" xr:uid="{0A11DF43-04E0-44CF-A917-88D4514DD119}"/>
    <cellStyle name="Normal 2 4 5 4 2 4 3" xfId="18727" xr:uid="{097F251F-4915-43AB-B7BA-207D8C8B85D4}"/>
    <cellStyle name="Normal 2 4 5 4 2 5" xfId="19523" xr:uid="{93E47B63-3E04-496E-A523-0370CD918013}"/>
    <cellStyle name="Normal 2 4 5 4 2 6" xfId="10224" xr:uid="{0F9BCD02-9362-4CD8-91E4-9F7D3EE99335}"/>
    <cellStyle name="Normal 2 4 5 4 3" xfId="1221" xr:uid="{00000000-0005-0000-0000-0000B3100000}"/>
    <cellStyle name="Normal 2 4 5 4 3 2" xfId="3451" xr:uid="{00000000-0005-0000-0000-0000B4100000}"/>
    <cellStyle name="Normal 2 4 5 4 3 2 2" xfId="7673" xr:uid="{00000000-0005-0000-0000-0000B5100000}"/>
    <cellStyle name="Normal 2 4 5 4 3 2 2 2" xfId="26298" xr:uid="{E5F662E1-013F-476E-BB68-959C3D6D51DD}"/>
    <cellStyle name="Normal 2 4 5 4 3 2 2 3" xfId="16999" xr:uid="{47626FB4-6918-464B-8744-3EDA8A873812}"/>
    <cellStyle name="Normal 2 4 5 4 3 2 3" xfId="22081" xr:uid="{3FE4E8B8-DB17-45AF-9433-6D4BD1E9AF03}"/>
    <cellStyle name="Normal 2 4 5 4 3 2 4" xfId="12782" xr:uid="{43540311-0385-47EE-9407-CF7328838029}"/>
    <cellStyle name="Normal 2 4 5 4 3 3" xfId="5528" xr:uid="{00000000-0005-0000-0000-0000B6100000}"/>
    <cellStyle name="Normal 2 4 5 4 3 3 2" xfId="24153" xr:uid="{AFFB21FB-7FC8-4C78-A33F-A372250B2E8B}"/>
    <cellStyle name="Normal 2 4 5 4 3 3 3" xfId="14854" xr:uid="{09C7F5D6-71FF-4E3E-BCE2-F4BEEF6B6994}"/>
    <cellStyle name="Normal 2 4 5 4 3 4" xfId="19936" xr:uid="{BFDBE564-9F64-4E27-AAD1-7A6E646BB59C}"/>
    <cellStyle name="Normal 2 4 5 4 3 5" xfId="10637" xr:uid="{6826B1C5-63A9-4472-82ED-169FF7AA12E0}"/>
    <cellStyle name="Normal 2 4 5 4 4" xfId="1634" xr:uid="{00000000-0005-0000-0000-0000B7100000}"/>
    <cellStyle name="Normal 2 4 5 4 4 2" xfId="3864" xr:uid="{00000000-0005-0000-0000-0000B8100000}"/>
    <cellStyle name="Normal 2 4 5 4 4 2 2" xfId="8086" xr:uid="{00000000-0005-0000-0000-0000B9100000}"/>
    <cellStyle name="Normal 2 4 5 4 4 2 2 2" xfId="26711" xr:uid="{A1A50F3E-C397-47B6-BDC9-4EE662FFEC67}"/>
    <cellStyle name="Normal 2 4 5 4 4 2 2 3" xfId="17412" xr:uid="{A3D86F44-BCBB-4C35-BD47-E11CFCD80D8D}"/>
    <cellStyle name="Normal 2 4 5 4 4 2 3" xfId="22494" xr:uid="{4683454E-4614-4BC3-BBA9-4BD2BB82344E}"/>
    <cellStyle name="Normal 2 4 5 4 4 2 4" xfId="13195" xr:uid="{B6EF1361-3648-4D3A-9CA4-EB555E4AC0F3}"/>
    <cellStyle name="Normal 2 4 5 4 4 3" xfId="5941" xr:uid="{00000000-0005-0000-0000-0000BA100000}"/>
    <cellStyle name="Normal 2 4 5 4 4 3 2" xfId="24566" xr:uid="{94E81F6E-DE28-4784-B4C2-CBED85EE4749}"/>
    <cellStyle name="Normal 2 4 5 4 4 3 3" xfId="15267" xr:uid="{8412E9C6-4245-479E-BEF4-A99A53AC4328}"/>
    <cellStyle name="Normal 2 4 5 4 4 4" xfId="20349" xr:uid="{C3F4673D-39F9-4C22-B5CF-B7CE9C103F80}"/>
    <cellStyle name="Normal 2 4 5 4 4 5" xfId="11050" xr:uid="{739E3F05-ACB3-4956-92E7-E22EC2007623}"/>
    <cellStyle name="Normal 2 4 5 4 5" xfId="2048" xr:uid="{00000000-0005-0000-0000-0000BB100000}"/>
    <cellStyle name="Normal 2 4 5 4 5 2" xfId="4277" xr:uid="{00000000-0005-0000-0000-0000BC100000}"/>
    <cellStyle name="Normal 2 4 5 4 5 2 2" xfId="8499" xr:uid="{00000000-0005-0000-0000-0000BD100000}"/>
    <cellStyle name="Normal 2 4 5 4 5 2 2 2" xfId="27124" xr:uid="{309B5FAC-5B68-4837-8068-965507603614}"/>
    <cellStyle name="Normal 2 4 5 4 5 2 2 3" xfId="17825" xr:uid="{249D90B9-8EEB-4ACD-90D5-A098D4105EFB}"/>
    <cellStyle name="Normal 2 4 5 4 5 2 3" xfId="22907" xr:uid="{12188C1F-402B-40F1-A2E4-CFB64F2779F5}"/>
    <cellStyle name="Normal 2 4 5 4 5 2 4" xfId="13608" xr:uid="{6C0DA571-4D75-457A-8B96-B4EDC8385CDD}"/>
    <cellStyle name="Normal 2 4 5 4 5 3" xfId="6354" xr:uid="{00000000-0005-0000-0000-0000BE100000}"/>
    <cellStyle name="Normal 2 4 5 4 5 3 2" xfId="24979" xr:uid="{BB6B1BCB-D326-4EE2-9F75-7B1C952F06B7}"/>
    <cellStyle name="Normal 2 4 5 4 5 3 3" xfId="15680" xr:uid="{1B0AC3AC-1DA6-409C-938E-8175479E748F}"/>
    <cellStyle name="Normal 2 4 5 4 5 4" xfId="20762" xr:uid="{D8536F13-7DE9-467D-9BB1-29CACF1A5409}"/>
    <cellStyle name="Normal 2 4 5 4 5 5" xfId="11463" xr:uid="{8E6A7EA6-3F04-4167-AF64-7871C9D40E1F}"/>
    <cellStyle name="Normal 2 4 5 4 6" xfId="2484" xr:uid="{00000000-0005-0000-0000-0000BF100000}"/>
    <cellStyle name="Normal 2 4 5 4 6 2" xfId="6767" xr:uid="{00000000-0005-0000-0000-0000C0100000}"/>
    <cellStyle name="Normal 2 4 5 4 6 2 2" xfId="25392" xr:uid="{74A5BCF1-CA51-41DC-9A8F-28DA73C22445}"/>
    <cellStyle name="Normal 2 4 5 4 6 2 3" xfId="16093" xr:uid="{660EFF1B-F907-40D3-A27D-A59E7FF7A1FA}"/>
    <cellStyle name="Normal 2 4 5 4 6 3" xfId="21175" xr:uid="{331BB3B3-55AE-4D31-9D6D-E1D8EC60DC8A}"/>
    <cellStyle name="Normal 2 4 5 4 6 4" xfId="11876" xr:uid="{320E4EAB-2BB5-493D-B484-70030240A474}"/>
    <cellStyle name="Normal 2 4 5 4 7" xfId="4701" xr:uid="{00000000-0005-0000-0000-0000C1100000}"/>
    <cellStyle name="Normal 2 4 5 4 7 2" xfId="23326" xr:uid="{839C2E2E-61B5-45A3-A164-FC71689FB1A3}"/>
    <cellStyle name="Normal 2 4 5 4 7 3" xfId="14027" xr:uid="{6BB3F650-A599-477B-9790-766D7691B819}"/>
    <cellStyle name="Normal 2 4 5 4 8" xfId="8987" xr:uid="{8DC2C01A-3078-41AD-BCFB-AA1CA8EE9C0A}"/>
    <cellStyle name="Normal 2 4 5 4 8 2" xfId="27610" xr:uid="{CDA5F729-F249-4A43-B8BB-05FD892678E1}"/>
    <cellStyle name="Normal 2 4 5 4 8 3" xfId="18311" xr:uid="{3C09AF55-33D0-4F9B-84F4-9570997419F7}"/>
    <cellStyle name="Normal 2 4 5 4 9" xfId="19109" xr:uid="{941B9A23-0433-41F6-85BB-63A2A0EF75D7}"/>
    <cellStyle name="Normal 2 4 5 5" xfId="792" xr:uid="{00000000-0005-0000-0000-0000C2100000}"/>
    <cellStyle name="Normal 2 4 5 5 2" xfId="3031" xr:uid="{00000000-0005-0000-0000-0000C3100000}"/>
    <cellStyle name="Normal 2 4 5 5 2 2" xfId="7253" xr:uid="{00000000-0005-0000-0000-0000C4100000}"/>
    <cellStyle name="Normal 2 4 5 5 2 2 2" xfId="25878" xr:uid="{4FA8A46F-F4D6-4FCA-93CA-E46DA5A13363}"/>
    <cellStyle name="Normal 2 4 5 5 2 2 3" xfId="16579" xr:uid="{33186B3A-FF4C-41C0-974F-F9590A255243}"/>
    <cellStyle name="Normal 2 4 5 5 2 3" xfId="21661" xr:uid="{5C46A28F-1370-4C3C-9C57-ADC443426941}"/>
    <cellStyle name="Normal 2 4 5 5 2 4" xfId="12362" xr:uid="{504FE4CB-3267-4BED-977C-BB62DC3BC5D3}"/>
    <cellStyle name="Normal 2 4 5 5 3" xfId="5108" xr:uid="{00000000-0005-0000-0000-0000C5100000}"/>
    <cellStyle name="Normal 2 4 5 5 3 2" xfId="23733" xr:uid="{5EA259A8-DFA7-4CDA-BFB7-F270E974E528}"/>
    <cellStyle name="Normal 2 4 5 5 3 3" xfId="14434" xr:uid="{2B67FF22-1230-48A6-8D4A-850435A5FE35}"/>
    <cellStyle name="Normal 2 4 5 5 4" xfId="9204" xr:uid="{BE34B337-03EE-47D8-9E35-2EE6FAB30236}"/>
    <cellStyle name="Normal 2 4 5 5 4 2" xfId="27819" xr:uid="{66E86E7C-1097-4E41-AAB9-6E5E234FF196}"/>
    <cellStyle name="Normal 2 4 5 5 4 3" xfId="18520" xr:uid="{AC9F6054-A9FF-403A-837D-9090E9A703C2}"/>
    <cellStyle name="Normal 2 4 5 5 5" xfId="19516" xr:uid="{E272FAE3-2368-4953-926C-5FC01C7C20FC}"/>
    <cellStyle name="Normal 2 4 5 5 6" xfId="10217" xr:uid="{19D09806-3534-487B-961B-1A244F7C3D2D}"/>
    <cellStyle name="Normal 2 4 5 6" xfId="1214" xr:uid="{00000000-0005-0000-0000-0000C6100000}"/>
    <cellStyle name="Normal 2 4 5 6 2" xfId="3444" xr:uid="{00000000-0005-0000-0000-0000C7100000}"/>
    <cellStyle name="Normal 2 4 5 6 2 2" xfId="7666" xr:uid="{00000000-0005-0000-0000-0000C8100000}"/>
    <cellStyle name="Normal 2 4 5 6 2 2 2" xfId="26291" xr:uid="{1A8A42F7-1AD6-4E5B-82F3-00AE99D0F295}"/>
    <cellStyle name="Normal 2 4 5 6 2 2 3" xfId="16992" xr:uid="{85DB603A-6332-403D-A3EC-62E6BDACAB42}"/>
    <cellStyle name="Normal 2 4 5 6 2 3" xfId="22074" xr:uid="{D1DECCF0-91B1-435C-A3C8-FDCC48394968}"/>
    <cellStyle name="Normal 2 4 5 6 2 4" xfId="12775" xr:uid="{502AF12B-EE39-4511-ABF0-6BAD3AF7DD6B}"/>
    <cellStyle name="Normal 2 4 5 6 3" xfId="5521" xr:uid="{00000000-0005-0000-0000-0000C9100000}"/>
    <cellStyle name="Normal 2 4 5 6 3 2" xfId="24146" xr:uid="{ED6CC40B-DD19-4692-801F-1FD6DD68458F}"/>
    <cellStyle name="Normal 2 4 5 6 3 3" xfId="14847" xr:uid="{7C2BE897-28BA-4ECE-9F72-66969437FEB4}"/>
    <cellStyle name="Normal 2 4 5 6 4" xfId="19929" xr:uid="{0F579D27-EB57-4E3B-942C-2A590A3FCAD7}"/>
    <cellStyle name="Normal 2 4 5 6 5" xfId="10630" xr:uid="{CDB36EBA-82CC-4FF1-98EE-2808E9F6EEAF}"/>
    <cellStyle name="Normal 2 4 5 7" xfId="1627" xr:uid="{00000000-0005-0000-0000-0000CA100000}"/>
    <cellStyle name="Normal 2 4 5 7 2" xfId="3857" xr:uid="{00000000-0005-0000-0000-0000CB100000}"/>
    <cellStyle name="Normal 2 4 5 7 2 2" xfId="8079" xr:uid="{00000000-0005-0000-0000-0000CC100000}"/>
    <cellStyle name="Normal 2 4 5 7 2 2 2" xfId="26704" xr:uid="{BE87DCF4-2CD4-472F-B0E5-4A2573E32B2C}"/>
    <cellStyle name="Normal 2 4 5 7 2 2 3" xfId="17405" xr:uid="{DAADAA67-E32D-4261-9397-AA6526DF2813}"/>
    <cellStyle name="Normal 2 4 5 7 2 3" xfId="22487" xr:uid="{C916D868-1808-4A04-A343-9D8DF9723D4A}"/>
    <cellStyle name="Normal 2 4 5 7 2 4" xfId="13188" xr:uid="{326223E5-7ECF-4707-927F-8B73891D8134}"/>
    <cellStyle name="Normal 2 4 5 7 3" xfId="5934" xr:uid="{00000000-0005-0000-0000-0000CD100000}"/>
    <cellStyle name="Normal 2 4 5 7 3 2" xfId="24559" xr:uid="{45B3A02E-060A-4AB5-8A95-609159632DCD}"/>
    <cellStyle name="Normal 2 4 5 7 3 3" xfId="15260" xr:uid="{21457D10-7CD7-4F50-86E3-6C14463FF90E}"/>
    <cellStyle name="Normal 2 4 5 7 4" xfId="20342" xr:uid="{E1DDB010-D065-4DE2-89B8-8BD7B3A9698F}"/>
    <cellStyle name="Normal 2 4 5 7 5" xfId="11043" xr:uid="{283DD331-D19A-4DDE-88C9-5F990F2292C2}"/>
    <cellStyle name="Normal 2 4 5 8" xfId="2041" xr:uid="{00000000-0005-0000-0000-0000CE100000}"/>
    <cellStyle name="Normal 2 4 5 8 2" xfId="4270" xr:uid="{00000000-0005-0000-0000-0000CF100000}"/>
    <cellStyle name="Normal 2 4 5 8 2 2" xfId="8492" xr:uid="{00000000-0005-0000-0000-0000D0100000}"/>
    <cellStyle name="Normal 2 4 5 8 2 2 2" xfId="27117" xr:uid="{2FA9FCE1-98AF-4B41-9447-09D82A3AA385}"/>
    <cellStyle name="Normal 2 4 5 8 2 2 3" xfId="17818" xr:uid="{FF134DE6-C755-4969-913B-4EC2D5E034B3}"/>
    <cellStyle name="Normal 2 4 5 8 2 3" xfId="22900" xr:uid="{B3920CB4-2FDF-449D-BC00-9978466F3EA7}"/>
    <cellStyle name="Normal 2 4 5 8 2 4" xfId="13601" xr:uid="{A6E06795-1FCD-4E34-828A-5D32335DDB20}"/>
    <cellStyle name="Normal 2 4 5 8 3" xfId="6347" xr:uid="{00000000-0005-0000-0000-0000D1100000}"/>
    <cellStyle name="Normal 2 4 5 8 3 2" xfId="24972" xr:uid="{0ACF2DFE-653D-4702-963C-EFE9CF3164E8}"/>
    <cellStyle name="Normal 2 4 5 8 3 3" xfId="15673" xr:uid="{817043D8-8FA3-4A81-96EA-AC930B5688F9}"/>
    <cellStyle name="Normal 2 4 5 8 4" xfId="20755" xr:uid="{B9140411-19FE-4930-AF05-3EC0A99867F0}"/>
    <cellStyle name="Normal 2 4 5 8 5" xfId="11456" xr:uid="{3C8D1791-69CF-43BF-B7FA-5FF3D4D30B1E}"/>
    <cellStyle name="Normal 2 4 5 9" xfId="2477" xr:uid="{00000000-0005-0000-0000-0000D2100000}"/>
    <cellStyle name="Normal 2 4 5 9 2" xfId="6760" xr:uid="{00000000-0005-0000-0000-0000D3100000}"/>
    <cellStyle name="Normal 2 4 5 9 2 2" xfId="25385" xr:uid="{C0F01C22-CEF1-4EB9-8E43-64078BFBB118}"/>
    <cellStyle name="Normal 2 4 5 9 2 3" xfId="16086" xr:uid="{9B4370BB-1F39-414F-AEAE-5F2216067E75}"/>
    <cellStyle name="Normal 2 4 5 9 3" xfId="21168" xr:uid="{5CC1D842-0414-40C4-BD1C-F36B958B982C}"/>
    <cellStyle name="Normal 2 4 5 9 4" xfId="11869" xr:uid="{E224447A-433C-4FD6-9C76-AED896CE771C}"/>
    <cellStyle name="Normal 2 4 6" xfId="311" xr:uid="{00000000-0005-0000-0000-0000D4100000}"/>
    <cellStyle name="Normal 2 4 7" xfId="312" xr:uid="{00000000-0005-0000-0000-0000D5100000}"/>
    <cellStyle name="Normal 2 4 7 10" xfId="19110" xr:uid="{9BF9F2DA-17CD-4805-9F5D-6F46AB570786}"/>
    <cellStyle name="Normal 2 4 7 11" xfId="9811" xr:uid="{54838AC5-D2F0-4481-8BAA-F2C10C3B50A0}"/>
    <cellStyle name="Normal 2 4 7 2" xfId="313" xr:uid="{00000000-0005-0000-0000-0000D6100000}"/>
    <cellStyle name="Normal 2 4 7 2 10" xfId="9812" xr:uid="{352D6F25-82A9-4234-B9A2-0C9ED2184701}"/>
    <cellStyle name="Normal 2 4 7 2 2" xfId="801" xr:uid="{00000000-0005-0000-0000-0000D7100000}"/>
    <cellStyle name="Normal 2 4 7 2 2 2" xfId="3040" xr:uid="{00000000-0005-0000-0000-0000D8100000}"/>
    <cellStyle name="Normal 2 4 7 2 2 2 2" xfId="7262" xr:uid="{00000000-0005-0000-0000-0000D9100000}"/>
    <cellStyle name="Normal 2 4 7 2 2 2 2 2" xfId="25887" xr:uid="{86308822-48AC-4A99-B717-19D1CF971551}"/>
    <cellStyle name="Normal 2 4 7 2 2 2 2 3" xfId="16588" xr:uid="{7AD16957-BEE7-4DA7-96AA-416D114939F6}"/>
    <cellStyle name="Normal 2 4 7 2 2 2 3" xfId="21670" xr:uid="{07441D9B-7AE4-4CC8-A81F-6734F7F324E2}"/>
    <cellStyle name="Normal 2 4 7 2 2 2 4" xfId="12371" xr:uid="{32A7D626-3302-415D-A027-BCEB1E26F5BF}"/>
    <cellStyle name="Normal 2 4 7 2 2 3" xfId="5117" xr:uid="{00000000-0005-0000-0000-0000DA100000}"/>
    <cellStyle name="Normal 2 4 7 2 2 3 2" xfId="23742" xr:uid="{F183EC02-3270-4138-9BA0-054CB2DC38F2}"/>
    <cellStyle name="Normal 2 4 7 2 2 3 3" xfId="14443" xr:uid="{0C274B51-BE0D-4025-B7CA-01AB7C8940AF}"/>
    <cellStyle name="Normal 2 4 7 2 2 4" xfId="9483" xr:uid="{3D7EFF6F-050D-4214-91CB-DF2673F23584}"/>
    <cellStyle name="Normal 2 4 7 2 2 4 2" xfId="28097" xr:uid="{6434092B-91A8-4484-8BBC-6F15B145C16F}"/>
    <cellStyle name="Normal 2 4 7 2 2 4 3" xfId="18798" xr:uid="{932A9BB2-EAF3-4654-A4F5-8342BF9ACB74}"/>
    <cellStyle name="Normal 2 4 7 2 2 5" xfId="19525" xr:uid="{B4BF0548-E90E-4A16-A6CA-E3623AAD32CA}"/>
    <cellStyle name="Normal 2 4 7 2 2 6" xfId="10226" xr:uid="{26259231-133E-4EC9-9136-01A01BDDD88C}"/>
    <cellStyle name="Normal 2 4 7 2 3" xfId="1223" xr:uid="{00000000-0005-0000-0000-0000DB100000}"/>
    <cellStyle name="Normal 2 4 7 2 3 2" xfId="3453" xr:uid="{00000000-0005-0000-0000-0000DC100000}"/>
    <cellStyle name="Normal 2 4 7 2 3 2 2" xfId="7675" xr:uid="{00000000-0005-0000-0000-0000DD100000}"/>
    <cellStyle name="Normal 2 4 7 2 3 2 2 2" xfId="26300" xr:uid="{B06B86DD-0FC0-4980-BA3E-0A8AF413AEBB}"/>
    <cellStyle name="Normal 2 4 7 2 3 2 2 3" xfId="17001" xr:uid="{6CB98B6A-481F-46AA-8B10-2DC185D47AA6}"/>
    <cellStyle name="Normal 2 4 7 2 3 2 3" xfId="22083" xr:uid="{94007242-9F62-4858-8761-05BC8F65BE13}"/>
    <cellStyle name="Normal 2 4 7 2 3 2 4" xfId="12784" xr:uid="{FA7504A6-1060-43E2-9461-25D37367E705}"/>
    <cellStyle name="Normal 2 4 7 2 3 3" xfId="5530" xr:uid="{00000000-0005-0000-0000-0000DE100000}"/>
    <cellStyle name="Normal 2 4 7 2 3 3 2" xfId="24155" xr:uid="{7C9E2396-8B11-4C8C-B0D7-AEAC74551209}"/>
    <cellStyle name="Normal 2 4 7 2 3 3 3" xfId="14856" xr:uid="{0182B4B5-5F71-4AF2-9402-CCC39D59A829}"/>
    <cellStyle name="Normal 2 4 7 2 3 4" xfId="19938" xr:uid="{547383A5-5F96-441A-8F3B-E8722B8C5154}"/>
    <cellStyle name="Normal 2 4 7 2 3 5" xfId="10639" xr:uid="{AFE38919-22EC-4CD3-B494-03A71755A0CF}"/>
    <cellStyle name="Normal 2 4 7 2 4" xfId="1636" xr:uid="{00000000-0005-0000-0000-0000DF100000}"/>
    <cellStyle name="Normal 2 4 7 2 4 2" xfId="3866" xr:uid="{00000000-0005-0000-0000-0000E0100000}"/>
    <cellStyle name="Normal 2 4 7 2 4 2 2" xfId="8088" xr:uid="{00000000-0005-0000-0000-0000E1100000}"/>
    <cellStyle name="Normal 2 4 7 2 4 2 2 2" xfId="26713" xr:uid="{AF9F247E-56B5-4721-A6D1-E9199E975D64}"/>
    <cellStyle name="Normal 2 4 7 2 4 2 2 3" xfId="17414" xr:uid="{06F8C7E2-4783-47D7-A833-6AFC84E48EC1}"/>
    <cellStyle name="Normal 2 4 7 2 4 2 3" xfId="22496" xr:uid="{66BCBD55-7EA3-4EA0-8971-3582C156553B}"/>
    <cellStyle name="Normal 2 4 7 2 4 2 4" xfId="13197" xr:uid="{E5AA19ED-EF93-406C-A3EA-081BF197744D}"/>
    <cellStyle name="Normal 2 4 7 2 4 3" xfId="5943" xr:uid="{00000000-0005-0000-0000-0000E2100000}"/>
    <cellStyle name="Normal 2 4 7 2 4 3 2" xfId="24568" xr:uid="{F887F92D-885F-46D7-B8A4-52FA42C0F48E}"/>
    <cellStyle name="Normal 2 4 7 2 4 3 3" xfId="15269" xr:uid="{E3287E78-A866-4109-BBA0-5C32DD237B32}"/>
    <cellStyle name="Normal 2 4 7 2 4 4" xfId="20351" xr:uid="{A6EBB6C3-06F9-40F6-A5DE-A84F36CFC4EE}"/>
    <cellStyle name="Normal 2 4 7 2 4 5" xfId="11052" xr:uid="{D5BA7BDE-E5C6-4EDF-9DAB-A71BDC99F75B}"/>
    <cellStyle name="Normal 2 4 7 2 5" xfId="2050" xr:uid="{00000000-0005-0000-0000-0000E3100000}"/>
    <cellStyle name="Normal 2 4 7 2 5 2" xfId="4279" xr:uid="{00000000-0005-0000-0000-0000E4100000}"/>
    <cellStyle name="Normal 2 4 7 2 5 2 2" xfId="8501" xr:uid="{00000000-0005-0000-0000-0000E5100000}"/>
    <cellStyle name="Normal 2 4 7 2 5 2 2 2" xfId="27126" xr:uid="{B278FC69-2671-4550-B911-2D3217ACF436}"/>
    <cellStyle name="Normal 2 4 7 2 5 2 2 3" xfId="17827" xr:uid="{ED5F9333-7745-4067-9821-F6810DC3B6DF}"/>
    <cellStyle name="Normal 2 4 7 2 5 2 3" xfId="22909" xr:uid="{E05F748B-8ED9-459C-857E-36F508C50618}"/>
    <cellStyle name="Normal 2 4 7 2 5 2 4" xfId="13610" xr:uid="{165E772A-87F5-4828-9877-EDFB22FEE478}"/>
    <cellStyle name="Normal 2 4 7 2 5 3" xfId="6356" xr:uid="{00000000-0005-0000-0000-0000E6100000}"/>
    <cellStyle name="Normal 2 4 7 2 5 3 2" xfId="24981" xr:uid="{52536A3D-FFB2-4AF5-BDF8-942B940097D0}"/>
    <cellStyle name="Normal 2 4 7 2 5 3 3" xfId="15682" xr:uid="{25D86A98-864D-40BD-882A-8A5B2817DB1F}"/>
    <cellStyle name="Normal 2 4 7 2 5 4" xfId="20764" xr:uid="{70870FBA-80F2-4B50-AF98-850DB97246B6}"/>
    <cellStyle name="Normal 2 4 7 2 5 5" xfId="11465" xr:uid="{8F727AA9-3C50-4AAA-B52E-1379DC3DD6E9}"/>
    <cellStyle name="Normal 2 4 7 2 6" xfId="2486" xr:uid="{00000000-0005-0000-0000-0000E7100000}"/>
    <cellStyle name="Normal 2 4 7 2 6 2" xfId="6769" xr:uid="{00000000-0005-0000-0000-0000E8100000}"/>
    <cellStyle name="Normal 2 4 7 2 6 2 2" xfId="25394" xr:uid="{D454C4BD-0332-421C-8B80-07902E5BBDE0}"/>
    <cellStyle name="Normal 2 4 7 2 6 2 3" xfId="16095" xr:uid="{333D91EE-24C5-4820-AA74-D12B816D8A67}"/>
    <cellStyle name="Normal 2 4 7 2 6 3" xfId="21177" xr:uid="{DC6B0C28-F858-45B1-B1F1-34C3AB21B2F8}"/>
    <cellStyle name="Normal 2 4 7 2 6 4" xfId="11878" xr:uid="{3745B6A9-442F-4F41-AC4C-B3142D2B1F13}"/>
    <cellStyle name="Normal 2 4 7 2 7" xfId="4703" xr:uid="{00000000-0005-0000-0000-0000E9100000}"/>
    <cellStyle name="Normal 2 4 7 2 7 2" xfId="23328" xr:uid="{25BFE596-6A5B-4E25-8C53-1ACA2E2675CE}"/>
    <cellStyle name="Normal 2 4 7 2 7 3" xfId="14029" xr:uid="{77373FE0-E3F5-4DCA-BAC7-4A7F2C6DCEC0}"/>
    <cellStyle name="Normal 2 4 7 2 8" xfId="9058" xr:uid="{FCEC438E-EF6A-4A00-BFE3-0DA309169A82}"/>
    <cellStyle name="Normal 2 4 7 2 8 2" xfId="27681" xr:uid="{1B3CFC70-ACC2-435C-B662-12E68F250B78}"/>
    <cellStyle name="Normal 2 4 7 2 8 3" xfId="18382" xr:uid="{E588A05F-E231-4D53-9819-09A1BB52ADDE}"/>
    <cellStyle name="Normal 2 4 7 2 9" xfId="19111" xr:uid="{390B74A1-228F-4A1C-BC4D-8821BCA1FB59}"/>
    <cellStyle name="Normal 2 4 7 3" xfId="800" xr:uid="{00000000-0005-0000-0000-0000EA100000}"/>
    <cellStyle name="Normal 2 4 7 3 2" xfId="3039" xr:uid="{00000000-0005-0000-0000-0000EB100000}"/>
    <cellStyle name="Normal 2 4 7 3 2 2" xfId="7261" xr:uid="{00000000-0005-0000-0000-0000EC100000}"/>
    <cellStyle name="Normal 2 4 7 3 2 2 2" xfId="25886" xr:uid="{59A91A5E-CA65-4498-B9CA-C7ACF7E3990D}"/>
    <cellStyle name="Normal 2 4 7 3 2 2 3" xfId="16587" xr:uid="{A7946FCE-FF50-4977-AC82-0871CE4B6050}"/>
    <cellStyle name="Normal 2 4 7 3 2 3" xfId="21669" xr:uid="{C08CFC09-6EDE-4F09-B812-C2E52EC122B4}"/>
    <cellStyle name="Normal 2 4 7 3 2 4" xfId="12370" xr:uid="{188CE171-1EF0-4BC9-93A0-8B6211A658E4}"/>
    <cellStyle name="Normal 2 4 7 3 3" xfId="5116" xr:uid="{00000000-0005-0000-0000-0000ED100000}"/>
    <cellStyle name="Normal 2 4 7 3 3 2" xfId="23741" xr:uid="{DBE81CF2-0A95-4789-A328-8F8B2FB8032A}"/>
    <cellStyle name="Normal 2 4 7 3 3 3" xfId="14442" xr:uid="{48873FCB-2698-45C5-A116-8528F9F9F29D}"/>
    <cellStyle name="Normal 2 4 7 3 4" xfId="9276" xr:uid="{90A81E61-1719-41E4-8673-7681E805C2E0}"/>
    <cellStyle name="Normal 2 4 7 3 4 2" xfId="27890" xr:uid="{77F9923A-00C3-43D4-9BF8-7E1678BA472D}"/>
    <cellStyle name="Normal 2 4 7 3 4 3" xfId="18591" xr:uid="{8376F0C0-21B3-46DC-B9CF-6F427458C008}"/>
    <cellStyle name="Normal 2 4 7 3 5" xfId="19524" xr:uid="{A6731C83-880E-4156-84F9-652352521F59}"/>
    <cellStyle name="Normal 2 4 7 3 6" xfId="10225" xr:uid="{7D973871-5FB9-44B4-9425-DCDD776205D9}"/>
    <cellStyle name="Normal 2 4 7 4" xfId="1222" xr:uid="{00000000-0005-0000-0000-0000EE100000}"/>
    <cellStyle name="Normal 2 4 7 4 2" xfId="3452" xr:uid="{00000000-0005-0000-0000-0000EF100000}"/>
    <cellStyle name="Normal 2 4 7 4 2 2" xfId="7674" xr:uid="{00000000-0005-0000-0000-0000F0100000}"/>
    <cellStyle name="Normal 2 4 7 4 2 2 2" xfId="26299" xr:uid="{DFC48B53-AD92-42A9-9E8A-6D883415A6CD}"/>
    <cellStyle name="Normal 2 4 7 4 2 2 3" xfId="17000" xr:uid="{874BA414-DDDC-4ABC-B95D-9C590784D6C9}"/>
    <cellStyle name="Normal 2 4 7 4 2 3" xfId="22082" xr:uid="{22CEBF1C-D2EB-4255-BEB5-DFC8279689C8}"/>
    <cellStyle name="Normal 2 4 7 4 2 4" xfId="12783" xr:uid="{2F735BB6-570E-4CCB-A97C-5300C872EAD1}"/>
    <cellStyle name="Normal 2 4 7 4 3" xfId="5529" xr:uid="{00000000-0005-0000-0000-0000F1100000}"/>
    <cellStyle name="Normal 2 4 7 4 3 2" xfId="24154" xr:uid="{F721E9C1-7800-4F2A-B046-D7DF9F86D8FE}"/>
    <cellStyle name="Normal 2 4 7 4 3 3" xfId="14855" xr:uid="{DFE4EFF2-7795-44FC-A7AE-1AF3F97CC18B}"/>
    <cellStyle name="Normal 2 4 7 4 4" xfId="19937" xr:uid="{628DFBE6-AD1E-46DD-8FEB-5963A44A03C4}"/>
    <cellStyle name="Normal 2 4 7 4 5" xfId="10638" xr:uid="{95C7B482-A58D-4D39-A532-C4356A160E37}"/>
    <cellStyle name="Normal 2 4 7 5" xfId="1635" xr:uid="{00000000-0005-0000-0000-0000F2100000}"/>
    <cellStyle name="Normal 2 4 7 5 2" xfId="3865" xr:uid="{00000000-0005-0000-0000-0000F3100000}"/>
    <cellStyle name="Normal 2 4 7 5 2 2" xfId="8087" xr:uid="{00000000-0005-0000-0000-0000F4100000}"/>
    <cellStyle name="Normal 2 4 7 5 2 2 2" xfId="26712" xr:uid="{FDA90EA4-BDB1-4337-B34E-50D8E88F309A}"/>
    <cellStyle name="Normal 2 4 7 5 2 2 3" xfId="17413" xr:uid="{566EDCAE-05FC-4C98-82A8-A1D91CD94B14}"/>
    <cellStyle name="Normal 2 4 7 5 2 3" xfId="22495" xr:uid="{48CB894D-F501-48E8-9BD0-2B280C7D80F9}"/>
    <cellStyle name="Normal 2 4 7 5 2 4" xfId="13196" xr:uid="{7E9EF17B-E690-40CF-B769-DEE0C70D74FD}"/>
    <cellStyle name="Normal 2 4 7 5 3" xfId="5942" xr:uid="{00000000-0005-0000-0000-0000F5100000}"/>
    <cellStyle name="Normal 2 4 7 5 3 2" xfId="24567" xr:uid="{D950D1A0-4F1C-4A73-B3A5-8149A48D318F}"/>
    <cellStyle name="Normal 2 4 7 5 3 3" xfId="15268" xr:uid="{73ED851D-50E0-4935-B2AC-C7BB69614411}"/>
    <cellStyle name="Normal 2 4 7 5 4" xfId="20350" xr:uid="{F18486B7-F97F-4DE7-A944-CE9D2ACA2EE1}"/>
    <cellStyle name="Normal 2 4 7 5 5" xfId="11051" xr:uid="{9B63068D-DEFE-4DA6-B1B4-36B2EB8103EB}"/>
    <cellStyle name="Normal 2 4 7 6" xfId="2049" xr:uid="{00000000-0005-0000-0000-0000F6100000}"/>
    <cellStyle name="Normal 2 4 7 6 2" xfId="4278" xr:uid="{00000000-0005-0000-0000-0000F7100000}"/>
    <cellStyle name="Normal 2 4 7 6 2 2" xfId="8500" xr:uid="{00000000-0005-0000-0000-0000F8100000}"/>
    <cellStyle name="Normal 2 4 7 6 2 2 2" xfId="27125" xr:uid="{A0953A80-1906-4829-B1E4-ADBD50ED404D}"/>
    <cellStyle name="Normal 2 4 7 6 2 2 3" xfId="17826" xr:uid="{506DE3E6-3050-4DF0-9CF1-1980383B2369}"/>
    <cellStyle name="Normal 2 4 7 6 2 3" xfId="22908" xr:uid="{F87D7C7B-97ED-498F-89E6-1A7A4D4FDEE9}"/>
    <cellStyle name="Normal 2 4 7 6 2 4" xfId="13609" xr:uid="{133DFCED-3F25-4EF6-BA0D-AB423B3E4B3D}"/>
    <cellStyle name="Normal 2 4 7 6 3" xfId="6355" xr:uid="{00000000-0005-0000-0000-0000F9100000}"/>
    <cellStyle name="Normal 2 4 7 6 3 2" xfId="24980" xr:uid="{6EE9707D-9F30-447C-8618-515E5A095C00}"/>
    <cellStyle name="Normal 2 4 7 6 3 3" xfId="15681" xr:uid="{433BDA7B-5FFC-4DF6-ABBF-59BC190B59B1}"/>
    <cellStyle name="Normal 2 4 7 6 4" xfId="20763" xr:uid="{80AEAACD-25E8-4F87-A7F0-366292630B5C}"/>
    <cellStyle name="Normal 2 4 7 6 5" xfId="11464" xr:uid="{0D4342AD-2E57-4D06-986C-DBD07A46F460}"/>
    <cellStyle name="Normal 2 4 7 7" xfId="2485" xr:uid="{00000000-0005-0000-0000-0000FA100000}"/>
    <cellStyle name="Normal 2 4 7 7 2" xfId="6768" xr:uid="{00000000-0005-0000-0000-0000FB100000}"/>
    <cellStyle name="Normal 2 4 7 7 2 2" xfId="25393" xr:uid="{28BAB892-4156-4AC6-8351-EA22996AEE39}"/>
    <cellStyle name="Normal 2 4 7 7 2 3" xfId="16094" xr:uid="{ECF53765-EB83-4C94-B82D-07A4DAD8730F}"/>
    <cellStyle name="Normal 2 4 7 7 3" xfId="21176" xr:uid="{45D549A0-EDFC-4B6F-8B00-B26039D9EF2C}"/>
    <cellStyle name="Normal 2 4 7 7 4" xfId="11877" xr:uid="{3FFCFD19-92C6-442A-B889-E278A963E45A}"/>
    <cellStyle name="Normal 2 4 7 8" xfId="4702" xr:uid="{00000000-0005-0000-0000-0000FC100000}"/>
    <cellStyle name="Normal 2 4 7 8 2" xfId="23327" xr:uid="{759BB0E3-2A0E-4487-972A-DDE707055BA1}"/>
    <cellStyle name="Normal 2 4 7 8 3" xfId="14028" xr:uid="{22260447-9389-485A-A784-66F607A37C53}"/>
    <cellStyle name="Normal 2 4 7 9" xfId="8851" xr:uid="{6946A6C1-9296-4D8F-B36F-8F7964FD7AC6}"/>
    <cellStyle name="Normal 2 4 7 9 2" xfId="27474" xr:uid="{1B3EA8CE-9A13-4AFD-AB0C-D122583D9F14}"/>
    <cellStyle name="Normal 2 4 7 9 3" xfId="18175" xr:uid="{2CC8E7EA-1D71-41EA-A84A-F9F8778C2289}"/>
    <cellStyle name="Normal 2 4 8" xfId="314" xr:uid="{00000000-0005-0000-0000-0000FD100000}"/>
    <cellStyle name="Normal 2 4 8 10" xfId="9813" xr:uid="{2D31F31A-5934-4018-BA51-20C999A89BBC}"/>
    <cellStyle name="Normal 2 4 8 2" xfId="802" xr:uid="{00000000-0005-0000-0000-0000FE100000}"/>
    <cellStyle name="Normal 2 4 8 2 2" xfId="3041" xr:uid="{00000000-0005-0000-0000-0000FF100000}"/>
    <cellStyle name="Normal 2 4 8 2 2 2" xfId="7263" xr:uid="{00000000-0005-0000-0000-000000110000}"/>
    <cellStyle name="Normal 2 4 8 2 2 2 2" xfId="25888" xr:uid="{80C746C1-8CFC-484D-862F-A43D06C87F8F}"/>
    <cellStyle name="Normal 2 4 8 2 2 2 3" xfId="16589" xr:uid="{F160E548-83AE-4621-B030-35D46AD9600A}"/>
    <cellStyle name="Normal 2 4 8 2 2 3" xfId="21671" xr:uid="{80C14A89-DE8F-407A-8783-A08627D9F3BD}"/>
    <cellStyle name="Normal 2 4 8 2 2 4" xfId="12372" xr:uid="{F1FF641C-596D-475C-B7AE-AFC2BEB2EA96}"/>
    <cellStyle name="Normal 2 4 8 2 3" xfId="5118" xr:uid="{00000000-0005-0000-0000-000001110000}"/>
    <cellStyle name="Normal 2 4 8 2 3 2" xfId="23743" xr:uid="{71264AAD-4DDD-4197-803D-A3B5F3F7ABA0}"/>
    <cellStyle name="Normal 2 4 8 2 3 3" xfId="14444" xr:uid="{662250EE-A13A-4C79-A87A-4AA9F7E4E467}"/>
    <cellStyle name="Normal 2 4 8 2 4" xfId="9392" xr:uid="{812B973E-E5C9-43CD-85B0-C8CA30BD9BF3}"/>
    <cellStyle name="Normal 2 4 8 2 4 2" xfId="28006" xr:uid="{B630A82E-CCD4-4292-BDAD-91743EBAADFF}"/>
    <cellStyle name="Normal 2 4 8 2 4 3" xfId="18707" xr:uid="{FC46B645-3AA5-4FEA-BF78-7F273ECE6BDB}"/>
    <cellStyle name="Normal 2 4 8 2 5" xfId="19526" xr:uid="{7CBEB009-AE57-4FDB-87BF-9150E9C376C3}"/>
    <cellStyle name="Normal 2 4 8 2 6" xfId="10227" xr:uid="{5CF40A69-488F-4F3A-A7AD-EB270A8C9D37}"/>
    <cellStyle name="Normal 2 4 8 3" xfId="1224" xr:uid="{00000000-0005-0000-0000-000002110000}"/>
    <cellStyle name="Normal 2 4 8 3 2" xfId="3454" xr:uid="{00000000-0005-0000-0000-000003110000}"/>
    <cellStyle name="Normal 2 4 8 3 2 2" xfId="7676" xr:uid="{00000000-0005-0000-0000-000004110000}"/>
    <cellStyle name="Normal 2 4 8 3 2 2 2" xfId="26301" xr:uid="{FD04AF5C-7EB1-4FBB-A245-42293EC79A78}"/>
    <cellStyle name="Normal 2 4 8 3 2 2 3" xfId="17002" xr:uid="{83437363-E40B-4333-98B8-04E6BDD0B241}"/>
    <cellStyle name="Normal 2 4 8 3 2 3" xfId="22084" xr:uid="{1107420F-EEA3-41F2-8F53-61473DDF09AB}"/>
    <cellStyle name="Normal 2 4 8 3 2 4" xfId="12785" xr:uid="{4F53BEF1-92FC-4A56-9A6A-303FD04ED4BF}"/>
    <cellStyle name="Normal 2 4 8 3 3" xfId="5531" xr:uid="{00000000-0005-0000-0000-000005110000}"/>
    <cellStyle name="Normal 2 4 8 3 3 2" xfId="24156" xr:uid="{ED76BAAB-F309-417B-9A59-F7DAC3C4D338}"/>
    <cellStyle name="Normal 2 4 8 3 3 3" xfId="14857" xr:uid="{571B08B0-A02A-4C23-A78A-0A6965635A56}"/>
    <cellStyle name="Normal 2 4 8 3 4" xfId="19939" xr:uid="{1FD410ED-4F6C-450D-A942-1FC57BA431ED}"/>
    <cellStyle name="Normal 2 4 8 3 5" xfId="10640" xr:uid="{DAEC3DDB-82DB-4E85-99A9-7FDC2F542FCC}"/>
    <cellStyle name="Normal 2 4 8 4" xfId="1637" xr:uid="{00000000-0005-0000-0000-000006110000}"/>
    <cellStyle name="Normal 2 4 8 4 2" xfId="3867" xr:uid="{00000000-0005-0000-0000-000007110000}"/>
    <cellStyle name="Normal 2 4 8 4 2 2" xfId="8089" xr:uid="{00000000-0005-0000-0000-000008110000}"/>
    <cellStyle name="Normal 2 4 8 4 2 2 2" xfId="26714" xr:uid="{D1459F2E-7626-4C14-B017-D820A95BF332}"/>
    <cellStyle name="Normal 2 4 8 4 2 2 3" xfId="17415" xr:uid="{5BD183D4-EBFD-4867-8B73-C7FAD46D323E}"/>
    <cellStyle name="Normal 2 4 8 4 2 3" xfId="22497" xr:uid="{505BA1C3-10D8-457C-AD9A-6CD9B07F9B89}"/>
    <cellStyle name="Normal 2 4 8 4 2 4" xfId="13198" xr:uid="{A13AD21E-2588-4D1F-B572-C71D02469FDC}"/>
    <cellStyle name="Normal 2 4 8 4 3" xfId="5944" xr:uid="{00000000-0005-0000-0000-000009110000}"/>
    <cellStyle name="Normal 2 4 8 4 3 2" xfId="24569" xr:uid="{AACBB224-728B-40EA-B814-4AF2B224E7CE}"/>
    <cellStyle name="Normal 2 4 8 4 3 3" xfId="15270" xr:uid="{0318E6D9-34D5-4B44-BB43-DDDCA518E864}"/>
    <cellStyle name="Normal 2 4 8 4 4" xfId="20352" xr:uid="{5019BEA4-9AA2-4C8D-B2A8-F7B085B2BB1D}"/>
    <cellStyle name="Normal 2 4 8 4 5" xfId="11053" xr:uid="{994F39D0-1C28-46CE-AA94-F2CB05E4AFDE}"/>
    <cellStyle name="Normal 2 4 8 5" xfId="2051" xr:uid="{00000000-0005-0000-0000-00000A110000}"/>
    <cellStyle name="Normal 2 4 8 5 2" xfId="4280" xr:uid="{00000000-0005-0000-0000-00000B110000}"/>
    <cellStyle name="Normal 2 4 8 5 2 2" xfId="8502" xr:uid="{00000000-0005-0000-0000-00000C110000}"/>
    <cellStyle name="Normal 2 4 8 5 2 2 2" xfId="27127" xr:uid="{F19CFE36-A322-49C4-B30E-6C5BFB2723D4}"/>
    <cellStyle name="Normal 2 4 8 5 2 2 3" xfId="17828" xr:uid="{3CD54611-33C8-4A07-A322-29995F857502}"/>
    <cellStyle name="Normal 2 4 8 5 2 3" xfId="22910" xr:uid="{4E86AC8A-2595-453A-B66A-87952C91C215}"/>
    <cellStyle name="Normal 2 4 8 5 2 4" xfId="13611" xr:uid="{8414148E-3FE2-417E-B640-A8CA8B7592C3}"/>
    <cellStyle name="Normal 2 4 8 5 3" xfId="6357" xr:uid="{00000000-0005-0000-0000-00000D110000}"/>
    <cellStyle name="Normal 2 4 8 5 3 2" xfId="24982" xr:uid="{9D0F35D4-5A14-49DD-A550-1B0BCC6D1896}"/>
    <cellStyle name="Normal 2 4 8 5 3 3" xfId="15683" xr:uid="{A57F0427-EE4E-4EA3-8348-9A4052549FD9}"/>
    <cellStyle name="Normal 2 4 8 5 4" xfId="20765" xr:uid="{FEBE8ACE-1C77-426D-A462-A98C14B93A16}"/>
    <cellStyle name="Normal 2 4 8 5 5" xfId="11466" xr:uid="{CAFE47EB-9A03-45F2-B6F7-2E3D968BD180}"/>
    <cellStyle name="Normal 2 4 8 6" xfId="2487" xr:uid="{00000000-0005-0000-0000-00000E110000}"/>
    <cellStyle name="Normal 2 4 8 6 2" xfId="6770" xr:uid="{00000000-0005-0000-0000-00000F110000}"/>
    <cellStyle name="Normal 2 4 8 6 2 2" xfId="25395" xr:uid="{A91815B5-E8C1-4882-9AE0-6F579BF96EE3}"/>
    <cellStyle name="Normal 2 4 8 6 2 3" xfId="16096" xr:uid="{2D3FCCCE-BB13-4B92-A13F-4ADA0C754644}"/>
    <cellStyle name="Normal 2 4 8 6 3" xfId="21178" xr:uid="{6B38F8A5-E900-42C3-B53B-D1123BDB9072}"/>
    <cellStyle name="Normal 2 4 8 6 4" xfId="11879" xr:uid="{66462DEA-6DC7-4D5C-B1E2-F41604104A87}"/>
    <cellStyle name="Normal 2 4 8 7" xfId="4704" xr:uid="{00000000-0005-0000-0000-000010110000}"/>
    <cellStyle name="Normal 2 4 8 7 2" xfId="23329" xr:uid="{779FD8C0-9143-4CE1-BFC9-FF646EDB3554}"/>
    <cellStyle name="Normal 2 4 8 7 3" xfId="14030" xr:uid="{7ED13D50-849C-4E67-9E3D-9C38F441C33A}"/>
    <cellStyle name="Normal 2 4 8 8" xfId="8967" xr:uid="{32AC97CD-D3FD-4AE1-A8B2-07BEA9D5DE52}"/>
    <cellStyle name="Normal 2 4 8 8 2" xfId="27590" xr:uid="{12BB83CF-19C0-402A-91B5-54FE48C1781B}"/>
    <cellStyle name="Normal 2 4 8 8 3" xfId="18291" xr:uid="{D9CF9058-F65F-434F-B2F3-7E528FC18D93}"/>
    <cellStyle name="Normal 2 4 8 9" xfId="19112" xr:uid="{563D9FFE-DB96-4BB9-916B-B484FBF9B6CA}"/>
    <cellStyle name="Normal 2 4 9" xfId="9170" xr:uid="{5569C060-E090-4551-A44D-517EC3FD1834}"/>
    <cellStyle name="Normal 2 4 9 2" xfId="27787" xr:uid="{4B1107C3-DE43-4F54-AE5A-5A4815C355A0}"/>
    <cellStyle name="Normal 2 4 9 3" xfId="18488" xr:uid="{7AF32922-B058-40FB-98A3-631AE19E3B71}"/>
    <cellStyle name="Normal 2 5" xfId="315" xr:uid="{00000000-0005-0000-0000-000011110000}"/>
    <cellStyle name="Normal 2 5 10" xfId="4705" xr:uid="{00000000-0005-0000-0000-000012110000}"/>
    <cellStyle name="Normal 2 5 10 2" xfId="23330" xr:uid="{1DFE919C-F167-425F-B8A8-EE6D4292E304}"/>
    <cellStyle name="Normal 2 5 10 3" xfId="14031" xr:uid="{4238FA6F-D6FB-4D3F-86F7-0B63816E18D6}"/>
    <cellStyle name="Normal 2 5 11" xfId="19113" xr:uid="{ADD47688-1024-476B-B9EC-BDD21AC659E3}"/>
    <cellStyle name="Normal 2 5 12" xfId="9814" xr:uid="{843AD86C-8F7F-44C8-B5CA-E7B2E8DDF2F9}"/>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10 2" xfId="27439" xr:uid="{7EFB31A1-5D69-4376-AF7B-441DB6EAF972}"/>
    <cellStyle name="Normal 2 5 4 10 3" xfId="18140" xr:uid="{F7BAE5DC-7913-4D0F-858B-08F2193C5961}"/>
    <cellStyle name="Normal 2 5 4 11" xfId="19114" xr:uid="{2F9BA523-2BAF-45D5-9B8D-7A1A1D371D18}"/>
    <cellStyle name="Normal 2 5 4 12" xfId="9815" xr:uid="{BE7546DC-3959-41EF-80F5-CF7B56B2CFF1}"/>
    <cellStyle name="Normal 2 5 4 2" xfId="319" xr:uid="{00000000-0005-0000-0000-000016110000}"/>
    <cellStyle name="Normal 2 5 4 2 10" xfId="19115" xr:uid="{699B8C65-9B6D-4A8F-95DA-BC45410C42E8}"/>
    <cellStyle name="Normal 2 5 4 2 11" xfId="9816" xr:uid="{1531E403-0558-4EB3-B27D-6B9A7ACFB0D9}"/>
    <cellStyle name="Normal 2 5 4 2 2" xfId="320" xr:uid="{00000000-0005-0000-0000-000017110000}"/>
    <cellStyle name="Normal 2 5 4 2 2 10" xfId="9817" xr:uid="{70E32D4D-493F-4773-8F18-55BFF6155308}"/>
    <cellStyle name="Normal 2 5 4 2 2 2" xfId="806" xr:uid="{00000000-0005-0000-0000-000018110000}"/>
    <cellStyle name="Normal 2 5 4 2 2 2 2" xfId="3045" xr:uid="{00000000-0005-0000-0000-000019110000}"/>
    <cellStyle name="Normal 2 5 4 2 2 2 2 2" xfId="7267" xr:uid="{00000000-0005-0000-0000-00001A110000}"/>
    <cellStyle name="Normal 2 5 4 2 2 2 2 2 2" xfId="25892" xr:uid="{2DDCDB66-5C8B-4849-8FC3-FD2359BC2D22}"/>
    <cellStyle name="Normal 2 5 4 2 2 2 2 2 3" xfId="16593" xr:uid="{37E62C6D-E960-4EF4-87B6-FD91EA58F94C}"/>
    <cellStyle name="Normal 2 5 4 2 2 2 2 3" xfId="21675" xr:uid="{C07E1F07-ABBD-4297-BAE3-3E57CEA6741B}"/>
    <cellStyle name="Normal 2 5 4 2 2 2 2 4" xfId="12376" xr:uid="{686D4219-8F18-409C-9FA4-4F37665C11ED}"/>
    <cellStyle name="Normal 2 5 4 2 2 2 3" xfId="5122" xr:uid="{00000000-0005-0000-0000-00001B110000}"/>
    <cellStyle name="Normal 2 5 4 2 2 2 3 2" xfId="23747" xr:uid="{4216FDC9-6956-4D1A-BC6C-DC6CFB29F9C3}"/>
    <cellStyle name="Normal 2 5 4 2 2 2 3 3" xfId="14448" xr:uid="{63C7077B-AE0F-4BC7-A51C-D21D2869F959}"/>
    <cellStyle name="Normal 2 5 4 2 2 2 4" xfId="9551" xr:uid="{392D7741-6781-4EA5-9C28-040053C1B05B}"/>
    <cellStyle name="Normal 2 5 4 2 2 2 4 2" xfId="28165" xr:uid="{CFE79D02-251F-4B6D-94FE-FC8CF7C7455F}"/>
    <cellStyle name="Normal 2 5 4 2 2 2 4 3" xfId="18866" xr:uid="{9A985932-335F-47D1-B4E3-E979629E0761}"/>
    <cellStyle name="Normal 2 5 4 2 2 2 5" xfId="19530" xr:uid="{CBEE903A-92EC-4B0B-9E32-A09EF054A2C2}"/>
    <cellStyle name="Normal 2 5 4 2 2 2 6" xfId="10231" xr:uid="{D0BDA562-50DB-4823-89E9-BEDC2EE5A105}"/>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2 2 2" xfId="26305" xr:uid="{0F5409D2-C751-44FD-ADD8-885559CD8629}"/>
    <cellStyle name="Normal 2 5 4 2 2 3 2 2 3" xfId="17006" xr:uid="{C51313ED-C502-4D45-9916-8D5E2EA7A303}"/>
    <cellStyle name="Normal 2 5 4 2 2 3 2 3" xfId="22088" xr:uid="{96F8DCEB-3F58-4394-83BE-4AD1F3C31564}"/>
    <cellStyle name="Normal 2 5 4 2 2 3 2 4" xfId="12789" xr:uid="{23966C57-7D8D-40F8-B17F-BC319332DC04}"/>
    <cellStyle name="Normal 2 5 4 2 2 3 3" xfId="5535" xr:uid="{00000000-0005-0000-0000-00001F110000}"/>
    <cellStyle name="Normal 2 5 4 2 2 3 3 2" xfId="24160" xr:uid="{7003862C-B679-4981-A050-B96267643F69}"/>
    <cellStyle name="Normal 2 5 4 2 2 3 3 3" xfId="14861" xr:uid="{821788A2-2748-48BE-BB09-DF89B8DFF715}"/>
    <cellStyle name="Normal 2 5 4 2 2 3 4" xfId="19943" xr:uid="{3B2D68A7-CE94-42D7-8436-BAD2A8381580}"/>
    <cellStyle name="Normal 2 5 4 2 2 3 5" xfId="10644" xr:uid="{F222BBEA-1580-438D-8941-93670EAF2739}"/>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2 2 2" xfId="26718" xr:uid="{EE56D312-3137-42CB-9E29-F3562008CB32}"/>
    <cellStyle name="Normal 2 5 4 2 2 4 2 2 3" xfId="17419" xr:uid="{1949C711-EBBF-410A-B6EF-B18E580063EC}"/>
    <cellStyle name="Normal 2 5 4 2 2 4 2 3" xfId="22501" xr:uid="{75CEC39C-CC72-4045-A693-A6D2423C1C1A}"/>
    <cellStyle name="Normal 2 5 4 2 2 4 2 4" xfId="13202" xr:uid="{FC68DBE0-3776-4D7A-8DED-F2071CDDE3E3}"/>
    <cellStyle name="Normal 2 5 4 2 2 4 3" xfId="5948" xr:uid="{00000000-0005-0000-0000-000023110000}"/>
    <cellStyle name="Normal 2 5 4 2 2 4 3 2" xfId="24573" xr:uid="{E7487944-1100-46D6-A9B6-43D2B49FEA17}"/>
    <cellStyle name="Normal 2 5 4 2 2 4 3 3" xfId="15274" xr:uid="{617028D8-1221-40D2-B34B-B1106A5FA5DD}"/>
    <cellStyle name="Normal 2 5 4 2 2 4 4" xfId="20356" xr:uid="{0FCA7838-62FB-4D34-9BD3-783467BAAE09}"/>
    <cellStyle name="Normal 2 5 4 2 2 4 5" xfId="11057" xr:uid="{A7773954-3062-4659-A36E-0F767A62B675}"/>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2 2 2" xfId="27131" xr:uid="{F9AE8C90-256E-4C69-8E39-F7D48DEABACB}"/>
    <cellStyle name="Normal 2 5 4 2 2 5 2 2 3" xfId="17832" xr:uid="{E7E28C4B-32B7-4AFA-BAD7-6F1CB4B9F5D2}"/>
    <cellStyle name="Normal 2 5 4 2 2 5 2 3" xfId="22914" xr:uid="{239409B9-7AA0-446D-B67A-F7D13E6ECF0B}"/>
    <cellStyle name="Normal 2 5 4 2 2 5 2 4" xfId="13615" xr:uid="{E68B070C-DFBB-40F4-911F-8C732D95BA64}"/>
    <cellStyle name="Normal 2 5 4 2 2 5 3" xfId="6361" xr:uid="{00000000-0005-0000-0000-000027110000}"/>
    <cellStyle name="Normal 2 5 4 2 2 5 3 2" xfId="24986" xr:uid="{EDF0A80C-559A-44A0-813C-CCA018042A47}"/>
    <cellStyle name="Normal 2 5 4 2 2 5 3 3" xfId="15687" xr:uid="{A9EF3D66-6C1C-49B0-92F5-5BE92991BDCE}"/>
    <cellStyle name="Normal 2 5 4 2 2 5 4" xfId="20769" xr:uid="{DF2BB7C3-2688-4AA0-A001-50BDB98EEE8A}"/>
    <cellStyle name="Normal 2 5 4 2 2 5 5" xfId="11470" xr:uid="{D7A08F24-8063-4ED4-8F36-0E883153886A}"/>
    <cellStyle name="Normal 2 5 4 2 2 6" xfId="2491" xr:uid="{00000000-0005-0000-0000-000028110000}"/>
    <cellStyle name="Normal 2 5 4 2 2 6 2" xfId="6774" xr:uid="{00000000-0005-0000-0000-000029110000}"/>
    <cellStyle name="Normal 2 5 4 2 2 6 2 2" xfId="25399" xr:uid="{46CBB7DA-29DE-4BCB-A781-7709FE543A2A}"/>
    <cellStyle name="Normal 2 5 4 2 2 6 2 3" xfId="16100" xr:uid="{CDE17B3F-EE44-4046-A1F5-E5745F19D1CA}"/>
    <cellStyle name="Normal 2 5 4 2 2 6 3" xfId="21182" xr:uid="{CF5E7E7C-F919-4408-9DB3-E10432836FDE}"/>
    <cellStyle name="Normal 2 5 4 2 2 6 4" xfId="11883" xr:uid="{0525FA48-B2FA-4BDD-855E-837C0BFD2D19}"/>
    <cellStyle name="Normal 2 5 4 2 2 7" xfId="4708" xr:uid="{00000000-0005-0000-0000-00002A110000}"/>
    <cellStyle name="Normal 2 5 4 2 2 7 2" xfId="23333" xr:uid="{0E46C7DE-8D8F-4831-B7CD-9C2C9A9F7579}"/>
    <cellStyle name="Normal 2 5 4 2 2 7 3" xfId="14034" xr:uid="{902DB2A7-B2BC-4114-ABF2-05E6FD4BD26C}"/>
    <cellStyle name="Normal 2 5 4 2 2 8" xfId="9126" xr:uid="{C2CF4AFD-4082-4555-941B-6E9759C32D63}"/>
    <cellStyle name="Normal 2 5 4 2 2 8 2" xfId="27749" xr:uid="{4A6E1F4B-6C01-4A03-9E39-B5D71320A1C8}"/>
    <cellStyle name="Normal 2 5 4 2 2 8 3" xfId="18450" xr:uid="{ADECCC67-F88F-4024-8AC6-833939A5CAC1}"/>
    <cellStyle name="Normal 2 5 4 2 2 9" xfId="19116" xr:uid="{4D5C73FB-81E4-42F1-8210-7C1940CA53CE}"/>
    <cellStyle name="Normal 2 5 4 2 3" xfId="805" xr:uid="{00000000-0005-0000-0000-00002B110000}"/>
    <cellStyle name="Normal 2 5 4 2 3 2" xfId="3044" xr:uid="{00000000-0005-0000-0000-00002C110000}"/>
    <cellStyle name="Normal 2 5 4 2 3 2 2" xfId="7266" xr:uid="{00000000-0005-0000-0000-00002D110000}"/>
    <cellStyle name="Normal 2 5 4 2 3 2 2 2" xfId="25891" xr:uid="{1B0E65D7-F40E-49A7-BC6F-CBE2CA738871}"/>
    <cellStyle name="Normal 2 5 4 2 3 2 2 3" xfId="16592" xr:uid="{95B4FADD-620A-49B6-BA3D-77F110B14E41}"/>
    <cellStyle name="Normal 2 5 4 2 3 2 3" xfId="21674" xr:uid="{E7A029BD-A459-42F3-8339-08645209EC12}"/>
    <cellStyle name="Normal 2 5 4 2 3 2 4" xfId="12375" xr:uid="{4E7849FB-E5FA-40DC-9B43-41A8E5751230}"/>
    <cellStyle name="Normal 2 5 4 2 3 3" xfId="5121" xr:uid="{00000000-0005-0000-0000-00002E110000}"/>
    <cellStyle name="Normal 2 5 4 2 3 3 2" xfId="23746" xr:uid="{DBFBC5AA-603C-49B8-8C62-B38562638CB5}"/>
    <cellStyle name="Normal 2 5 4 2 3 3 3" xfId="14447" xr:uid="{31C55862-8EB3-465A-BE5B-487A8829E8C8}"/>
    <cellStyle name="Normal 2 5 4 2 3 4" xfId="9344" xr:uid="{207B8A34-09D9-4349-A9C7-5A5A998C6B6F}"/>
    <cellStyle name="Normal 2 5 4 2 3 4 2" xfId="27958" xr:uid="{ADF01037-DFC8-417A-8361-1E06CF7E6DCA}"/>
    <cellStyle name="Normal 2 5 4 2 3 4 3" xfId="18659" xr:uid="{0FDCDD8C-DBF3-4D2E-8F46-366595ED8462}"/>
    <cellStyle name="Normal 2 5 4 2 3 5" xfId="19529" xr:uid="{12BAF9AD-48C7-416E-AC3C-F7798CAD49E1}"/>
    <cellStyle name="Normal 2 5 4 2 3 6" xfId="10230" xr:uid="{12595EFE-671A-4195-9E43-F5FE12DCF566}"/>
    <cellStyle name="Normal 2 5 4 2 4" xfId="1227" xr:uid="{00000000-0005-0000-0000-00002F110000}"/>
    <cellStyle name="Normal 2 5 4 2 4 2" xfId="3457" xr:uid="{00000000-0005-0000-0000-000030110000}"/>
    <cellStyle name="Normal 2 5 4 2 4 2 2" xfId="7679" xr:uid="{00000000-0005-0000-0000-000031110000}"/>
    <cellStyle name="Normal 2 5 4 2 4 2 2 2" xfId="26304" xr:uid="{6BEF7103-FB95-483D-B8FC-F034E372E37E}"/>
    <cellStyle name="Normal 2 5 4 2 4 2 2 3" xfId="17005" xr:uid="{12CE710C-660C-426B-894A-B4591F720B27}"/>
    <cellStyle name="Normal 2 5 4 2 4 2 3" xfId="22087" xr:uid="{C5DECB32-513E-4B84-92BB-19F2FE871455}"/>
    <cellStyle name="Normal 2 5 4 2 4 2 4" xfId="12788" xr:uid="{C3459F16-AE9A-4F82-939C-4C95E29DB15F}"/>
    <cellStyle name="Normal 2 5 4 2 4 3" xfId="5534" xr:uid="{00000000-0005-0000-0000-000032110000}"/>
    <cellStyle name="Normal 2 5 4 2 4 3 2" xfId="24159" xr:uid="{D7F70E7B-71A1-4C5C-9868-459DD77F1974}"/>
    <cellStyle name="Normal 2 5 4 2 4 3 3" xfId="14860" xr:uid="{E5E2638B-9F9F-418B-89C3-6548840520B5}"/>
    <cellStyle name="Normal 2 5 4 2 4 4" xfId="19942" xr:uid="{CA9BFF7B-97D5-4341-94C0-1C58E355A2D1}"/>
    <cellStyle name="Normal 2 5 4 2 4 5" xfId="10643" xr:uid="{BC56D321-4484-4AC0-872F-BF994E6E9209}"/>
    <cellStyle name="Normal 2 5 4 2 5" xfId="1640" xr:uid="{00000000-0005-0000-0000-000033110000}"/>
    <cellStyle name="Normal 2 5 4 2 5 2" xfId="3870" xr:uid="{00000000-0005-0000-0000-000034110000}"/>
    <cellStyle name="Normal 2 5 4 2 5 2 2" xfId="8092" xr:uid="{00000000-0005-0000-0000-000035110000}"/>
    <cellStyle name="Normal 2 5 4 2 5 2 2 2" xfId="26717" xr:uid="{6B3D1F99-5ECC-48F1-91A5-D14717C70CBB}"/>
    <cellStyle name="Normal 2 5 4 2 5 2 2 3" xfId="17418" xr:uid="{C5E2108C-DBB2-423E-A850-337D8B819B01}"/>
    <cellStyle name="Normal 2 5 4 2 5 2 3" xfId="22500" xr:uid="{70B1E369-75B3-446A-A071-6D52BF8E820D}"/>
    <cellStyle name="Normal 2 5 4 2 5 2 4" xfId="13201" xr:uid="{57D8307F-5612-47CC-96CE-2A4665228106}"/>
    <cellStyle name="Normal 2 5 4 2 5 3" xfId="5947" xr:uid="{00000000-0005-0000-0000-000036110000}"/>
    <cellStyle name="Normal 2 5 4 2 5 3 2" xfId="24572" xr:uid="{57805ECB-35F8-491C-B820-4CA90636ACD4}"/>
    <cellStyle name="Normal 2 5 4 2 5 3 3" xfId="15273" xr:uid="{958D06C9-E864-488C-826E-57FDA21331C6}"/>
    <cellStyle name="Normal 2 5 4 2 5 4" xfId="20355" xr:uid="{2A52BFC7-7E67-46BC-B7F8-F40E7D410D1E}"/>
    <cellStyle name="Normal 2 5 4 2 5 5" xfId="11056" xr:uid="{AAE8DB5C-319B-4078-9708-608AF4F0E09C}"/>
    <cellStyle name="Normal 2 5 4 2 6" xfId="2054" xr:uid="{00000000-0005-0000-0000-000037110000}"/>
    <cellStyle name="Normal 2 5 4 2 6 2" xfId="4283" xr:uid="{00000000-0005-0000-0000-000038110000}"/>
    <cellStyle name="Normal 2 5 4 2 6 2 2" xfId="8505" xr:uid="{00000000-0005-0000-0000-000039110000}"/>
    <cellStyle name="Normal 2 5 4 2 6 2 2 2" xfId="27130" xr:uid="{08EB8B30-4F89-41FF-BE19-9DC79F7F7F90}"/>
    <cellStyle name="Normal 2 5 4 2 6 2 2 3" xfId="17831" xr:uid="{C2E9B440-9058-41D4-866F-4192B420056B}"/>
    <cellStyle name="Normal 2 5 4 2 6 2 3" xfId="22913" xr:uid="{25D57CCC-D271-40C5-BACA-054EF5286A61}"/>
    <cellStyle name="Normal 2 5 4 2 6 2 4" xfId="13614" xr:uid="{D1079D10-2FD6-4948-8AA8-E2109C43AA12}"/>
    <cellStyle name="Normal 2 5 4 2 6 3" xfId="6360" xr:uid="{00000000-0005-0000-0000-00003A110000}"/>
    <cellStyle name="Normal 2 5 4 2 6 3 2" xfId="24985" xr:uid="{0B246C2E-AE94-492C-9127-9277A80D912D}"/>
    <cellStyle name="Normal 2 5 4 2 6 3 3" xfId="15686" xr:uid="{C8050AE0-CFBA-4C28-B551-0D65DB05953B}"/>
    <cellStyle name="Normal 2 5 4 2 6 4" xfId="20768" xr:uid="{5E7C3D5E-AA46-4C34-B8C2-17B56289B93C}"/>
    <cellStyle name="Normal 2 5 4 2 6 5" xfId="11469" xr:uid="{F1949A50-4B65-49F5-A859-EC2A296985FB}"/>
    <cellStyle name="Normal 2 5 4 2 7" xfId="2490" xr:uid="{00000000-0005-0000-0000-00003B110000}"/>
    <cellStyle name="Normal 2 5 4 2 7 2" xfId="6773" xr:uid="{00000000-0005-0000-0000-00003C110000}"/>
    <cellStyle name="Normal 2 5 4 2 7 2 2" xfId="25398" xr:uid="{0DD4C74A-C8C1-41C9-AA8E-36B80D7AE347}"/>
    <cellStyle name="Normal 2 5 4 2 7 2 3" xfId="16099" xr:uid="{A34D340A-7AFD-4D42-933D-63F1C7C6B0EE}"/>
    <cellStyle name="Normal 2 5 4 2 7 3" xfId="21181" xr:uid="{3BA437F2-68FB-4117-BDE9-384F7395EF24}"/>
    <cellStyle name="Normal 2 5 4 2 7 4" xfId="11882" xr:uid="{42F387FC-2736-4F65-80DF-9367049E9C02}"/>
    <cellStyle name="Normal 2 5 4 2 8" xfId="4707" xr:uid="{00000000-0005-0000-0000-00003D110000}"/>
    <cellStyle name="Normal 2 5 4 2 8 2" xfId="23332" xr:uid="{3251CAB4-3F09-4041-9F33-AB3ED95BE707}"/>
    <cellStyle name="Normal 2 5 4 2 8 3" xfId="14033" xr:uid="{6408C144-636D-4D4B-B787-4B690A61B864}"/>
    <cellStyle name="Normal 2 5 4 2 9" xfId="8919" xr:uid="{2A8C96F6-0F22-4271-BCA3-7E5B2E35A54F}"/>
    <cellStyle name="Normal 2 5 4 2 9 2" xfId="27542" xr:uid="{319D00C8-11BA-4200-984C-0F9CA62C2C94}"/>
    <cellStyle name="Normal 2 5 4 2 9 3" xfId="18243" xr:uid="{CD7A2FD2-8736-4F7B-AAB4-6923D040E74F}"/>
    <cellStyle name="Normal 2 5 4 3" xfId="321" xr:uid="{00000000-0005-0000-0000-00003E110000}"/>
    <cellStyle name="Normal 2 5 4 3 10" xfId="9818" xr:uid="{CD26A4F1-5A4F-44DB-82C7-E6A7F9EE4FC5}"/>
    <cellStyle name="Normal 2 5 4 3 2" xfId="807" xr:uid="{00000000-0005-0000-0000-00003F110000}"/>
    <cellStyle name="Normal 2 5 4 3 2 2" xfId="3046" xr:uid="{00000000-0005-0000-0000-000040110000}"/>
    <cellStyle name="Normal 2 5 4 3 2 2 2" xfId="7268" xr:uid="{00000000-0005-0000-0000-000041110000}"/>
    <cellStyle name="Normal 2 5 4 3 2 2 2 2" xfId="25893" xr:uid="{3CF1EDB4-6567-41FD-928B-56C35D49B58B}"/>
    <cellStyle name="Normal 2 5 4 3 2 2 2 3" xfId="16594" xr:uid="{81057649-8AD4-4539-B873-6DB0B4839FC3}"/>
    <cellStyle name="Normal 2 5 4 3 2 2 3" xfId="21676" xr:uid="{EC65A88A-C7E4-45CE-9897-4F0928C836B8}"/>
    <cellStyle name="Normal 2 5 4 3 2 2 4" xfId="12377" xr:uid="{2F3EB8F2-30BF-4C01-9DAC-D7093F024112}"/>
    <cellStyle name="Normal 2 5 4 3 2 3" xfId="5123" xr:uid="{00000000-0005-0000-0000-000042110000}"/>
    <cellStyle name="Normal 2 5 4 3 2 3 2" xfId="23748" xr:uid="{0C9B22FE-DE18-4587-884B-020C9A2772F4}"/>
    <cellStyle name="Normal 2 5 4 3 2 3 3" xfId="14449" xr:uid="{F164004D-021C-4B2B-8C85-5EB72ACAB2DD}"/>
    <cellStyle name="Normal 2 5 4 3 2 4" xfId="9448" xr:uid="{0C1738F2-697E-4430-8A3F-E67747B3EDB0}"/>
    <cellStyle name="Normal 2 5 4 3 2 4 2" xfId="28062" xr:uid="{49D6D2B5-57F3-415C-AD23-8F7B23CFD9C8}"/>
    <cellStyle name="Normal 2 5 4 3 2 4 3" xfId="18763" xr:uid="{304B18BF-8722-4EDE-A099-467A01A61499}"/>
    <cellStyle name="Normal 2 5 4 3 2 5" xfId="19531" xr:uid="{F8BC9133-BBE3-442E-AD98-841EF24FBE86}"/>
    <cellStyle name="Normal 2 5 4 3 2 6" xfId="10232" xr:uid="{9EEBE501-78D6-44F4-A9A0-C242F83A4D96}"/>
    <cellStyle name="Normal 2 5 4 3 3" xfId="1229" xr:uid="{00000000-0005-0000-0000-000043110000}"/>
    <cellStyle name="Normal 2 5 4 3 3 2" xfId="3459" xr:uid="{00000000-0005-0000-0000-000044110000}"/>
    <cellStyle name="Normal 2 5 4 3 3 2 2" xfId="7681" xr:uid="{00000000-0005-0000-0000-000045110000}"/>
    <cellStyle name="Normal 2 5 4 3 3 2 2 2" xfId="26306" xr:uid="{67CA7F45-CC85-4869-84CB-B4C5DD698EB3}"/>
    <cellStyle name="Normal 2 5 4 3 3 2 2 3" xfId="17007" xr:uid="{3CE6EFB5-0934-487D-9B40-B8298B9FE6C7}"/>
    <cellStyle name="Normal 2 5 4 3 3 2 3" xfId="22089" xr:uid="{348C0265-D53F-4CFD-822F-3E015D5C6888}"/>
    <cellStyle name="Normal 2 5 4 3 3 2 4" xfId="12790" xr:uid="{FF1A329A-54D9-41E5-8F9A-C2AB30AFBA66}"/>
    <cellStyle name="Normal 2 5 4 3 3 3" xfId="5536" xr:uid="{00000000-0005-0000-0000-000046110000}"/>
    <cellStyle name="Normal 2 5 4 3 3 3 2" xfId="24161" xr:uid="{4CC9E03C-24F9-4F28-B151-1FB9C0B8E4C4}"/>
    <cellStyle name="Normal 2 5 4 3 3 3 3" xfId="14862" xr:uid="{A6059EAD-F6DE-4439-B83D-ACD8B09A5DB1}"/>
    <cellStyle name="Normal 2 5 4 3 3 4" xfId="19944" xr:uid="{D93A2EFF-E387-4979-AC1C-A382944A2969}"/>
    <cellStyle name="Normal 2 5 4 3 3 5" xfId="10645" xr:uid="{865BE41E-7089-4E94-9125-2D46C7EE348F}"/>
    <cellStyle name="Normal 2 5 4 3 4" xfId="1642" xr:uid="{00000000-0005-0000-0000-000047110000}"/>
    <cellStyle name="Normal 2 5 4 3 4 2" xfId="3872" xr:uid="{00000000-0005-0000-0000-000048110000}"/>
    <cellStyle name="Normal 2 5 4 3 4 2 2" xfId="8094" xr:uid="{00000000-0005-0000-0000-000049110000}"/>
    <cellStyle name="Normal 2 5 4 3 4 2 2 2" xfId="26719" xr:uid="{163C842B-BB8D-4729-BEB9-77C6BC562241}"/>
    <cellStyle name="Normal 2 5 4 3 4 2 2 3" xfId="17420" xr:uid="{825EE335-FB08-4A54-98AA-ECAF3B28D4E7}"/>
    <cellStyle name="Normal 2 5 4 3 4 2 3" xfId="22502" xr:uid="{A21F2872-D79F-4732-AD4C-E7EC93FAA141}"/>
    <cellStyle name="Normal 2 5 4 3 4 2 4" xfId="13203" xr:uid="{AA3620C1-25E4-4A85-9DD6-658A4DA305AD}"/>
    <cellStyle name="Normal 2 5 4 3 4 3" xfId="5949" xr:uid="{00000000-0005-0000-0000-00004A110000}"/>
    <cellStyle name="Normal 2 5 4 3 4 3 2" xfId="24574" xr:uid="{75817236-4954-44E0-9836-D83C5CFB56DA}"/>
    <cellStyle name="Normal 2 5 4 3 4 3 3" xfId="15275" xr:uid="{1E32E9EE-1B06-43C4-BA18-948EB1206F79}"/>
    <cellStyle name="Normal 2 5 4 3 4 4" xfId="20357" xr:uid="{818E72DC-800D-4727-A8CB-E4A63D780E30}"/>
    <cellStyle name="Normal 2 5 4 3 4 5" xfId="11058" xr:uid="{FAE87408-2E29-475D-B4D9-9EAC23E58ACC}"/>
    <cellStyle name="Normal 2 5 4 3 5" xfId="2056" xr:uid="{00000000-0005-0000-0000-00004B110000}"/>
    <cellStyle name="Normal 2 5 4 3 5 2" xfId="4285" xr:uid="{00000000-0005-0000-0000-00004C110000}"/>
    <cellStyle name="Normal 2 5 4 3 5 2 2" xfId="8507" xr:uid="{00000000-0005-0000-0000-00004D110000}"/>
    <cellStyle name="Normal 2 5 4 3 5 2 2 2" xfId="27132" xr:uid="{EF15D6CB-2062-4019-A7A2-D92688C9427B}"/>
    <cellStyle name="Normal 2 5 4 3 5 2 2 3" xfId="17833" xr:uid="{06C1BE0E-DE52-4F04-93F3-A3102D961B6F}"/>
    <cellStyle name="Normal 2 5 4 3 5 2 3" xfId="22915" xr:uid="{C8350B54-E911-449E-898E-5075E0F927BF}"/>
    <cellStyle name="Normal 2 5 4 3 5 2 4" xfId="13616" xr:uid="{1259A674-FD32-46A1-857F-F3DF89749C73}"/>
    <cellStyle name="Normal 2 5 4 3 5 3" xfId="6362" xr:uid="{00000000-0005-0000-0000-00004E110000}"/>
    <cellStyle name="Normal 2 5 4 3 5 3 2" xfId="24987" xr:uid="{7DC51AC7-4F46-4B6B-9309-A042AFDC6BEB}"/>
    <cellStyle name="Normal 2 5 4 3 5 3 3" xfId="15688" xr:uid="{B3D34692-4CAE-4189-B039-FD27FFB41C47}"/>
    <cellStyle name="Normal 2 5 4 3 5 4" xfId="20770" xr:uid="{3D7829F8-6A0D-418B-AF3A-E6077B9F2898}"/>
    <cellStyle name="Normal 2 5 4 3 5 5" xfId="11471" xr:uid="{FE7629C4-2514-4466-B702-18F3BCC87AE6}"/>
    <cellStyle name="Normal 2 5 4 3 6" xfId="2492" xr:uid="{00000000-0005-0000-0000-00004F110000}"/>
    <cellStyle name="Normal 2 5 4 3 6 2" xfId="6775" xr:uid="{00000000-0005-0000-0000-000050110000}"/>
    <cellStyle name="Normal 2 5 4 3 6 2 2" xfId="25400" xr:uid="{71CA37ED-5392-4FFD-B6C0-4E772D3F1EA9}"/>
    <cellStyle name="Normal 2 5 4 3 6 2 3" xfId="16101" xr:uid="{6B521440-574E-4EA4-B863-EF45A248CFE3}"/>
    <cellStyle name="Normal 2 5 4 3 6 3" xfId="21183" xr:uid="{B06E14F1-8436-4227-B0C3-284221CCD8E8}"/>
    <cellStyle name="Normal 2 5 4 3 6 4" xfId="11884" xr:uid="{8A619F3A-2D0B-42CC-B499-0528C73DBEF7}"/>
    <cellStyle name="Normal 2 5 4 3 7" xfId="4709" xr:uid="{00000000-0005-0000-0000-000051110000}"/>
    <cellStyle name="Normal 2 5 4 3 7 2" xfId="23334" xr:uid="{F3C06DB1-9156-4452-AD3D-3209946C5E45}"/>
    <cellStyle name="Normal 2 5 4 3 7 3" xfId="14035" xr:uid="{254ACFCE-5EA8-412D-A01E-FBD46C685561}"/>
    <cellStyle name="Normal 2 5 4 3 8" xfId="9023" xr:uid="{9B869639-3DD4-4511-AD70-D5125D34938F}"/>
    <cellStyle name="Normal 2 5 4 3 8 2" xfId="27646" xr:uid="{B84CD04D-2450-4A01-A0CF-3692FD0DC87C}"/>
    <cellStyle name="Normal 2 5 4 3 8 3" xfId="18347" xr:uid="{E15B235B-13C1-49AE-8A2F-84484673701B}"/>
    <cellStyle name="Normal 2 5 4 3 9" xfId="19117" xr:uid="{EEA98873-5305-46DB-977B-C202A5F375E0}"/>
    <cellStyle name="Normal 2 5 4 4" xfId="804" xr:uid="{00000000-0005-0000-0000-000052110000}"/>
    <cellStyle name="Normal 2 5 4 4 2" xfId="3043" xr:uid="{00000000-0005-0000-0000-000053110000}"/>
    <cellStyle name="Normal 2 5 4 4 2 2" xfId="7265" xr:uid="{00000000-0005-0000-0000-000054110000}"/>
    <cellStyle name="Normal 2 5 4 4 2 2 2" xfId="25890" xr:uid="{DE4A9D69-0C0E-4D01-9BAB-AE4727E33552}"/>
    <cellStyle name="Normal 2 5 4 4 2 2 3" xfId="16591" xr:uid="{91447A8B-6C3F-468F-B4AC-BCADED22D209}"/>
    <cellStyle name="Normal 2 5 4 4 2 3" xfId="21673" xr:uid="{D46833EC-86AA-4EBA-BADF-39FBB9F2E45E}"/>
    <cellStyle name="Normal 2 5 4 4 2 4" xfId="12374" xr:uid="{0C8279A3-352B-4F7F-BBE1-B9CB9DA91AAE}"/>
    <cellStyle name="Normal 2 5 4 4 3" xfId="5120" xr:uid="{00000000-0005-0000-0000-000055110000}"/>
    <cellStyle name="Normal 2 5 4 4 3 2" xfId="23745" xr:uid="{CA58468B-C9B9-4EE0-B504-954FAC9DA5D8}"/>
    <cellStyle name="Normal 2 5 4 4 3 3" xfId="14446" xr:uid="{D0DF8EAC-BD71-49FA-B7FC-26E1330A4733}"/>
    <cellStyle name="Normal 2 5 4 4 4" xfId="9241" xr:uid="{2BD2F05F-E4C9-46B4-B3C9-F0D081C1F38F}"/>
    <cellStyle name="Normal 2 5 4 4 4 2" xfId="27855" xr:uid="{6CB3FEBD-BE97-473A-9A8D-FED9334E94BF}"/>
    <cellStyle name="Normal 2 5 4 4 4 3" xfId="18556" xr:uid="{79E1D95F-FD14-4DCC-A625-8DE3BFF20109}"/>
    <cellStyle name="Normal 2 5 4 4 5" xfId="19528" xr:uid="{9ECA2C15-66F2-425D-AA93-1EAB825E9280}"/>
    <cellStyle name="Normal 2 5 4 4 6" xfId="10229" xr:uid="{7F8C1742-05BC-48CA-B3C9-693193F2626D}"/>
    <cellStyle name="Normal 2 5 4 5" xfId="1226" xr:uid="{00000000-0005-0000-0000-000056110000}"/>
    <cellStyle name="Normal 2 5 4 5 2" xfId="3456" xr:uid="{00000000-0005-0000-0000-000057110000}"/>
    <cellStyle name="Normal 2 5 4 5 2 2" xfId="7678" xr:uid="{00000000-0005-0000-0000-000058110000}"/>
    <cellStyle name="Normal 2 5 4 5 2 2 2" xfId="26303" xr:uid="{0FF2334D-DCBE-4094-BE7B-18D79B926D0A}"/>
    <cellStyle name="Normal 2 5 4 5 2 2 3" xfId="17004" xr:uid="{95D4F1B9-11E1-4C95-BB04-D9D696648D89}"/>
    <cellStyle name="Normal 2 5 4 5 2 3" xfId="22086" xr:uid="{17089F6D-B44D-48AB-88A8-7EE41225F39C}"/>
    <cellStyle name="Normal 2 5 4 5 2 4" xfId="12787" xr:uid="{02A055A9-C337-4F3E-93EB-F63F3A0E3AA8}"/>
    <cellStyle name="Normal 2 5 4 5 3" xfId="5533" xr:uid="{00000000-0005-0000-0000-000059110000}"/>
    <cellStyle name="Normal 2 5 4 5 3 2" xfId="24158" xr:uid="{34A0072B-6470-40AF-A709-DCB1FBE02D32}"/>
    <cellStyle name="Normal 2 5 4 5 3 3" xfId="14859" xr:uid="{2FF2C67A-43E4-4DAC-BD1A-68DC4DCE0BC3}"/>
    <cellStyle name="Normal 2 5 4 5 4" xfId="19941" xr:uid="{D6BE2102-BF98-45FF-92F7-EDEDB80E1E28}"/>
    <cellStyle name="Normal 2 5 4 5 5" xfId="10642" xr:uid="{A203CBFE-32F0-4C9C-ABEE-EB8B98F77E70}"/>
    <cellStyle name="Normal 2 5 4 6" xfId="1639" xr:uid="{00000000-0005-0000-0000-00005A110000}"/>
    <cellStyle name="Normal 2 5 4 6 2" xfId="3869" xr:uid="{00000000-0005-0000-0000-00005B110000}"/>
    <cellStyle name="Normal 2 5 4 6 2 2" xfId="8091" xr:uid="{00000000-0005-0000-0000-00005C110000}"/>
    <cellStyle name="Normal 2 5 4 6 2 2 2" xfId="26716" xr:uid="{EFE2CDED-9514-4F8E-B89F-8B12CABA2ABE}"/>
    <cellStyle name="Normal 2 5 4 6 2 2 3" xfId="17417" xr:uid="{58A2FE64-8665-4ACC-9B5D-8DF5B9F249AB}"/>
    <cellStyle name="Normal 2 5 4 6 2 3" xfId="22499" xr:uid="{57C27878-C881-47D1-8E17-6CD13FF8B0C8}"/>
    <cellStyle name="Normal 2 5 4 6 2 4" xfId="13200" xr:uid="{DF72F0BC-049B-42D3-811C-72947B6567D2}"/>
    <cellStyle name="Normal 2 5 4 6 3" xfId="5946" xr:uid="{00000000-0005-0000-0000-00005D110000}"/>
    <cellStyle name="Normal 2 5 4 6 3 2" xfId="24571" xr:uid="{E7E435AE-F41E-4EAC-956B-9F03C133FE65}"/>
    <cellStyle name="Normal 2 5 4 6 3 3" xfId="15272" xr:uid="{95260271-56D9-4881-A9EA-45D4CFE7F777}"/>
    <cellStyle name="Normal 2 5 4 6 4" xfId="20354" xr:uid="{521047C2-5404-4BBC-9F84-4E41A70DA620}"/>
    <cellStyle name="Normal 2 5 4 6 5" xfId="11055" xr:uid="{83A48096-3028-4E35-94C1-6927F8B140D8}"/>
    <cellStyle name="Normal 2 5 4 7" xfId="2053" xr:uid="{00000000-0005-0000-0000-00005E110000}"/>
    <cellStyle name="Normal 2 5 4 7 2" xfId="4282" xr:uid="{00000000-0005-0000-0000-00005F110000}"/>
    <cellStyle name="Normal 2 5 4 7 2 2" xfId="8504" xr:uid="{00000000-0005-0000-0000-000060110000}"/>
    <cellStyle name="Normal 2 5 4 7 2 2 2" xfId="27129" xr:uid="{229F96BA-77E1-444D-8789-F2EFA8EB9C1A}"/>
    <cellStyle name="Normal 2 5 4 7 2 2 3" xfId="17830" xr:uid="{8D4711D3-9934-4A0F-922C-863C0326AB4A}"/>
    <cellStyle name="Normal 2 5 4 7 2 3" xfId="22912" xr:uid="{4D694E93-9412-4F16-98EF-D28FC042DE34}"/>
    <cellStyle name="Normal 2 5 4 7 2 4" xfId="13613" xr:uid="{ADCB2A0C-5AFA-4116-A9BB-727C0763F535}"/>
    <cellStyle name="Normal 2 5 4 7 3" xfId="6359" xr:uid="{00000000-0005-0000-0000-000061110000}"/>
    <cellStyle name="Normal 2 5 4 7 3 2" xfId="24984" xr:uid="{D1AD7D9E-9FEB-47D6-A0EE-5DA60545D22E}"/>
    <cellStyle name="Normal 2 5 4 7 3 3" xfId="15685" xr:uid="{0853E25F-1A51-4CB3-B0B2-B0D9601D1FDC}"/>
    <cellStyle name="Normal 2 5 4 7 4" xfId="20767" xr:uid="{57077219-5C89-4AE3-BAEE-6F60162B47BE}"/>
    <cellStyle name="Normal 2 5 4 7 5" xfId="11468" xr:uid="{4F8C004B-6DF2-4DDD-9611-47E96DAB4164}"/>
    <cellStyle name="Normal 2 5 4 8" xfId="2489" xr:uid="{00000000-0005-0000-0000-000062110000}"/>
    <cellStyle name="Normal 2 5 4 8 2" xfId="6772" xr:uid="{00000000-0005-0000-0000-000063110000}"/>
    <cellStyle name="Normal 2 5 4 8 2 2" xfId="25397" xr:uid="{13E6685C-5A1A-48BD-893D-31DC6ECE549C}"/>
    <cellStyle name="Normal 2 5 4 8 2 3" xfId="16098" xr:uid="{C6A04C78-3640-4666-A427-484F02434B6E}"/>
    <cellStyle name="Normal 2 5 4 8 3" xfId="21180" xr:uid="{D4D64405-14E3-43A0-A789-A79A313B83C7}"/>
    <cellStyle name="Normal 2 5 4 8 4" xfId="11881" xr:uid="{ED371DCE-708B-42C3-BBAD-AA90CF210C63}"/>
    <cellStyle name="Normal 2 5 4 9" xfId="4706" xr:uid="{00000000-0005-0000-0000-000064110000}"/>
    <cellStyle name="Normal 2 5 4 9 2" xfId="23331" xr:uid="{00AD84AC-231C-42AD-8492-6756DE45F5E2}"/>
    <cellStyle name="Normal 2 5 4 9 3" xfId="14032" xr:uid="{2CC2EBE7-A9EB-40EB-B164-EA83DD805C48}"/>
    <cellStyle name="Normal 2 5 5" xfId="803" xr:uid="{00000000-0005-0000-0000-000065110000}"/>
    <cellStyle name="Normal 2 5 5 2" xfId="3042" xr:uid="{00000000-0005-0000-0000-000066110000}"/>
    <cellStyle name="Normal 2 5 5 2 2" xfId="7264" xr:uid="{00000000-0005-0000-0000-000067110000}"/>
    <cellStyle name="Normal 2 5 5 2 2 2" xfId="25889" xr:uid="{52BB50C0-AE52-40E2-A17F-E2A55824BAB8}"/>
    <cellStyle name="Normal 2 5 5 2 2 3" xfId="16590" xr:uid="{DF5F9CE8-4C79-4E7D-A94A-BF2FF75DCB94}"/>
    <cellStyle name="Normal 2 5 5 2 3" xfId="21672" xr:uid="{553F41E6-48A9-4E85-B2C5-10CC873B1E0B}"/>
    <cellStyle name="Normal 2 5 5 2 4" xfId="12373" xr:uid="{551379C1-A6C7-45DC-A64A-F5A7883D54F6}"/>
    <cellStyle name="Normal 2 5 5 3" xfId="5119" xr:uid="{00000000-0005-0000-0000-000068110000}"/>
    <cellStyle name="Normal 2 5 5 3 2" xfId="23744" xr:uid="{671B0CA2-F830-448A-BC02-49E19716DC9B}"/>
    <cellStyle name="Normal 2 5 5 3 3" xfId="14445" xr:uid="{803FC93D-E04C-461A-B1B3-C3B8D4502207}"/>
    <cellStyle name="Normal 2 5 5 4" xfId="9606" xr:uid="{3AE4D77A-44EE-40C2-9F71-05FBDE2746B2}"/>
    <cellStyle name="Normal 2 5 5 4 2" xfId="28206" xr:uid="{E081DC57-AD25-4ADE-B95D-A01A4FC8DFAD}"/>
    <cellStyle name="Normal 2 5 5 4 3" xfId="18907" xr:uid="{246F96E3-5C7B-40CE-8BCE-F2041343311C}"/>
    <cellStyle name="Normal 2 5 5 5" xfId="19527" xr:uid="{13934046-8806-4D00-B8CF-4541C3F514F5}"/>
    <cellStyle name="Normal 2 5 5 6" xfId="10228" xr:uid="{D2FA71A0-DC80-4CA8-8971-0B9F44E4FB42}"/>
    <cellStyle name="Normal 2 5 6" xfId="1225" xr:uid="{00000000-0005-0000-0000-000069110000}"/>
    <cellStyle name="Normal 2 5 6 2" xfId="3455" xr:uid="{00000000-0005-0000-0000-00006A110000}"/>
    <cellStyle name="Normal 2 5 6 2 2" xfId="7677" xr:uid="{00000000-0005-0000-0000-00006B110000}"/>
    <cellStyle name="Normal 2 5 6 2 2 2" xfId="26302" xr:uid="{081372D8-530C-4C8F-B54E-F483E00C2DA6}"/>
    <cellStyle name="Normal 2 5 6 2 2 3" xfId="17003" xr:uid="{7ACEF980-BDA1-4B32-B8B9-A5EF36D3D208}"/>
    <cellStyle name="Normal 2 5 6 2 3" xfId="22085" xr:uid="{34BEFD11-5914-40AF-8263-1C24AD727B9C}"/>
    <cellStyle name="Normal 2 5 6 2 4" xfId="12786" xr:uid="{3549C4FF-B9AF-4EEC-A392-7591C5D42971}"/>
    <cellStyle name="Normal 2 5 6 3" xfId="5532" xr:uid="{00000000-0005-0000-0000-00006C110000}"/>
    <cellStyle name="Normal 2 5 6 3 2" xfId="24157" xr:uid="{5BA24C43-AB15-4B25-8C24-3B7682921E82}"/>
    <cellStyle name="Normal 2 5 6 3 3" xfId="14858" xr:uid="{20DBC1C8-BE42-4223-87BC-CE2FAA7EED24}"/>
    <cellStyle name="Normal 2 5 6 4" xfId="19940" xr:uid="{8BA87D89-043A-49D9-AC65-E04486B8D1BC}"/>
    <cellStyle name="Normal 2 5 6 5" xfId="10641" xr:uid="{E022928D-7166-4D15-BD3F-12CB29F4DF33}"/>
    <cellStyle name="Normal 2 5 7" xfId="1638" xr:uid="{00000000-0005-0000-0000-00006D110000}"/>
    <cellStyle name="Normal 2 5 7 2" xfId="3868" xr:uid="{00000000-0005-0000-0000-00006E110000}"/>
    <cellStyle name="Normal 2 5 7 2 2" xfId="8090" xr:uid="{00000000-0005-0000-0000-00006F110000}"/>
    <cellStyle name="Normal 2 5 7 2 2 2" xfId="26715" xr:uid="{36F62789-E973-4F8C-9B02-2058E224BC54}"/>
    <cellStyle name="Normal 2 5 7 2 2 3" xfId="17416" xr:uid="{D62FBD65-352D-48D8-9800-B3DECE783438}"/>
    <cellStyle name="Normal 2 5 7 2 3" xfId="22498" xr:uid="{1B6E08C1-AF50-4921-8746-E0554816526F}"/>
    <cellStyle name="Normal 2 5 7 2 4" xfId="13199" xr:uid="{ED4D2A91-B773-4527-8728-5F93BE3D8375}"/>
    <cellStyle name="Normal 2 5 7 3" xfId="5945" xr:uid="{00000000-0005-0000-0000-000070110000}"/>
    <cellStyle name="Normal 2 5 7 3 2" xfId="24570" xr:uid="{444AEF09-5245-48A2-B09E-C4ABA757803F}"/>
    <cellStyle name="Normal 2 5 7 3 3" xfId="15271" xr:uid="{31390A9A-F225-4147-9521-D719FD8ABC55}"/>
    <cellStyle name="Normal 2 5 7 4" xfId="20353" xr:uid="{C064961A-4841-4E65-9AEA-89794570A5A3}"/>
    <cellStyle name="Normal 2 5 7 5" xfId="11054" xr:uid="{DD1F1B3D-5760-4F79-919C-2108875B2E2C}"/>
    <cellStyle name="Normal 2 5 8" xfId="2052" xr:uid="{00000000-0005-0000-0000-000071110000}"/>
    <cellStyle name="Normal 2 5 8 2" xfId="4281" xr:uid="{00000000-0005-0000-0000-000072110000}"/>
    <cellStyle name="Normal 2 5 8 2 2" xfId="8503" xr:uid="{00000000-0005-0000-0000-000073110000}"/>
    <cellStyle name="Normal 2 5 8 2 2 2" xfId="27128" xr:uid="{B4845E1E-7010-45D4-B5CF-A7BA6CDA905F}"/>
    <cellStyle name="Normal 2 5 8 2 2 3" xfId="17829" xr:uid="{493215EE-7FEF-414E-9360-5A7554260851}"/>
    <cellStyle name="Normal 2 5 8 2 3" xfId="22911" xr:uid="{3CDE348D-1F80-4E00-82F9-723C083EECC1}"/>
    <cellStyle name="Normal 2 5 8 2 4" xfId="13612" xr:uid="{89B28E1D-E5C5-4879-920F-49A2417D98B7}"/>
    <cellStyle name="Normal 2 5 8 3" xfId="6358" xr:uid="{00000000-0005-0000-0000-000074110000}"/>
    <cellStyle name="Normal 2 5 8 3 2" xfId="24983" xr:uid="{139A8623-D5D9-4E42-8E29-EB17D308AEF0}"/>
    <cellStyle name="Normal 2 5 8 3 3" xfId="15684" xr:uid="{305986B1-664B-4F2F-9338-AAAB008D77A2}"/>
    <cellStyle name="Normal 2 5 8 4" xfId="20766" xr:uid="{7D2C48C9-1C25-4AF9-B4AF-15636670994A}"/>
    <cellStyle name="Normal 2 5 8 5" xfId="11467" xr:uid="{EE3C6245-1D89-4898-BE98-2BC9318E5699}"/>
    <cellStyle name="Normal 2 5 9" xfId="2488" xr:uid="{00000000-0005-0000-0000-000075110000}"/>
    <cellStyle name="Normal 2 5 9 2" xfId="6771" xr:uid="{00000000-0005-0000-0000-000076110000}"/>
    <cellStyle name="Normal 2 5 9 2 2" xfId="25396" xr:uid="{5B764EC6-9D1A-4445-840D-83368C75BFBB}"/>
    <cellStyle name="Normal 2 5 9 2 3" xfId="16097" xr:uid="{7EA6AE02-721B-404F-815D-2AF3F7CF9AF0}"/>
    <cellStyle name="Normal 2 5 9 3" xfId="21179" xr:uid="{3434AFB1-CBFB-4962-99B1-254C2D1B3173}"/>
    <cellStyle name="Normal 2 5 9 4" xfId="11880" xr:uid="{B425A020-6E63-496B-B9B9-91DD8D812CF1}"/>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7 3 2" xfId="27778" xr:uid="{4F2EFAFB-33E1-41DD-B8DE-4BD311B5FE47}"/>
    <cellStyle name="Normal 2 7 3 3" xfId="18479" xr:uid="{D4FB2599-335B-47B7-88A6-4841BA12E9CF}"/>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10" xfId="19118" xr:uid="{91CBE1DC-6487-4C8C-9809-D59BDB156010}"/>
    <cellStyle name="Normal 3 2 11" xfId="9819" xr:uid="{9581BDB8-4A6C-4A91-9C2F-17E076BBC9A1}"/>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10 2" xfId="27440" xr:uid="{4B8E69ED-0545-4FAD-87CD-FA8AD2894AE4}"/>
    <cellStyle name="Normal 3 2 3 10 3" xfId="18141" xr:uid="{63E44599-61AB-46A8-9727-0B68DC606DF3}"/>
    <cellStyle name="Normal 3 2 3 11" xfId="19119" xr:uid="{C8775173-F58C-479C-8FB1-75FF4CE3A61A}"/>
    <cellStyle name="Normal 3 2 3 12" xfId="9820" xr:uid="{1E93C0E5-DCA9-4D0B-A2CA-7B756BC82A4E}"/>
    <cellStyle name="Normal 3 2 3 2" xfId="327" xr:uid="{00000000-0005-0000-0000-00007F110000}"/>
    <cellStyle name="Normal 3 2 3 2 10" xfId="19120" xr:uid="{0A441C72-866B-40FC-ABD2-DB4B52C7DC2D}"/>
    <cellStyle name="Normal 3 2 3 2 11" xfId="9821" xr:uid="{ACC85F0A-A158-410E-BB99-C37C83FA5F7D}"/>
    <cellStyle name="Normal 3 2 3 2 2" xfId="328" xr:uid="{00000000-0005-0000-0000-000080110000}"/>
    <cellStyle name="Normal 3 2 3 2 2 10" xfId="9822" xr:uid="{0659384E-FA68-42D4-9406-C73ED6901D09}"/>
    <cellStyle name="Normal 3 2 3 2 2 2" xfId="813" xr:uid="{00000000-0005-0000-0000-000081110000}"/>
    <cellStyle name="Normal 3 2 3 2 2 2 2" xfId="3050" xr:uid="{00000000-0005-0000-0000-000082110000}"/>
    <cellStyle name="Normal 3 2 3 2 2 2 2 2" xfId="7272" xr:uid="{00000000-0005-0000-0000-000083110000}"/>
    <cellStyle name="Normal 3 2 3 2 2 2 2 2 2" xfId="25897" xr:uid="{E368C590-A83A-4BA4-AD0B-6CE604F44B05}"/>
    <cellStyle name="Normal 3 2 3 2 2 2 2 2 3" xfId="16598" xr:uid="{0F85C106-70E6-4849-AD65-22B20152890D}"/>
    <cellStyle name="Normal 3 2 3 2 2 2 2 3" xfId="21680" xr:uid="{81551026-7F3D-418C-9264-18508E367A94}"/>
    <cellStyle name="Normal 3 2 3 2 2 2 2 4" xfId="12381" xr:uid="{E578CD1F-8546-4D78-9CD3-1A64E692F258}"/>
    <cellStyle name="Normal 3 2 3 2 2 2 3" xfId="5127" xr:uid="{00000000-0005-0000-0000-000084110000}"/>
    <cellStyle name="Normal 3 2 3 2 2 2 3 2" xfId="23752" xr:uid="{1ABAE97F-D1C4-4D2E-839A-A03A239C8C20}"/>
    <cellStyle name="Normal 3 2 3 2 2 2 3 3" xfId="14453" xr:uid="{52EBE437-FFA3-48C1-819A-CA7B0A366A00}"/>
    <cellStyle name="Normal 3 2 3 2 2 2 4" xfId="9552" xr:uid="{54198C1B-8B77-4C07-BFED-28C4D4E00A0C}"/>
    <cellStyle name="Normal 3 2 3 2 2 2 4 2" xfId="28166" xr:uid="{64F55A49-39CA-4E41-962A-769CF09E2A51}"/>
    <cellStyle name="Normal 3 2 3 2 2 2 4 3" xfId="18867" xr:uid="{8DAD81B4-1549-4491-8BDE-5D6FFC5F0C62}"/>
    <cellStyle name="Normal 3 2 3 2 2 2 5" xfId="19535" xr:uid="{D149FE71-8B50-4E3C-9ABD-89E5EAF049B7}"/>
    <cellStyle name="Normal 3 2 3 2 2 2 6" xfId="10236" xr:uid="{24E1441C-E130-4018-AD6B-95B6C2F5C6B4}"/>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2 2 2" xfId="26310" xr:uid="{33120633-A85C-48CA-B8BB-8EFA1399DB90}"/>
    <cellStyle name="Normal 3 2 3 2 2 3 2 2 3" xfId="17011" xr:uid="{A531201D-CBB6-44F9-BBAB-D978BBA606B4}"/>
    <cellStyle name="Normal 3 2 3 2 2 3 2 3" xfId="22093" xr:uid="{B79088E2-8EDF-401C-84B6-602083608CE5}"/>
    <cellStyle name="Normal 3 2 3 2 2 3 2 4" xfId="12794" xr:uid="{C58115F9-D22B-4BBE-AF3C-AA9F38186A0B}"/>
    <cellStyle name="Normal 3 2 3 2 2 3 3" xfId="5540" xr:uid="{00000000-0005-0000-0000-000088110000}"/>
    <cellStyle name="Normal 3 2 3 2 2 3 3 2" xfId="24165" xr:uid="{1CA0BCF0-4EFD-4473-B457-AE72BAFD2889}"/>
    <cellStyle name="Normal 3 2 3 2 2 3 3 3" xfId="14866" xr:uid="{4899B5F9-6071-411E-9864-1A47C0755272}"/>
    <cellStyle name="Normal 3 2 3 2 2 3 4" xfId="19948" xr:uid="{79C37F45-2E20-4EED-B70A-54ADA2754C91}"/>
    <cellStyle name="Normal 3 2 3 2 2 3 5" xfId="10649" xr:uid="{00719859-1D34-40A4-AD90-E23FA90E3BF8}"/>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2 2 2" xfId="26723" xr:uid="{313DD759-99C8-4482-875F-5FB20D2CF2F3}"/>
    <cellStyle name="Normal 3 2 3 2 2 4 2 2 3" xfId="17424" xr:uid="{3FDD32E1-AE71-4026-A4A6-24089FAF9355}"/>
    <cellStyle name="Normal 3 2 3 2 2 4 2 3" xfId="22506" xr:uid="{3446B7C5-21FD-44F3-8AED-13BAA4B7853E}"/>
    <cellStyle name="Normal 3 2 3 2 2 4 2 4" xfId="13207" xr:uid="{72E26C5C-F6F1-4EEC-BB9B-95C772CC6683}"/>
    <cellStyle name="Normal 3 2 3 2 2 4 3" xfId="5953" xr:uid="{00000000-0005-0000-0000-00008C110000}"/>
    <cellStyle name="Normal 3 2 3 2 2 4 3 2" xfId="24578" xr:uid="{A99DCD48-EDA2-43F3-9970-24534A9ED506}"/>
    <cellStyle name="Normal 3 2 3 2 2 4 3 3" xfId="15279" xr:uid="{1276436C-3C6C-47E1-8E05-B5A4B773A9B7}"/>
    <cellStyle name="Normal 3 2 3 2 2 4 4" xfId="20361" xr:uid="{42947F11-AD87-4369-AFFD-0236D933C105}"/>
    <cellStyle name="Normal 3 2 3 2 2 4 5" xfId="11062" xr:uid="{DE287ED2-1295-4F4C-B503-7CFF5690CF68}"/>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2 2 2" xfId="27136" xr:uid="{84CDBFF5-58CE-40F4-85BA-FC9E7AA78F03}"/>
    <cellStyle name="Normal 3 2 3 2 2 5 2 2 3" xfId="17837" xr:uid="{A4CECF7E-9D95-4447-86E2-90D4B7D0CF2C}"/>
    <cellStyle name="Normal 3 2 3 2 2 5 2 3" xfId="22919" xr:uid="{568CEE8C-5F64-47AB-A0BB-7ABED926591E}"/>
    <cellStyle name="Normal 3 2 3 2 2 5 2 4" xfId="13620" xr:uid="{6C51AF29-AE6E-436D-9449-F5285D395868}"/>
    <cellStyle name="Normal 3 2 3 2 2 5 3" xfId="6366" xr:uid="{00000000-0005-0000-0000-000090110000}"/>
    <cellStyle name="Normal 3 2 3 2 2 5 3 2" xfId="24991" xr:uid="{CF4B76D9-0164-4D6E-8EBC-3ADECCFE6036}"/>
    <cellStyle name="Normal 3 2 3 2 2 5 3 3" xfId="15692" xr:uid="{96CB4C16-D078-4FBD-B2D2-DC2184B25271}"/>
    <cellStyle name="Normal 3 2 3 2 2 5 4" xfId="20774" xr:uid="{42C4C96B-A64B-4851-9C53-4BA26555C6EE}"/>
    <cellStyle name="Normal 3 2 3 2 2 5 5" xfId="11475" xr:uid="{7A938C7E-9BEF-4C05-B62A-10CDB057F388}"/>
    <cellStyle name="Normal 3 2 3 2 2 6" xfId="2496" xr:uid="{00000000-0005-0000-0000-000091110000}"/>
    <cellStyle name="Normal 3 2 3 2 2 6 2" xfId="6779" xr:uid="{00000000-0005-0000-0000-000092110000}"/>
    <cellStyle name="Normal 3 2 3 2 2 6 2 2" xfId="25404" xr:uid="{B3989DB6-1DFD-4334-99BA-EE5DDEEBA8B2}"/>
    <cellStyle name="Normal 3 2 3 2 2 6 2 3" xfId="16105" xr:uid="{A3354436-843B-4C32-9DA5-9A368FC61DAD}"/>
    <cellStyle name="Normal 3 2 3 2 2 6 3" xfId="21187" xr:uid="{6A9D709A-2668-4EC4-81DF-7319004DFE4B}"/>
    <cellStyle name="Normal 3 2 3 2 2 6 4" xfId="11888" xr:uid="{101BABD3-6819-4BC4-AA63-DFC2331A0209}"/>
    <cellStyle name="Normal 3 2 3 2 2 7" xfId="4713" xr:uid="{00000000-0005-0000-0000-000093110000}"/>
    <cellStyle name="Normal 3 2 3 2 2 7 2" xfId="23338" xr:uid="{A881950F-3993-4DC4-8D27-31168184ACE0}"/>
    <cellStyle name="Normal 3 2 3 2 2 7 3" xfId="14039" xr:uid="{87BFA3DA-1A46-4543-95FC-2B8F2973545D}"/>
    <cellStyle name="Normal 3 2 3 2 2 8" xfId="9127" xr:uid="{0583B12A-AAD6-4358-9C0C-42D6EBC3DFD8}"/>
    <cellStyle name="Normal 3 2 3 2 2 8 2" xfId="27750" xr:uid="{F5469C9C-4903-4454-85B7-4D950E31ABAC}"/>
    <cellStyle name="Normal 3 2 3 2 2 8 3" xfId="18451" xr:uid="{EC0FB8EE-CCC4-4D96-B85C-B3C62C5F9358}"/>
    <cellStyle name="Normal 3 2 3 2 2 9" xfId="19121" xr:uid="{51F2D5AE-495A-4B98-97A8-B7F2F156BBFC}"/>
    <cellStyle name="Normal 3 2 3 2 3" xfId="812" xr:uid="{00000000-0005-0000-0000-000094110000}"/>
    <cellStyle name="Normal 3 2 3 2 3 2" xfId="3049" xr:uid="{00000000-0005-0000-0000-000095110000}"/>
    <cellStyle name="Normal 3 2 3 2 3 2 2" xfId="7271" xr:uid="{00000000-0005-0000-0000-000096110000}"/>
    <cellStyle name="Normal 3 2 3 2 3 2 2 2" xfId="25896" xr:uid="{FDEDEDF4-B5B5-4C2D-9DA7-07D9526CDB23}"/>
    <cellStyle name="Normal 3 2 3 2 3 2 2 3" xfId="16597" xr:uid="{1DABB99A-B422-4E4D-BD99-E497B8888D51}"/>
    <cellStyle name="Normal 3 2 3 2 3 2 3" xfId="21679" xr:uid="{53831B0D-5542-4EE0-8028-0D32AA151CC9}"/>
    <cellStyle name="Normal 3 2 3 2 3 2 4" xfId="12380" xr:uid="{F64FF4E4-A188-47E8-A405-0DFD74AFF404}"/>
    <cellStyle name="Normal 3 2 3 2 3 3" xfId="5126" xr:uid="{00000000-0005-0000-0000-000097110000}"/>
    <cellStyle name="Normal 3 2 3 2 3 3 2" xfId="23751" xr:uid="{D27A7EDA-1704-4E3E-8726-7DDC8279AC6F}"/>
    <cellStyle name="Normal 3 2 3 2 3 3 3" xfId="14452" xr:uid="{11A18735-E32A-46C3-8EFB-BA4A11AB8BB5}"/>
    <cellStyle name="Normal 3 2 3 2 3 4" xfId="9345" xr:uid="{C34A3811-3C7F-4E99-A17A-CCF74A426C86}"/>
    <cellStyle name="Normal 3 2 3 2 3 4 2" xfId="27959" xr:uid="{30185517-DE67-446F-B427-28391AF6B8CD}"/>
    <cellStyle name="Normal 3 2 3 2 3 4 3" xfId="18660" xr:uid="{44A0A4CD-7A76-46D9-9BC7-8F883ABEE90A}"/>
    <cellStyle name="Normal 3 2 3 2 3 5" xfId="19534" xr:uid="{800A7C28-EDE0-4E6F-8785-FE85722199C5}"/>
    <cellStyle name="Normal 3 2 3 2 3 6" xfId="10235" xr:uid="{75C32C78-5A54-4E02-A9EB-038A73AFAE6A}"/>
    <cellStyle name="Normal 3 2 3 2 4" xfId="1232" xr:uid="{00000000-0005-0000-0000-000098110000}"/>
    <cellStyle name="Normal 3 2 3 2 4 2" xfId="3462" xr:uid="{00000000-0005-0000-0000-000099110000}"/>
    <cellStyle name="Normal 3 2 3 2 4 2 2" xfId="7684" xr:uid="{00000000-0005-0000-0000-00009A110000}"/>
    <cellStyle name="Normal 3 2 3 2 4 2 2 2" xfId="26309" xr:uid="{5DA57E51-133E-4BEF-B8C9-D806FEB7DCA2}"/>
    <cellStyle name="Normal 3 2 3 2 4 2 2 3" xfId="17010" xr:uid="{77A2E1A8-3946-4D0F-A0DD-A4A194257886}"/>
    <cellStyle name="Normal 3 2 3 2 4 2 3" xfId="22092" xr:uid="{AC1910FE-238A-4CD3-84DA-F05417863107}"/>
    <cellStyle name="Normal 3 2 3 2 4 2 4" xfId="12793" xr:uid="{F37D17A5-A6CC-49E6-AD0D-66D777D33F10}"/>
    <cellStyle name="Normal 3 2 3 2 4 3" xfId="5539" xr:uid="{00000000-0005-0000-0000-00009B110000}"/>
    <cellStyle name="Normal 3 2 3 2 4 3 2" xfId="24164" xr:uid="{44B20DD5-0D24-42AF-867D-247E052ED685}"/>
    <cellStyle name="Normal 3 2 3 2 4 3 3" xfId="14865" xr:uid="{DCC97A44-DC86-4230-A899-F456AC6E1D0A}"/>
    <cellStyle name="Normal 3 2 3 2 4 4" xfId="19947" xr:uid="{E0DA4DDD-0840-4124-A46F-0DB00390ACBF}"/>
    <cellStyle name="Normal 3 2 3 2 4 5" xfId="10648" xr:uid="{86D522E7-3062-4108-A124-A518A3FCD224}"/>
    <cellStyle name="Normal 3 2 3 2 5" xfId="1645" xr:uid="{00000000-0005-0000-0000-00009C110000}"/>
    <cellStyle name="Normal 3 2 3 2 5 2" xfId="3875" xr:uid="{00000000-0005-0000-0000-00009D110000}"/>
    <cellStyle name="Normal 3 2 3 2 5 2 2" xfId="8097" xr:uid="{00000000-0005-0000-0000-00009E110000}"/>
    <cellStyle name="Normal 3 2 3 2 5 2 2 2" xfId="26722" xr:uid="{AC489348-DEB7-4EEB-BCE4-C4A9743423AE}"/>
    <cellStyle name="Normal 3 2 3 2 5 2 2 3" xfId="17423" xr:uid="{1220724B-498B-412E-B33E-7EF1350A695E}"/>
    <cellStyle name="Normal 3 2 3 2 5 2 3" xfId="22505" xr:uid="{5CDA2A68-619C-4232-BA4E-0773A1109017}"/>
    <cellStyle name="Normal 3 2 3 2 5 2 4" xfId="13206" xr:uid="{8DDAA4B5-69DF-43C9-8E68-A49BED5EE8E0}"/>
    <cellStyle name="Normal 3 2 3 2 5 3" xfId="5952" xr:uid="{00000000-0005-0000-0000-00009F110000}"/>
    <cellStyle name="Normal 3 2 3 2 5 3 2" xfId="24577" xr:uid="{1C3683FB-FB58-440D-9F15-BEADA10A04FB}"/>
    <cellStyle name="Normal 3 2 3 2 5 3 3" xfId="15278" xr:uid="{EEC6DBC9-8F94-4754-8E5A-15B5EFAC49AA}"/>
    <cellStyle name="Normal 3 2 3 2 5 4" xfId="20360" xr:uid="{68B4F7B4-D7A2-446E-9729-8569E360513C}"/>
    <cellStyle name="Normal 3 2 3 2 5 5" xfId="11061" xr:uid="{2538AB7E-B516-4C38-9F00-8312817905EC}"/>
    <cellStyle name="Normal 3 2 3 2 6" xfId="2059" xr:uid="{00000000-0005-0000-0000-0000A0110000}"/>
    <cellStyle name="Normal 3 2 3 2 6 2" xfId="4288" xr:uid="{00000000-0005-0000-0000-0000A1110000}"/>
    <cellStyle name="Normal 3 2 3 2 6 2 2" xfId="8510" xr:uid="{00000000-0005-0000-0000-0000A2110000}"/>
    <cellStyle name="Normal 3 2 3 2 6 2 2 2" xfId="27135" xr:uid="{14825AF6-606A-4D6E-B43F-8E0B9DDFD218}"/>
    <cellStyle name="Normal 3 2 3 2 6 2 2 3" xfId="17836" xr:uid="{DE363E4B-3F98-41BE-B2E0-493D00E7AC9D}"/>
    <cellStyle name="Normal 3 2 3 2 6 2 3" xfId="22918" xr:uid="{E6C20AA0-A7D0-4D92-A3CF-3B3F30B68A01}"/>
    <cellStyle name="Normal 3 2 3 2 6 2 4" xfId="13619" xr:uid="{9C264D2F-8E27-4151-B316-0A0D5327DF51}"/>
    <cellStyle name="Normal 3 2 3 2 6 3" xfId="6365" xr:uid="{00000000-0005-0000-0000-0000A3110000}"/>
    <cellStyle name="Normal 3 2 3 2 6 3 2" xfId="24990" xr:uid="{4F3DD822-8D38-4EE6-8ACB-C5182CFEDA3D}"/>
    <cellStyle name="Normal 3 2 3 2 6 3 3" xfId="15691" xr:uid="{840C5412-F224-475E-976A-697667441436}"/>
    <cellStyle name="Normal 3 2 3 2 6 4" xfId="20773" xr:uid="{D6937CE4-A0CD-4804-A029-AB01ACAA6A14}"/>
    <cellStyle name="Normal 3 2 3 2 6 5" xfId="11474" xr:uid="{F0777FFC-FA82-4E9A-B374-D508E6D6E005}"/>
    <cellStyle name="Normal 3 2 3 2 7" xfId="2495" xr:uid="{00000000-0005-0000-0000-0000A4110000}"/>
    <cellStyle name="Normal 3 2 3 2 7 2" xfId="6778" xr:uid="{00000000-0005-0000-0000-0000A5110000}"/>
    <cellStyle name="Normal 3 2 3 2 7 2 2" xfId="25403" xr:uid="{F56B4ED7-BA37-4746-A40E-8C219C2096DF}"/>
    <cellStyle name="Normal 3 2 3 2 7 2 3" xfId="16104" xr:uid="{B88B85AE-006B-438B-982D-ADE0FA23FFCA}"/>
    <cellStyle name="Normal 3 2 3 2 7 3" xfId="21186" xr:uid="{E0ED807B-420B-447D-949D-BB504421922D}"/>
    <cellStyle name="Normal 3 2 3 2 7 4" xfId="11887" xr:uid="{9A8AF9B0-BD80-4D01-BCE9-619628361A59}"/>
    <cellStyle name="Normal 3 2 3 2 8" xfId="4712" xr:uid="{00000000-0005-0000-0000-0000A6110000}"/>
    <cellStyle name="Normal 3 2 3 2 8 2" xfId="23337" xr:uid="{E7CCCAE8-9217-433F-BBD9-D984515C4050}"/>
    <cellStyle name="Normal 3 2 3 2 8 3" xfId="14038" xr:uid="{C4263C4E-8F51-4728-9B9F-B203B9EF0159}"/>
    <cellStyle name="Normal 3 2 3 2 9" xfId="8920" xr:uid="{D9E0825A-068A-435C-BDBE-2C0571A11FAF}"/>
    <cellStyle name="Normal 3 2 3 2 9 2" xfId="27543" xr:uid="{92AA0DE0-168C-4F83-8167-284107FD7A90}"/>
    <cellStyle name="Normal 3 2 3 2 9 3" xfId="18244" xr:uid="{5A157266-47B4-4226-9714-DCDEE04337DF}"/>
    <cellStyle name="Normal 3 2 3 3" xfId="329" xr:uid="{00000000-0005-0000-0000-0000A7110000}"/>
    <cellStyle name="Normal 3 2 3 3 10" xfId="9823" xr:uid="{3D8C2E76-4067-4454-B099-DDA15B398441}"/>
    <cellStyle name="Normal 3 2 3 3 2" xfId="814" xr:uid="{00000000-0005-0000-0000-0000A8110000}"/>
    <cellStyle name="Normal 3 2 3 3 2 2" xfId="3051" xr:uid="{00000000-0005-0000-0000-0000A9110000}"/>
    <cellStyle name="Normal 3 2 3 3 2 2 2" xfId="7273" xr:uid="{00000000-0005-0000-0000-0000AA110000}"/>
    <cellStyle name="Normal 3 2 3 3 2 2 2 2" xfId="25898" xr:uid="{DD4C57DC-48E1-4EC9-9565-06BC41FADAE5}"/>
    <cellStyle name="Normal 3 2 3 3 2 2 2 3" xfId="16599" xr:uid="{06F6C21A-1FCE-4424-BE30-AD7649562322}"/>
    <cellStyle name="Normal 3 2 3 3 2 2 3" xfId="21681" xr:uid="{7C7F1B9C-ACCA-4387-9D1C-E7CD07E2E6A9}"/>
    <cellStyle name="Normal 3 2 3 3 2 2 4" xfId="12382" xr:uid="{8C8E08E4-594D-44A6-8B8B-3F14D36690C6}"/>
    <cellStyle name="Normal 3 2 3 3 2 3" xfId="5128" xr:uid="{00000000-0005-0000-0000-0000AB110000}"/>
    <cellStyle name="Normal 3 2 3 3 2 3 2" xfId="23753" xr:uid="{B43F742E-1F52-43FB-B628-95353CC16A5E}"/>
    <cellStyle name="Normal 3 2 3 3 2 3 3" xfId="14454" xr:uid="{ED2018E5-5398-47A1-BDB6-DE44AA149D6C}"/>
    <cellStyle name="Normal 3 2 3 3 2 4" xfId="9449" xr:uid="{7F58A2DC-DF16-44D1-8D09-04DD41EF4468}"/>
    <cellStyle name="Normal 3 2 3 3 2 4 2" xfId="28063" xr:uid="{60706588-1A9C-4D54-9E83-687349B885A9}"/>
    <cellStyle name="Normal 3 2 3 3 2 4 3" xfId="18764" xr:uid="{47B4A87A-357F-4FF8-9150-4E11D884554F}"/>
    <cellStyle name="Normal 3 2 3 3 2 5" xfId="19536" xr:uid="{BCAFDE49-1F3E-4605-86F8-E9CEE6EA0D46}"/>
    <cellStyle name="Normal 3 2 3 3 2 6" xfId="10237" xr:uid="{D015000D-639D-4E8A-B030-0354FBE34C14}"/>
    <cellStyle name="Normal 3 2 3 3 3" xfId="1234" xr:uid="{00000000-0005-0000-0000-0000AC110000}"/>
    <cellStyle name="Normal 3 2 3 3 3 2" xfId="3464" xr:uid="{00000000-0005-0000-0000-0000AD110000}"/>
    <cellStyle name="Normal 3 2 3 3 3 2 2" xfId="7686" xr:uid="{00000000-0005-0000-0000-0000AE110000}"/>
    <cellStyle name="Normal 3 2 3 3 3 2 2 2" xfId="26311" xr:uid="{F3393F7B-43D0-46D8-902B-726E8F1E19B6}"/>
    <cellStyle name="Normal 3 2 3 3 3 2 2 3" xfId="17012" xr:uid="{EB817C5B-247F-415E-BEEF-2EDB4E9E6C34}"/>
    <cellStyle name="Normal 3 2 3 3 3 2 3" xfId="22094" xr:uid="{C53520A6-6C52-4E98-9F6C-24AD43485C92}"/>
    <cellStyle name="Normal 3 2 3 3 3 2 4" xfId="12795" xr:uid="{AB62CB1A-B93B-4454-B834-E2A9466509BE}"/>
    <cellStyle name="Normal 3 2 3 3 3 3" xfId="5541" xr:uid="{00000000-0005-0000-0000-0000AF110000}"/>
    <cellStyle name="Normal 3 2 3 3 3 3 2" xfId="24166" xr:uid="{AA408608-FD1A-4BA7-92BA-FB1756863FB7}"/>
    <cellStyle name="Normal 3 2 3 3 3 3 3" xfId="14867" xr:uid="{F434137D-AD5B-44CC-9EAF-980A9F256F04}"/>
    <cellStyle name="Normal 3 2 3 3 3 4" xfId="19949" xr:uid="{4065D267-F70F-4C0C-B366-8E1EC30E48A1}"/>
    <cellStyle name="Normal 3 2 3 3 3 5" xfId="10650" xr:uid="{6AA05CC4-3AA2-4358-A92C-B91DF3D8234E}"/>
    <cellStyle name="Normal 3 2 3 3 4" xfId="1647" xr:uid="{00000000-0005-0000-0000-0000B0110000}"/>
    <cellStyle name="Normal 3 2 3 3 4 2" xfId="3877" xr:uid="{00000000-0005-0000-0000-0000B1110000}"/>
    <cellStyle name="Normal 3 2 3 3 4 2 2" xfId="8099" xr:uid="{00000000-0005-0000-0000-0000B2110000}"/>
    <cellStyle name="Normal 3 2 3 3 4 2 2 2" xfId="26724" xr:uid="{AFA07FC7-9403-43BF-924D-C2D14BAADD67}"/>
    <cellStyle name="Normal 3 2 3 3 4 2 2 3" xfId="17425" xr:uid="{9F91CAAC-8463-4086-A778-99C606990DD4}"/>
    <cellStyle name="Normal 3 2 3 3 4 2 3" xfId="22507" xr:uid="{2D99A136-42CC-4107-99B1-A47BF1EB85CF}"/>
    <cellStyle name="Normal 3 2 3 3 4 2 4" xfId="13208" xr:uid="{5D8A328C-D4E2-47B4-BBF8-E0259E41C8D6}"/>
    <cellStyle name="Normal 3 2 3 3 4 3" xfId="5954" xr:uid="{00000000-0005-0000-0000-0000B3110000}"/>
    <cellStyle name="Normal 3 2 3 3 4 3 2" xfId="24579" xr:uid="{599A4708-AADE-4253-94C6-FBA128D6DE63}"/>
    <cellStyle name="Normal 3 2 3 3 4 3 3" xfId="15280" xr:uid="{EC217EE1-C746-4114-8B42-91C1F3C4A454}"/>
    <cellStyle name="Normal 3 2 3 3 4 4" xfId="20362" xr:uid="{55F015CD-94C2-4979-BC5A-3C0AA7361757}"/>
    <cellStyle name="Normal 3 2 3 3 4 5" xfId="11063" xr:uid="{85BD6A1D-469A-4EA3-9C1C-0621E80AA37E}"/>
    <cellStyle name="Normal 3 2 3 3 5" xfId="2061" xr:uid="{00000000-0005-0000-0000-0000B4110000}"/>
    <cellStyle name="Normal 3 2 3 3 5 2" xfId="4290" xr:uid="{00000000-0005-0000-0000-0000B5110000}"/>
    <cellStyle name="Normal 3 2 3 3 5 2 2" xfId="8512" xr:uid="{00000000-0005-0000-0000-0000B6110000}"/>
    <cellStyle name="Normal 3 2 3 3 5 2 2 2" xfId="27137" xr:uid="{4D679973-EC74-454F-A8EC-881000E94503}"/>
    <cellStyle name="Normal 3 2 3 3 5 2 2 3" xfId="17838" xr:uid="{7379ECC8-84D4-4FA2-9A90-72DFEFE2295C}"/>
    <cellStyle name="Normal 3 2 3 3 5 2 3" xfId="22920" xr:uid="{FBC16514-64EC-4D13-B347-6FD23FF9C482}"/>
    <cellStyle name="Normal 3 2 3 3 5 2 4" xfId="13621" xr:uid="{5349497B-612E-45FB-8A1E-8BCF729CBA83}"/>
    <cellStyle name="Normal 3 2 3 3 5 3" xfId="6367" xr:uid="{00000000-0005-0000-0000-0000B7110000}"/>
    <cellStyle name="Normal 3 2 3 3 5 3 2" xfId="24992" xr:uid="{8BF78496-1A18-4ED0-BA52-0EA3DD098C58}"/>
    <cellStyle name="Normal 3 2 3 3 5 3 3" xfId="15693" xr:uid="{1BE79330-8162-4406-8202-82984A371912}"/>
    <cellStyle name="Normal 3 2 3 3 5 4" xfId="20775" xr:uid="{E17707F1-40BA-43F4-A426-296C56169A3F}"/>
    <cellStyle name="Normal 3 2 3 3 5 5" xfId="11476" xr:uid="{08C3CDFC-E4D6-4B33-A597-B0AC74D00561}"/>
    <cellStyle name="Normal 3 2 3 3 6" xfId="2497" xr:uid="{00000000-0005-0000-0000-0000B8110000}"/>
    <cellStyle name="Normal 3 2 3 3 6 2" xfId="6780" xr:uid="{00000000-0005-0000-0000-0000B9110000}"/>
    <cellStyle name="Normal 3 2 3 3 6 2 2" xfId="25405" xr:uid="{136B8A1B-6A2B-461D-9CC3-457A1FAB1094}"/>
    <cellStyle name="Normal 3 2 3 3 6 2 3" xfId="16106" xr:uid="{0DB7F9EC-24E5-4522-B11D-AAC2D487CFA5}"/>
    <cellStyle name="Normal 3 2 3 3 6 3" xfId="21188" xr:uid="{45D64B8B-9D82-4299-A40A-FC805BC9A528}"/>
    <cellStyle name="Normal 3 2 3 3 6 4" xfId="11889" xr:uid="{7C7FF255-A1C7-4733-91D7-02F8BC7A5DD3}"/>
    <cellStyle name="Normal 3 2 3 3 7" xfId="4714" xr:uid="{00000000-0005-0000-0000-0000BA110000}"/>
    <cellStyle name="Normal 3 2 3 3 7 2" xfId="23339" xr:uid="{CDC61C5D-A5C1-4FE0-A39D-1FDC174CC27E}"/>
    <cellStyle name="Normal 3 2 3 3 7 3" xfId="14040" xr:uid="{CAB11BE6-E6CE-4134-9C57-DEE811B9276E}"/>
    <cellStyle name="Normal 3 2 3 3 8" xfId="9024" xr:uid="{AE2F680F-18A3-47B5-ADCF-6BEAD71D50CE}"/>
    <cellStyle name="Normal 3 2 3 3 8 2" xfId="27647" xr:uid="{3C0C773E-2CBA-476C-B148-8F806ABF7584}"/>
    <cellStyle name="Normal 3 2 3 3 8 3" xfId="18348" xr:uid="{BEE30E63-77CD-4167-A662-FAF2AAFA7561}"/>
    <cellStyle name="Normal 3 2 3 3 9" xfId="19122" xr:uid="{06E39ABB-C832-4529-AAFA-12C4527289D5}"/>
    <cellStyle name="Normal 3 2 3 4" xfId="811" xr:uid="{00000000-0005-0000-0000-0000BB110000}"/>
    <cellStyle name="Normal 3 2 3 4 2" xfId="3048" xr:uid="{00000000-0005-0000-0000-0000BC110000}"/>
    <cellStyle name="Normal 3 2 3 4 2 2" xfId="7270" xr:uid="{00000000-0005-0000-0000-0000BD110000}"/>
    <cellStyle name="Normal 3 2 3 4 2 2 2" xfId="25895" xr:uid="{F57CDD3E-95C9-476F-A6D3-31E379528147}"/>
    <cellStyle name="Normal 3 2 3 4 2 2 3" xfId="16596" xr:uid="{0F596F7B-44C2-48FD-82B7-090C9D131B43}"/>
    <cellStyle name="Normal 3 2 3 4 2 3" xfId="21678" xr:uid="{E4EF3D6E-A734-4320-B2E2-7BCDDB925031}"/>
    <cellStyle name="Normal 3 2 3 4 2 4" xfId="12379" xr:uid="{E1B38737-B15D-4086-B51E-C93E585E7938}"/>
    <cellStyle name="Normal 3 2 3 4 3" xfId="5125" xr:uid="{00000000-0005-0000-0000-0000BE110000}"/>
    <cellStyle name="Normal 3 2 3 4 3 2" xfId="23750" xr:uid="{7AF501BC-EBAB-47A5-AD00-CD26BE3631D1}"/>
    <cellStyle name="Normal 3 2 3 4 3 3" xfId="14451" xr:uid="{CB466567-73BE-42CA-9237-BB7AB3CE35ED}"/>
    <cellStyle name="Normal 3 2 3 4 4" xfId="9242" xr:uid="{05AEEDFF-7EEB-40DB-B13D-145C971A771B}"/>
    <cellStyle name="Normal 3 2 3 4 4 2" xfId="27856" xr:uid="{EF855E19-0CEA-4F0D-B21D-E62D72304524}"/>
    <cellStyle name="Normal 3 2 3 4 4 3" xfId="18557" xr:uid="{9C1E3DC4-E26C-44FD-ADA5-F37D1F70F90B}"/>
    <cellStyle name="Normal 3 2 3 4 5" xfId="19533" xr:uid="{9CCA4830-7E91-4573-B85B-43B5B66E1C61}"/>
    <cellStyle name="Normal 3 2 3 4 6" xfId="10234" xr:uid="{FBB05BAB-BD95-4B5D-AD83-0A9678C6B056}"/>
    <cellStyle name="Normal 3 2 3 5" xfId="1231" xr:uid="{00000000-0005-0000-0000-0000BF110000}"/>
    <cellStyle name="Normal 3 2 3 5 2" xfId="3461" xr:uid="{00000000-0005-0000-0000-0000C0110000}"/>
    <cellStyle name="Normal 3 2 3 5 2 2" xfId="7683" xr:uid="{00000000-0005-0000-0000-0000C1110000}"/>
    <cellStyle name="Normal 3 2 3 5 2 2 2" xfId="26308" xr:uid="{C71B17B4-4531-4F64-A326-79167521A0D4}"/>
    <cellStyle name="Normal 3 2 3 5 2 2 3" xfId="17009" xr:uid="{EB9135E7-241D-4B57-A75D-00BA9BD3A223}"/>
    <cellStyle name="Normal 3 2 3 5 2 3" xfId="22091" xr:uid="{D30C7196-08E0-4C46-AB90-3A2A26EBD840}"/>
    <cellStyle name="Normal 3 2 3 5 2 4" xfId="12792" xr:uid="{EB826F62-4E18-4C44-B6A9-0D67E3F00CD7}"/>
    <cellStyle name="Normal 3 2 3 5 3" xfId="5538" xr:uid="{00000000-0005-0000-0000-0000C2110000}"/>
    <cellStyle name="Normal 3 2 3 5 3 2" xfId="24163" xr:uid="{4ED29DDF-5ADB-4DC9-AA7F-BA20851782D7}"/>
    <cellStyle name="Normal 3 2 3 5 3 3" xfId="14864" xr:uid="{BBD03CAB-6540-40BB-AD29-EEEBBF4B0FF5}"/>
    <cellStyle name="Normal 3 2 3 5 4" xfId="19946" xr:uid="{63F477EF-3C5F-4B5F-B5E6-03B55C65E172}"/>
    <cellStyle name="Normal 3 2 3 5 5" xfId="10647" xr:uid="{A7C45507-5E14-46AD-A4AF-D4C85503F8DF}"/>
    <cellStyle name="Normal 3 2 3 6" xfId="1644" xr:uid="{00000000-0005-0000-0000-0000C3110000}"/>
    <cellStyle name="Normal 3 2 3 6 2" xfId="3874" xr:uid="{00000000-0005-0000-0000-0000C4110000}"/>
    <cellStyle name="Normal 3 2 3 6 2 2" xfId="8096" xr:uid="{00000000-0005-0000-0000-0000C5110000}"/>
    <cellStyle name="Normal 3 2 3 6 2 2 2" xfId="26721" xr:uid="{B10D01CC-51B2-489D-A392-EAEEBBD860ED}"/>
    <cellStyle name="Normal 3 2 3 6 2 2 3" xfId="17422" xr:uid="{861CB04D-4D0B-4639-80BE-33023CFADF0C}"/>
    <cellStyle name="Normal 3 2 3 6 2 3" xfId="22504" xr:uid="{C4027C0A-E15A-4485-A379-28A497C61B34}"/>
    <cellStyle name="Normal 3 2 3 6 2 4" xfId="13205" xr:uid="{1696547F-698D-46BB-884C-43351DCD1ED8}"/>
    <cellStyle name="Normal 3 2 3 6 3" xfId="5951" xr:uid="{00000000-0005-0000-0000-0000C6110000}"/>
    <cellStyle name="Normal 3 2 3 6 3 2" xfId="24576" xr:uid="{F054B0FE-82C8-4CEC-8AC1-E263F285C079}"/>
    <cellStyle name="Normal 3 2 3 6 3 3" xfId="15277" xr:uid="{29975F61-3D12-4453-AB7C-36A08A7ED74C}"/>
    <cellStyle name="Normal 3 2 3 6 4" xfId="20359" xr:uid="{23645587-A5B6-44F5-9CA6-32A74A21A67B}"/>
    <cellStyle name="Normal 3 2 3 6 5" xfId="11060" xr:uid="{EB0705C1-C237-4C2B-A9F2-DEA72183D4DE}"/>
    <cellStyle name="Normal 3 2 3 7" xfId="2058" xr:uid="{00000000-0005-0000-0000-0000C7110000}"/>
    <cellStyle name="Normal 3 2 3 7 2" xfId="4287" xr:uid="{00000000-0005-0000-0000-0000C8110000}"/>
    <cellStyle name="Normal 3 2 3 7 2 2" xfId="8509" xr:uid="{00000000-0005-0000-0000-0000C9110000}"/>
    <cellStyle name="Normal 3 2 3 7 2 2 2" xfId="27134" xr:uid="{531CF9CE-CB30-4320-9E7C-5CC99FB44663}"/>
    <cellStyle name="Normal 3 2 3 7 2 2 3" xfId="17835" xr:uid="{ACF1B73D-9CA0-4447-B14E-72D228D4F315}"/>
    <cellStyle name="Normal 3 2 3 7 2 3" xfId="22917" xr:uid="{19603ADE-120D-40DE-ACE6-B055D49FB1FC}"/>
    <cellStyle name="Normal 3 2 3 7 2 4" xfId="13618" xr:uid="{FFCB3311-B33A-4B86-8E01-B3C890358777}"/>
    <cellStyle name="Normal 3 2 3 7 3" xfId="6364" xr:uid="{00000000-0005-0000-0000-0000CA110000}"/>
    <cellStyle name="Normal 3 2 3 7 3 2" xfId="24989" xr:uid="{B1C68852-2FA8-4DFD-8906-C17E3202E699}"/>
    <cellStyle name="Normal 3 2 3 7 3 3" xfId="15690" xr:uid="{03EEE9E5-4CEF-4FF6-BB15-11725EB565A8}"/>
    <cellStyle name="Normal 3 2 3 7 4" xfId="20772" xr:uid="{A141FA10-F8C0-4A9C-A6EE-52D16343D03F}"/>
    <cellStyle name="Normal 3 2 3 7 5" xfId="11473" xr:uid="{A5AC4111-5581-4F2E-8C87-C01A9F4BFF95}"/>
    <cellStyle name="Normal 3 2 3 8" xfId="2494" xr:uid="{00000000-0005-0000-0000-0000CB110000}"/>
    <cellStyle name="Normal 3 2 3 8 2" xfId="6777" xr:uid="{00000000-0005-0000-0000-0000CC110000}"/>
    <cellStyle name="Normal 3 2 3 8 2 2" xfId="25402" xr:uid="{6731FB54-7960-4273-B2CD-2295E5C59DA8}"/>
    <cellStyle name="Normal 3 2 3 8 2 3" xfId="16103" xr:uid="{76A43866-92D7-41FE-B8CE-2F3F48F92567}"/>
    <cellStyle name="Normal 3 2 3 8 3" xfId="21185" xr:uid="{B7C4450A-EB0B-4936-8A76-4E55724519E7}"/>
    <cellStyle name="Normal 3 2 3 8 4" xfId="11886" xr:uid="{F65E2348-E9A6-471B-A63B-83E3038226FD}"/>
    <cellStyle name="Normal 3 2 3 9" xfId="4711" xr:uid="{00000000-0005-0000-0000-0000CD110000}"/>
    <cellStyle name="Normal 3 2 3 9 2" xfId="23336" xr:uid="{E929F96C-19E0-4D0B-B058-5AEEDE3D88D0}"/>
    <cellStyle name="Normal 3 2 3 9 3" xfId="14037" xr:uid="{350938B1-F84B-488F-AD0A-A8AC92D4833E}"/>
    <cellStyle name="Normal 3 2 4" xfId="809" xr:uid="{00000000-0005-0000-0000-0000CE110000}"/>
    <cellStyle name="Normal 3 2 4 2" xfId="3047" xr:uid="{00000000-0005-0000-0000-0000CF110000}"/>
    <cellStyle name="Normal 3 2 4 2 2" xfId="7269" xr:uid="{00000000-0005-0000-0000-0000D0110000}"/>
    <cellStyle name="Normal 3 2 4 2 2 2" xfId="25894" xr:uid="{6E4C905D-67D3-421E-949C-A28ED6337385}"/>
    <cellStyle name="Normal 3 2 4 2 2 3" xfId="16595" xr:uid="{FC05223B-749D-4384-9613-5FD3C90F6F2D}"/>
    <cellStyle name="Normal 3 2 4 2 3" xfId="21677" xr:uid="{8EA93676-4807-4024-B6CB-A55998470CA2}"/>
    <cellStyle name="Normal 3 2 4 2 4" xfId="12378" xr:uid="{76449A94-3CAE-47F5-A8A7-B44EE0F578F3}"/>
    <cellStyle name="Normal 3 2 4 3" xfId="5124" xr:uid="{00000000-0005-0000-0000-0000D1110000}"/>
    <cellStyle name="Normal 3 2 4 3 2" xfId="23749" xr:uid="{DCD0A7C3-343F-4A71-995F-7C1C19E62E0B}"/>
    <cellStyle name="Normal 3 2 4 3 3" xfId="14450" xr:uid="{D97D18AD-4F18-41D7-BC65-4C97EB2CF798}"/>
    <cellStyle name="Normal 3 2 4 4" xfId="9607" xr:uid="{7D769806-7069-4B8D-8CAC-B3B91BBA8D64}"/>
    <cellStyle name="Normal 3 2 4 4 2" xfId="28207" xr:uid="{A1C7C786-77EA-47BA-8BC6-CB34ACE8FFA0}"/>
    <cellStyle name="Normal 3 2 4 4 3" xfId="18908" xr:uid="{CCE80D79-417C-43AA-9255-86D912B81F77}"/>
    <cellStyle name="Normal 3 2 4 5" xfId="19532" xr:uid="{2F2B14A9-E61B-4CBB-B69E-C3A6672DE49F}"/>
    <cellStyle name="Normal 3 2 4 6" xfId="10233" xr:uid="{7660D334-8315-4DCA-AB4C-5A35ECF74158}"/>
    <cellStyle name="Normal 3 2 5" xfId="1230" xr:uid="{00000000-0005-0000-0000-0000D2110000}"/>
    <cellStyle name="Normal 3 2 5 2" xfId="3460" xr:uid="{00000000-0005-0000-0000-0000D3110000}"/>
    <cellStyle name="Normal 3 2 5 2 2" xfId="7682" xr:uid="{00000000-0005-0000-0000-0000D4110000}"/>
    <cellStyle name="Normal 3 2 5 2 2 2" xfId="26307" xr:uid="{5D2E8430-DFA3-4E07-80D0-A6258F83B9A4}"/>
    <cellStyle name="Normal 3 2 5 2 2 3" xfId="17008" xr:uid="{C40E73BD-1B72-4EBF-BB5F-850E4BC06533}"/>
    <cellStyle name="Normal 3 2 5 2 3" xfId="22090" xr:uid="{340FD2DB-2CE2-4CFB-ABF9-B0D8F80434D5}"/>
    <cellStyle name="Normal 3 2 5 2 4" xfId="12791" xr:uid="{BDDD5A71-8E22-46A7-9D23-920BD2C75783}"/>
    <cellStyle name="Normal 3 2 5 3" xfId="5537" xr:uid="{00000000-0005-0000-0000-0000D5110000}"/>
    <cellStyle name="Normal 3 2 5 3 2" xfId="24162" xr:uid="{A9930889-CF9B-41B4-9C64-9177CD3861D8}"/>
    <cellStyle name="Normal 3 2 5 3 3" xfId="14863" xr:uid="{90593D97-A419-4B99-B47F-DD39415FB897}"/>
    <cellStyle name="Normal 3 2 5 4" xfId="19945" xr:uid="{35546834-2679-4CF1-A232-4D3CBE5C9894}"/>
    <cellStyle name="Normal 3 2 5 5" xfId="10646" xr:uid="{759F4BCD-9883-4A77-B4D2-E9B926D8BE02}"/>
    <cellStyle name="Normal 3 2 6" xfId="1643" xr:uid="{00000000-0005-0000-0000-0000D6110000}"/>
    <cellStyle name="Normal 3 2 6 2" xfId="3873" xr:uid="{00000000-0005-0000-0000-0000D7110000}"/>
    <cellStyle name="Normal 3 2 6 2 2" xfId="8095" xr:uid="{00000000-0005-0000-0000-0000D8110000}"/>
    <cellStyle name="Normal 3 2 6 2 2 2" xfId="26720" xr:uid="{595FE23D-29B9-445A-8F5F-AD74C0E6489F}"/>
    <cellStyle name="Normal 3 2 6 2 2 3" xfId="17421" xr:uid="{C45E3E71-174E-4A4C-8468-235D532948A7}"/>
    <cellStyle name="Normal 3 2 6 2 3" xfId="22503" xr:uid="{8A59C672-42F2-45CD-8714-018EAF3BA857}"/>
    <cellStyle name="Normal 3 2 6 2 4" xfId="13204" xr:uid="{018308FE-D413-4F07-947B-38D3BC7B00A0}"/>
    <cellStyle name="Normal 3 2 6 3" xfId="5950" xr:uid="{00000000-0005-0000-0000-0000D9110000}"/>
    <cellStyle name="Normal 3 2 6 3 2" xfId="24575" xr:uid="{C3D9B100-BA0C-4C16-B000-DC63464EFEE0}"/>
    <cellStyle name="Normal 3 2 6 3 3" xfId="15276" xr:uid="{C32F60BF-9825-4FD1-99D3-CA83F391980C}"/>
    <cellStyle name="Normal 3 2 6 4" xfId="20358" xr:uid="{9E9BDD2E-2190-434C-979C-62F205304B90}"/>
    <cellStyle name="Normal 3 2 6 5" xfId="11059" xr:uid="{CC43A68F-DDA9-4F44-A4A4-10ED7BFCAB11}"/>
    <cellStyle name="Normal 3 2 7" xfId="2057" xr:uid="{00000000-0005-0000-0000-0000DA110000}"/>
    <cellStyle name="Normal 3 2 7 2" xfId="4286" xr:uid="{00000000-0005-0000-0000-0000DB110000}"/>
    <cellStyle name="Normal 3 2 7 2 2" xfId="8508" xr:uid="{00000000-0005-0000-0000-0000DC110000}"/>
    <cellStyle name="Normal 3 2 7 2 2 2" xfId="27133" xr:uid="{E69AD28D-E3D1-4FDA-B106-650D430146F3}"/>
    <cellStyle name="Normal 3 2 7 2 2 3" xfId="17834" xr:uid="{646236D0-9A9E-4214-990D-BA05ECF4B9AA}"/>
    <cellStyle name="Normal 3 2 7 2 3" xfId="22916" xr:uid="{C8A55EC8-12E6-4EDA-A8F9-53F990886DB0}"/>
    <cellStyle name="Normal 3 2 7 2 4" xfId="13617" xr:uid="{36AE0952-94FA-4DF0-8308-B5A01C114F00}"/>
    <cellStyle name="Normal 3 2 7 3" xfId="6363" xr:uid="{00000000-0005-0000-0000-0000DD110000}"/>
    <cellStyle name="Normal 3 2 7 3 2" xfId="24988" xr:uid="{83ED7B88-1E10-4EB0-A02F-53C8F24C1BBC}"/>
    <cellStyle name="Normal 3 2 7 3 3" xfId="15689" xr:uid="{993551B4-AB09-4B3C-BA9B-5C7332B7C5C8}"/>
    <cellStyle name="Normal 3 2 7 4" xfId="20771" xr:uid="{D794BF26-2CA9-45BE-8871-A3516ECCD455}"/>
    <cellStyle name="Normal 3 2 7 5" xfId="11472" xr:uid="{6D58B129-1A83-4150-A4BA-FA98066EFD22}"/>
    <cellStyle name="Normal 3 2 8" xfId="2493" xr:uid="{00000000-0005-0000-0000-0000DE110000}"/>
    <cellStyle name="Normal 3 2 8 2" xfId="6776" xr:uid="{00000000-0005-0000-0000-0000DF110000}"/>
    <cellStyle name="Normal 3 2 8 2 2" xfId="25401" xr:uid="{80EB07FB-BA3A-4DD0-A756-0FDE686099F5}"/>
    <cellStyle name="Normal 3 2 8 2 3" xfId="16102" xr:uid="{C99512CC-8BC9-4BFC-B2C8-2C74D8316D73}"/>
    <cellStyle name="Normal 3 2 8 3" xfId="21184" xr:uid="{8F2169D6-8909-4F0C-96C3-3BAF540E18EE}"/>
    <cellStyle name="Normal 3 2 8 4" xfId="11885" xr:uid="{82C27C93-70F3-4AFF-B669-5D5E9242D373}"/>
    <cellStyle name="Normal 3 2 9" xfId="4710" xr:uid="{00000000-0005-0000-0000-0000E0110000}"/>
    <cellStyle name="Normal 3 2 9 2" xfId="23335" xr:uid="{7D7FC0A9-FD64-4333-8E87-B4BEBAD6B131}"/>
    <cellStyle name="Normal 3 2 9 3" xfId="14036" xr:uid="{F60C2648-BD47-4037-AD52-D3B714E3CC63}"/>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10 2" xfId="27363" xr:uid="{8D8B351C-3A3F-4404-9591-BF1EF268F268}"/>
    <cellStyle name="Normal 4 10 3" xfId="18064" xr:uid="{6B0B68C0-B9C1-4AAB-9E52-5FC326928254}"/>
    <cellStyle name="Normal 4 11" xfId="19123" xr:uid="{20830901-1E7A-4E6D-ABF4-3B765FF9E546}"/>
    <cellStyle name="Normal 4 12" xfId="9824" xr:uid="{D56CA221-9646-4F10-8372-8ED6F15F2DFB}"/>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2 2 2" xfId="27138" xr:uid="{1288088E-EA8A-48A2-8212-455BDE8D51FD}"/>
    <cellStyle name="Normal 4 2 2 10 2 2 3" xfId="17839" xr:uid="{6140ED42-8A4E-4FC9-AA1B-B0E548EA5725}"/>
    <cellStyle name="Normal 4 2 2 10 2 3" xfId="22921" xr:uid="{F9B8EE8B-9BC7-4BDC-B6A3-C3EF146A9DCB}"/>
    <cellStyle name="Normal 4 2 2 10 2 4" xfId="13622" xr:uid="{D9BF7EEF-A203-4FE1-B990-7D6909C2F6DB}"/>
    <cellStyle name="Normal 4 2 2 10 3" xfId="6368" xr:uid="{00000000-0005-0000-0000-0000ED110000}"/>
    <cellStyle name="Normal 4 2 2 10 3 2" xfId="24993" xr:uid="{7E2598E9-DD27-4E0C-977C-B39DF2689FD1}"/>
    <cellStyle name="Normal 4 2 2 10 3 3" xfId="15694" xr:uid="{F509D8F5-615E-4ECC-B0E7-AC742162C064}"/>
    <cellStyle name="Normal 4 2 2 10 4" xfId="20776" xr:uid="{5CE5338E-C2C5-4400-B4AC-EDE38BCE73C9}"/>
    <cellStyle name="Normal 4 2 2 10 5" xfId="11477" xr:uid="{D4F6E6F8-A575-4906-B2AC-44A0F9ED6D49}"/>
    <cellStyle name="Normal 4 2 2 11" xfId="2498" xr:uid="{00000000-0005-0000-0000-0000EE110000}"/>
    <cellStyle name="Normal 4 2 2 11 2" xfId="6781" xr:uid="{00000000-0005-0000-0000-0000EF110000}"/>
    <cellStyle name="Normal 4 2 2 11 2 2" xfId="25406" xr:uid="{4B84FAD0-E8EE-4B33-9E54-BE01D6CAAD48}"/>
    <cellStyle name="Normal 4 2 2 11 2 3" xfId="16107" xr:uid="{CA342813-D949-49F5-A722-11F6D39E2886}"/>
    <cellStyle name="Normal 4 2 2 11 3" xfId="21189" xr:uid="{B4DEBBDD-0CAE-473C-A811-5CDB9BC328A6}"/>
    <cellStyle name="Normal 4 2 2 11 4" xfId="11890" xr:uid="{32D8FD64-523D-4925-AC58-59F99650CE0F}"/>
    <cellStyle name="Normal 4 2 2 12" xfId="4716" xr:uid="{00000000-0005-0000-0000-0000F0110000}"/>
    <cellStyle name="Normal 4 2 2 12 2" xfId="23341" xr:uid="{5B167570-5DC9-4BEB-827F-5C66FBF80A1E}"/>
    <cellStyle name="Normal 4 2 2 12 3" xfId="14042" xr:uid="{CB4BABDE-797F-4073-A3B0-418F9EE207D7}"/>
    <cellStyle name="Normal 4 2 2 13" xfId="8752" xr:uid="{7B61EFAC-4165-4615-9A47-7AF5DAE027C9}"/>
    <cellStyle name="Normal 4 2 2 13 2" xfId="27375" xr:uid="{7D94CC2C-D1D8-4E05-88B8-489EC7721437}"/>
    <cellStyle name="Normal 4 2 2 13 3" xfId="18076" xr:uid="{973A3C4B-92AB-4346-88B2-0EA0A590CE15}"/>
    <cellStyle name="Normal 4 2 2 14" xfId="19124" xr:uid="{46EC9D53-B9AA-4C69-97CE-F0CEE52D015A}"/>
    <cellStyle name="Normal 4 2 2 15" xfId="9825" xr:uid="{D9DBCDFB-B487-49B9-AA16-59D3BEEBD65F}"/>
    <cellStyle name="Normal 4 2 2 2" xfId="338" xr:uid="{00000000-0005-0000-0000-0000F1110000}"/>
    <cellStyle name="Normal 4 2 2 3" xfId="339" xr:uid="{00000000-0005-0000-0000-0000F2110000}"/>
    <cellStyle name="Normal 4 2 2 3 10" xfId="4717" xr:uid="{00000000-0005-0000-0000-0000F3110000}"/>
    <cellStyle name="Normal 4 2 2 3 10 2" xfId="23342" xr:uid="{2AC2E063-C105-4C8C-A962-2379BBCA8AB7}"/>
    <cellStyle name="Normal 4 2 2 3 10 3" xfId="14043" xr:uid="{182D0BCA-186F-4B1D-B9AD-CF32831B4CE9}"/>
    <cellStyle name="Normal 4 2 2 3 11" xfId="8784" xr:uid="{8AA3A883-811C-4C4A-AFFF-9AAED56BF228}"/>
    <cellStyle name="Normal 4 2 2 3 11 2" xfId="27407" xr:uid="{23B5252B-DD04-4E54-BCC8-50068B14A3E7}"/>
    <cellStyle name="Normal 4 2 2 3 11 3" xfId="18108" xr:uid="{9596EF6D-7B48-45B9-BD91-9C7A58CA3565}"/>
    <cellStyle name="Normal 4 2 2 3 12" xfId="19125" xr:uid="{2EEBA27F-4D02-4303-8353-72404798A827}"/>
    <cellStyle name="Normal 4 2 2 3 13" xfId="9826" xr:uid="{407133E1-FAA7-47A9-B5A3-A96A73A128F6}"/>
    <cellStyle name="Normal 4 2 2 3 2" xfId="340" xr:uid="{00000000-0005-0000-0000-0000F4110000}"/>
    <cellStyle name="Normal 4 2 2 3 2 10" xfId="8819" xr:uid="{16629302-3759-4242-B07E-BB5D034B10E8}"/>
    <cellStyle name="Normal 4 2 2 3 2 10 2" xfId="27442" xr:uid="{26730477-F289-4618-B95E-59874B88E426}"/>
    <cellStyle name="Normal 4 2 2 3 2 10 3" xfId="18143" xr:uid="{119D7DE5-7F95-4400-B297-0573E96EAA0C}"/>
    <cellStyle name="Normal 4 2 2 3 2 11" xfId="19126" xr:uid="{FBBD0FA0-A795-43E2-81ED-BFC48DCA0A97}"/>
    <cellStyle name="Normal 4 2 2 3 2 12" xfId="9827" xr:uid="{78C8326A-5954-4972-9FD1-65B5CAEB6955}"/>
    <cellStyle name="Normal 4 2 2 3 2 2" xfId="341" xr:uid="{00000000-0005-0000-0000-0000F5110000}"/>
    <cellStyle name="Normal 4 2 2 3 2 2 10" xfId="19127" xr:uid="{849949D9-A1DC-41DF-AB04-BE1BFB57CE4A}"/>
    <cellStyle name="Normal 4 2 2 3 2 2 11" xfId="9828" xr:uid="{88361440-6198-494C-AB2F-2CF3C3C956D7}"/>
    <cellStyle name="Normal 4 2 2 3 2 2 2" xfId="342" xr:uid="{00000000-0005-0000-0000-0000F6110000}"/>
    <cellStyle name="Normal 4 2 2 3 2 2 2 10" xfId="9829" xr:uid="{115DD07E-DDB0-4DEB-BFEC-58A6D14871C9}"/>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2 2 2" xfId="25903" xr:uid="{1F294797-1358-42D7-808F-9B709ED3B56E}"/>
    <cellStyle name="Normal 4 2 2 3 2 2 2 2 2 2 3" xfId="16604" xr:uid="{87E21654-8063-4F46-9A2A-6CD1381E5833}"/>
    <cellStyle name="Normal 4 2 2 3 2 2 2 2 2 3" xfId="21686" xr:uid="{F019F94A-E821-4694-A5B8-55F0449221A5}"/>
    <cellStyle name="Normal 4 2 2 3 2 2 2 2 2 4" xfId="12387" xr:uid="{07589D52-69A0-4E64-8248-6ED17DD35F9F}"/>
    <cellStyle name="Normal 4 2 2 3 2 2 2 2 3" xfId="5133" xr:uid="{00000000-0005-0000-0000-0000FA110000}"/>
    <cellStyle name="Normal 4 2 2 3 2 2 2 2 3 2" xfId="23758" xr:uid="{A336AEA9-A49F-47CE-897F-68325F45B7C6}"/>
    <cellStyle name="Normal 4 2 2 3 2 2 2 2 3 3" xfId="14459" xr:uid="{75005D3F-8F31-4254-9694-E77A8C055679}"/>
    <cellStyle name="Normal 4 2 2 3 2 2 2 2 4" xfId="9554" xr:uid="{BAC669EC-8948-4716-90C3-0688F03300CE}"/>
    <cellStyle name="Normal 4 2 2 3 2 2 2 2 4 2" xfId="28168" xr:uid="{810DB7F8-5D63-4EB8-BAC1-260E9DF41F2A}"/>
    <cellStyle name="Normal 4 2 2 3 2 2 2 2 4 3" xfId="18869" xr:uid="{90A465FA-4B2E-4BB2-B182-9C96E2D3AA98}"/>
    <cellStyle name="Normal 4 2 2 3 2 2 2 2 5" xfId="19541" xr:uid="{6A2DFAB7-C77C-4D4A-A607-08118D9D5887}"/>
    <cellStyle name="Normal 4 2 2 3 2 2 2 2 6" xfId="10242" xr:uid="{3FE2ED96-5186-46EA-9308-08EACBB81E2C}"/>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2 2 2" xfId="26316" xr:uid="{D802D4D9-2B76-401E-8338-4BD4511AE612}"/>
    <cellStyle name="Normal 4 2 2 3 2 2 2 3 2 2 3" xfId="17017" xr:uid="{24967EB8-07FC-46D7-8B92-95613549757A}"/>
    <cellStyle name="Normal 4 2 2 3 2 2 2 3 2 3" xfId="22099" xr:uid="{B8CB8E9B-D463-44B3-BAC8-427BF5DC5700}"/>
    <cellStyle name="Normal 4 2 2 3 2 2 2 3 2 4" xfId="12800" xr:uid="{C9156420-E88D-42FF-91BF-16E0F07C037F}"/>
    <cellStyle name="Normal 4 2 2 3 2 2 2 3 3" xfId="5546" xr:uid="{00000000-0005-0000-0000-0000FE110000}"/>
    <cellStyle name="Normal 4 2 2 3 2 2 2 3 3 2" xfId="24171" xr:uid="{5D90219B-F3CB-4E97-8FB2-7289A714AB31}"/>
    <cellStyle name="Normal 4 2 2 3 2 2 2 3 3 3" xfId="14872" xr:uid="{3C9E1340-919E-49B3-A206-9BEA8B35605D}"/>
    <cellStyle name="Normal 4 2 2 3 2 2 2 3 4" xfId="19954" xr:uid="{FD200E43-D0BD-46B3-B792-32D792F0D4E2}"/>
    <cellStyle name="Normal 4 2 2 3 2 2 2 3 5" xfId="10655" xr:uid="{C0456520-A326-441E-8D7C-AA6206BB84AD}"/>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2 2 2" xfId="26729" xr:uid="{36169361-53C5-4056-A91F-5548AACD32E2}"/>
    <cellStyle name="Normal 4 2 2 3 2 2 2 4 2 2 3" xfId="17430" xr:uid="{7D1288B4-C110-479E-B0EF-4212E0AC5D5C}"/>
    <cellStyle name="Normal 4 2 2 3 2 2 2 4 2 3" xfId="22512" xr:uid="{C6274615-CBF2-43AB-BB82-155AB8187C0C}"/>
    <cellStyle name="Normal 4 2 2 3 2 2 2 4 2 4" xfId="13213" xr:uid="{50D5496C-BE87-4C16-B8F0-C0509148350E}"/>
    <cellStyle name="Normal 4 2 2 3 2 2 2 4 3" xfId="5959" xr:uid="{00000000-0005-0000-0000-000002120000}"/>
    <cellStyle name="Normal 4 2 2 3 2 2 2 4 3 2" xfId="24584" xr:uid="{6056F993-CE76-4282-8F0A-1859EA58867F}"/>
    <cellStyle name="Normal 4 2 2 3 2 2 2 4 3 3" xfId="15285" xr:uid="{2FF4A84E-A716-4DEA-ABD9-F85FB9D74337}"/>
    <cellStyle name="Normal 4 2 2 3 2 2 2 4 4" xfId="20367" xr:uid="{5A4419BB-7087-410F-A825-16D3E93D8332}"/>
    <cellStyle name="Normal 4 2 2 3 2 2 2 4 5" xfId="11068" xr:uid="{780ACDD5-478F-4AE4-AA98-13E9415802FD}"/>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2 2 2" xfId="27142" xr:uid="{022D300D-8497-40F1-8895-C4942E4B3EFE}"/>
    <cellStyle name="Normal 4 2 2 3 2 2 2 5 2 2 3" xfId="17843" xr:uid="{1CB7E73B-9EBE-4490-AC07-AD5B2AA803F1}"/>
    <cellStyle name="Normal 4 2 2 3 2 2 2 5 2 3" xfId="22925" xr:uid="{05F6A325-B4AA-46C6-8671-242BAA1A5503}"/>
    <cellStyle name="Normal 4 2 2 3 2 2 2 5 2 4" xfId="13626" xr:uid="{188EDE9C-C7F4-416D-BE65-32C48580F761}"/>
    <cellStyle name="Normal 4 2 2 3 2 2 2 5 3" xfId="6372" xr:uid="{00000000-0005-0000-0000-000006120000}"/>
    <cellStyle name="Normal 4 2 2 3 2 2 2 5 3 2" xfId="24997" xr:uid="{0307236D-C6A9-43C4-94FA-C8DDA5257003}"/>
    <cellStyle name="Normal 4 2 2 3 2 2 2 5 3 3" xfId="15698" xr:uid="{66E12C0A-15B9-474D-B06F-3A9B9FB5E542}"/>
    <cellStyle name="Normal 4 2 2 3 2 2 2 5 4" xfId="20780" xr:uid="{29B3EF13-881D-461C-82CC-A1F71BDE29A9}"/>
    <cellStyle name="Normal 4 2 2 3 2 2 2 5 5" xfId="11481" xr:uid="{222E3B7D-2DAB-4DC3-A9DC-CA235264DB7D}"/>
    <cellStyle name="Normal 4 2 2 3 2 2 2 6" xfId="2502" xr:uid="{00000000-0005-0000-0000-000007120000}"/>
    <cellStyle name="Normal 4 2 2 3 2 2 2 6 2" xfId="6785" xr:uid="{00000000-0005-0000-0000-000008120000}"/>
    <cellStyle name="Normal 4 2 2 3 2 2 2 6 2 2" xfId="25410" xr:uid="{D6EF6B97-B434-4175-85E3-E5758FB90DF8}"/>
    <cellStyle name="Normal 4 2 2 3 2 2 2 6 2 3" xfId="16111" xr:uid="{962D0F79-1452-4D4B-97BC-1891119F22B7}"/>
    <cellStyle name="Normal 4 2 2 3 2 2 2 6 3" xfId="21193" xr:uid="{741B8649-3D12-4BDE-8187-E2569EA0BF4A}"/>
    <cellStyle name="Normal 4 2 2 3 2 2 2 6 4" xfId="11894" xr:uid="{D5A2D591-B480-435F-BE3D-1E71A74E277B}"/>
    <cellStyle name="Normal 4 2 2 3 2 2 2 7" xfId="4720" xr:uid="{00000000-0005-0000-0000-000009120000}"/>
    <cellStyle name="Normal 4 2 2 3 2 2 2 7 2" xfId="23345" xr:uid="{DCAA4A5C-9D22-49CE-ABD5-65875FC69673}"/>
    <cellStyle name="Normal 4 2 2 3 2 2 2 7 3" xfId="14046" xr:uid="{F10FBF7D-02C2-407E-8706-F998ACE216F2}"/>
    <cellStyle name="Normal 4 2 2 3 2 2 2 8" xfId="9129" xr:uid="{970F8072-C8D6-4D17-95D6-EBF431EAD262}"/>
    <cellStyle name="Normal 4 2 2 3 2 2 2 8 2" xfId="27752" xr:uid="{2A5761FA-B71E-4C75-9AE3-8D62075D2CC0}"/>
    <cellStyle name="Normal 4 2 2 3 2 2 2 8 3" xfId="18453" xr:uid="{4052256E-3679-4BB4-A468-4D192260E8B6}"/>
    <cellStyle name="Normal 4 2 2 3 2 2 2 9" xfId="19128" xr:uid="{6908F7F3-C147-4B30-93EA-4888317C24DC}"/>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2 2 2" xfId="25902" xr:uid="{4DE2C2BA-AC5C-4058-A7E5-B019DE86B608}"/>
    <cellStyle name="Normal 4 2 2 3 2 2 3 2 2 3" xfId="16603" xr:uid="{32744821-7C39-4F14-BF52-A8D2DFE1AD4A}"/>
    <cellStyle name="Normal 4 2 2 3 2 2 3 2 3" xfId="21685" xr:uid="{6A581A58-679F-4CDA-86C6-CDF95F9A7784}"/>
    <cellStyle name="Normal 4 2 2 3 2 2 3 2 4" xfId="12386" xr:uid="{81A59125-136F-461B-ACE6-E5CA776267AB}"/>
    <cellStyle name="Normal 4 2 2 3 2 2 3 3" xfId="5132" xr:uid="{00000000-0005-0000-0000-00000D120000}"/>
    <cellStyle name="Normal 4 2 2 3 2 2 3 3 2" xfId="23757" xr:uid="{9BF2483F-8BDD-4983-AF1C-4AD2D260FE05}"/>
    <cellStyle name="Normal 4 2 2 3 2 2 3 3 3" xfId="14458" xr:uid="{E2E6713F-43AA-4668-92AC-EBD8A67C1123}"/>
    <cellStyle name="Normal 4 2 2 3 2 2 3 4" xfId="9347" xr:uid="{8C9012CB-19BB-4242-9F43-373358B13B52}"/>
    <cellStyle name="Normal 4 2 2 3 2 2 3 4 2" xfId="27961" xr:uid="{52FEEACA-1ABC-469C-82FF-C0477CA66BF2}"/>
    <cellStyle name="Normal 4 2 2 3 2 2 3 4 3" xfId="18662" xr:uid="{B002D3C3-0ED5-4002-87A5-48CF0882D0FA}"/>
    <cellStyle name="Normal 4 2 2 3 2 2 3 5" xfId="19540" xr:uid="{778043B1-54AC-4E4E-8B4C-CFA367FA5EF8}"/>
    <cellStyle name="Normal 4 2 2 3 2 2 3 6" xfId="10241" xr:uid="{6987C764-9D83-4DFD-8036-D7946154E045}"/>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2 2 2" xfId="26315" xr:uid="{D2D83451-1AC4-42CB-B589-51C1788426A9}"/>
    <cellStyle name="Normal 4 2 2 3 2 2 4 2 2 3" xfId="17016" xr:uid="{F600353D-83C8-4DF0-A30E-63EF30E2EA2B}"/>
    <cellStyle name="Normal 4 2 2 3 2 2 4 2 3" xfId="22098" xr:uid="{6A42967E-50CA-438E-94BB-5A23CDC3D324}"/>
    <cellStyle name="Normal 4 2 2 3 2 2 4 2 4" xfId="12799" xr:uid="{450B9385-794D-40DB-9B6B-4E2641EB970A}"/>
    <cellStyle name="Normal 4 2 2 3 2 2 4 3" xfId="5545" xr:uid="{00000000-0005-0000-0000-000011120000}"/>
    <cellStyle name="Normal 4 2 2 3 2 2 4 3 2" xfId="24170" xr:uid="{6C086A04-3872-4B7A-ADF8-9F5E19ABE7C8}"/>
    <cellStyle name="Normal 4 2 2 3 2 2 4 3 3" xfId="14871" xr:uid="{945CCA66-0790-458E-AD81-666B050125E9}"/>
    <cellStyle name="Normal 4 2 2 3 2 2 4 4" xfId="19953" xr:uid="{47FEF651-BA0D-40BC-B4AD-F7450AE85FB5}"/>
    <cellStyle name="Normal 4 2 2 3 2 2 4 5" xfId="10654" xr:uid="{BACA9680-F958-4ABB-B538-6F133F4FB271}"/>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2 2 2" xfId="26728" xr:uid="{346FAD2B-0996-4DB6-85B3-2D432DC98585}"/>
    <cellStyle name="Normal 4 2 2 3 2 2 5 2 2 3" xfId="17429" xr:uid="{B6E08A9D-F256-4D54-B309-D3F8D53AD492}"/>
    <cellStyle name="Normal 4 2 2 3 2 2 5 2 3" xfId="22511" xr:uid="{624C0B07-CF2C-45D8-A5B1-AC67E11ADA60}"/>
    <cellStyle name="Normal 4 2 2 3 2 2 5 2 4" xfId="13212" xr:uid="{90CD32E9-76F7-4F7E-A891-13C9766C7703}"/>
    <cellStyle name="Normal 4 2 2 3 2 2 5 3" xfId="5958" xr:uid="{00000000-0005-0000-0000-000015120000}"/>
    <cellStyle name="Normal 4 2 2 3 2 2 5 3 2" xfId="24583" xr:uid="{E5AA1AC8-F17D-49AE-96AB-C32CB7BA7BA0}"/>
    <cellStyle name="Normal 4 2 2 3 2 2 5 3 3" xfId="15284" xr:uid="{6B03E709-D6CB-4253-832B-97F7938A6366}"/>
    <cellStyle name="Normal 4 2 2 3 2 2 5 4" xfId="20366" xr:uid="{6C5F6FBF-62E3-4069-A223-618470DB0001}"/>
    <cellStyle name="Normal 4 2 2 3 2 2 5 5" xfId="11067" xr:uid="{7B1A9DBD-EE90-4614-B978-291EAF1D3C45}"/>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2 2 2" xfId="27141" xr:uid="{DB1D93A9-0B9C-4A57-AD71-311EFB3E13CA}"/>
    <cellStyle name="Normal 4 2 2 3 2 2 6 2 2 3" xfId="17842" xr:uid="{7C6B7063-7FB7-4B3A-936C-0BA9BAC82FA9}"/>
    <cellStyle name="Normal 4 2 2 3 2 2 6 2 3" xfId="22924" xr:uid="{F7C9CD42-F2CE-4B1C-B382-C28D125A5884}"/>
    <cellStyle name="Normal 4 2 2 3 2 2 6 2 4" xfId="13625" xr:uid="{AFC26E9D-5DEA-484A-A3DC-1657A30557AC}"/>
    <cellStyle name="Normal 4 2 2 3 2 2 6 3" xfId="6371" xr:uid="{00000000-0005-0000-0000-000019120000}"/>
    <cellStyle name="Normal 4 2 2 3 2 2 6 3 2" xfId="24996" xr:uid="{D07A31A7-D0FC-43ED-98B0-1ACEF3A72586}"/>
    <cellStyle name="Normal 4 2 2 3 2 2 6 3 3" xfId="15697" xr:uid="{24DA8823-0547-4659-BDAB-77B8C51043E7}"/>
    <cellStyle name="Normal 4 2 2 3 2 2 6 4" xfId="20779" xr:uid="{6887A5C1-90E1-4C83-8176-5D8267DC4F66}"/>
    <cellStyle name="Normal 4 2 2 3 2 2 6 5" xfId="11480" xr:uid="{FAF7B8D6-116B-4BB1-8FA5-534EEA7318EE}"/>
    <cellStyle name="Normal 4 2 2 3 2 2 7" xfId="2501" xr:uid="{00000000-0005-0000-0000-00001A120000}"/>
    <cellStyle name="Normal 4 2 2 3 2 2 7 2" xfId="6784" xr:uid="{00000000-0005-0000-0000-00001B120000}"/>
    <cellStyle name="Normal 4 2 2 3 2 2 7 2 2" xfId="25409" xr:uid="{7E4B3724-2895-46B0-A5BB-81763818B7BF}"/>
    <cellStyle name="Normal 4 2 2 3 2 2 7 2 3" xfId="16110" xr:uid="{CBDD4EB7-BC2F-4038-82B8-B00F8642EC5A}"/>
    <cellStyle name="Normal 4 2 2 3 2 2 7 3" xfId="21192" xr:uid="{D9D144B4-2F25-4A3E-A4E5-59A6C9216753}"/>
    <cellStyle name="Normal 4 2 2 3 2 2 7 4" xfId="11893" xr:uid="{2C560CB8-F615-4E30-9447-BA8A99AF5FF8}"/>
    <cellStyle name="Normal 4 2 2 3 2 2 8" xfId="4719" xr:uid="{00000000-0005-0000-0000-00001C120000}"/>
    <cellStyle name="Normal 4 2 2 3 2 2 8 2" xfId="23344" xr:uid="{D2B8917E-BD4E-4979-975E-27B05A2AD1C3}"/>
    <cellStyle name="Normal 4 2 2 3 2 2 8 3" xfId="14045" xr:uid="{86B581FC-C77A-49FD-A831-0D08897FD3F9}"/>
    <cellStyle name="Normal 4 2 2 3 2 2 9" xfId="8922" xr:uid="{32C9E21B-8C85-4874-B28C-82BF39BA84E2}"/>
    <cellStyle name="Normal 4 2 2 3 2 2 9 2" xfId="27545" xr:uid="{1CE6D79C-6051-4DFC-AAC9-855A76A13BE5}"/>
    <cellStyle name="Normal 4 2 2 3 2 2 9 3" xfId="18246" xr:uid="{64E9934C-F440-4A93-8800-259825A3D7FB}"/>
    <cellStyle name="Normal 4 2 2 3 2 3" xfId="343" xr:uid="{00000000-0005-0000-0000-00001D120000}"/>
    <cellStyle name="Normal 4 2 2 3 2 3 10" xfId="9830" xr:uid="{6A4B3119-E6A4-4631-8B6C-CBB38E79224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2 2 2" xfId="25904" xr:uid="{E2910D52-3693-4BB4-94B2-24BE35E025C1}"/>
    <cellStyle name="Normal 4 2 2 3 2 3 2 2 2 3" xfId="16605" xr:uid="{34CAAB94-5FAA-47FA-BD08-ED24386B60AF}"/>
    <cellStyle name="Normal 4 2 2 3 2 3 2 2 3" xfId="21687" xr:uid="{7B076EBA-9533-4513-9A0F-3A011DD79E0C}"/>
    <cellStyle name="Normal 4 2 2 3 2 3 2 2 4" xfId="12388" xr:uid="{47E1C3FB-426B-481C-AF83-51E106894838}"/>
    <cellStyle name="Normal 4 2 2 3 2 3 2 3" xfId="5134" xr:uid="{00000000-0005-0000-0000-000021120000}"/>
    <cellStyle name="Normal 4 2 2 3 2 3 2 3 2" xfId="23759" xr:uid="{169680F9-2C4A-47BC-B2CA-1DBCD1943194}"/>
    <cellStyle name="Normal 4 2 2 3 2 3 2 3 3" xfId="14460" xr:uid="{D58F87BB-064A-4CBD-BC1A-348D2A3EBF19}"/>
    <cellStyle name="Normal 4 2 2 3 2 3 2 4" xfId="9451" xr:uid="{85AA9164-95F1-48F2-907A-54AD445D074F}"/>
    <cellStyle name="Normal 4 2 2 3 2 3 2 4 2" xfId="28065" xr:uid="{6554B20E-4D8D-4C2E-9A24-AE527D32019A}"/>
    <cellStyle name="Normal 4 2 2 3 2 3 2 4 3" xfId="18766" xr:uid="{C5FBC49C-F384-4FDB-8523-B5ECB18F6FD3}"/>
    <cellStyle name="Normal 4 2 2 3 2 3 2 5" xfId="19542" xr:uid="{B8E5B464-156F-4CC7-BC24-C4AC5B087326}"/>
    <cellStyle name="Normal 4 2 2 3 2 3 2 6" xfId="10243" xr:uid="{61BE3F2C-5822-4E0D-AAD8-A18BAA0F44AB}"/>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2 2 2" xfId="26317" xr:uid="{41E70D84-FCCC-4A1D-BCEE-1772D45ED378}"/>
    <cellStyle name="Normal 4 2 2 3 2 3 3 2 2 3" xfId="17018" xr:uid="{CDE8E801-68DC-485D-A2C6-5A2F70C39E34}"/>
    <cellStyle name="Normal 4 2 2 3 2 3 3 2 3" xfId="22100" xr:uid="{9EF6229B-0CDF-4BF7-90B5-B79F7FBF0F9C}"/>
    <cellStyle name="Normal 4 2 2 3 2 3 3 2 4" xfId="12801" xr:uid="{A7B748C6-C059-4EA8-B69C-CECD3B31DA38}"/>
    <cellStyle name="Normal 4 2 2 3 2 3 3 3" xfId="5547" xr:uid="{00000000-0005-0000-0000-000025120000}"/>
    <cellStyle name="Normal 4 2 2 3 2 3 3 3 2" xfId="24172" xr:uid="{22FD9EF7-3CB4-4023-8EFE-59F5B5FB15EC}"/>
    <cellStyle name="Normal 4 2 2 3 2 3 3 3 3" xfId="14873" xr:uid="{D16CE24A-DCA1-4792-895F-1D26D358B774}"/>
    <cellStyle name="Normal 4 2 2 3 2 3 3 4" xfId="19955" xr:uid="{8ADFDF0D-A0A5-4DBE-BAD2-826FA3129712}"/>
    <cellStyle name="Normal 4 2 2 3 2 3 3 5" xfId="10656" xr:uid="{F9144CB6-BB9E-47C3-B45B-69452F472574}"/>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2 2 2" xfId="26730" xr:uid="{EF498A18-20C4-4753-8B7B-B56ECEBAC530}"/>
    <cellStyle name="Normal 4 2 2 3 2 3 4 2 2 3" xfId="17431" xr:uid="{3900EA2A-DFA3-4601-8489-12056EA6A970}"/>
    <cellStyle name="Normal 4 2 2 3 2 3 4 2 3" xfId="22513" xr:uid="{3C7BB5E3-5ECF-4C59-876C-1FE8E10E3728}"/>
    <cellStyle name="Normal 4 2 2 3 2 3 4 2 4" xfId="13214" xr:uid="{F302BD1B-C2B2-4D82-8E0B-38A53D1E3498}"/>
    <cellStyle name="Normal 4 2 2 3 2 3 4 3" xfId="5960" xr:uid="{00000000-0005-0000-0000-000029120000}"/>
    <cellStyle name="Normal 4 2 2 3 2 3 4 3 2" xfId="24585" xr:uid="{C5536696-C5B0-4555-936E-B313C15B047D}"/>
    <cellStyle name="Normal 4 2 2 3 2 3 4 3 3" xfId="15286" xr:uid="{60E77254-7F26-4698-87DB-B51A1637A076}"/>
    <cellStyle name="Normal 4 2 2 3 2 3 4 4" xfId="20368" xr:uid="{A68DE6B4-CDB4-4043-B34B-9726B64D00C0}"/>
    <cellStyle name="Normal 4 2 2 3 2 3 4 5" xfId="11069" xr:uid="{2B6371D7-93DB-46CB-B44F-53201ADC7BAC}"/>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2 2 2" xfId="27143" xr:uid="{5D1F4D2E-F5E4-4F25-A075-8FC07C33D32D}"/>
    <cellStyle name="Normal 4 2 2 3 2 3 5 2 2 3" xfId="17844" xr:uid="{51581E09-8E80-4FAF-A3A7-7C78AB76417C}"/>
    <cellStyle name="Normal 4 2 2 3 2 3 5 2 3" xfId="22926" xr:uid="{F6157FF1-4363-4DA0-93D1-31FDDA2A08D7}"/>
    <cellStyle name="Normal 4 2 2 3 2 3 5 2 4" xfId="13627" xr:uid="{F74C2D0C-E1D8-49BC-893E-C6A65A09B4DC}"/>
    <cellStyle name="Normal 4 2 2 3 2 3 5 3" xfId="6373" xr:uid="{00000000-0005-0000-0000-00002D120000}"/>
    <cellStyle name="Normal 4 2 2 3 2 3 5 3 2" xfId="24998" xr:uid="{CFFEF0FB-00F0-431C-8438-0E88E16F84A3}"/>
    <cellStyle name="Normal 4 2 2 3 2 3 5 3 3" xfId="15699" xr:uid="{91CE5479-EF39-4BDB-9DD7-D93E3A1EC878}"/>
    <cellStyle name="Normal 4 2 2 3 2 3 5 4" xfId="20781" xr:uid="{2C5438A3-304F-4616-8125-3072058DBAC8}"/>
    <cellStyle name="Normal 4 2 2 3 2 3 5 5" xfId="11482" xr:uid="{CC2F234A-2C61-419B-8844-447ED112DC56}"/>
    <cellStyle name="Normal 4 2 2 3 2 3 6" xfId="2503" xr:uid="{00000000-0005-0000-0000-00002E120000}"/>
    <cellStyle name="Normal 4 2 2 3 2 3 6 2" xfId="6786" xr:uid="{00000000-0005-0000-0000-00002F120000}"/>
    <cellStyle name="Normal 4 2 2 3 2 3 6 2 2" xfId="25411" xr:uid="{6567D3A7-DC46-43CD-90CF-8E86BD0FFE69}"/>
    <cellStyle name="Normal 4 2 2 3 2 3 6 2 3" xfId="16112" xr:uid="{61630348-2A84-4F9D-8BA3-C670BED5C1FA}"/>
    <cellStyle name="Normal 4 2 2 3 2 3 6 3" xfId="21194" xr:uid="{147C9CA6-32A7-4C87-A3CE-02D13C161DEA}"/>
    <cellStyle name="Normal 4 2 2 3 2 3 6 4" xfId="11895" xr:uid="{81904623-BE84-43EC-804F-5AA95757026C}"/>
    <cellStyle name="Normal 4 2 2 3 2 3 7" xfId="4721" xr:uid="{00000000-0005-0000-0000-000030120000}"/>
    <cellStyle name="Normal 4 2 2 3 2 3 7 2" xfId="23346" xr:uid="{CD9FF04C-35C8-41BB-8654-4BFCB5978877}"/>
    <cellStyle name="Normal 4 2 2 3 2 3 7 3" xfId="14047" xr:uid="{050FD75F-378D-433F-B88D-61C096147BDE}"/>
    <cellStyle name="Normal 4 2 2 3 2 3 8" xfId="9026" xr:uid="{319D63D3-F71C-4F99-9FD1-E3D0665567E8}"/>
    <cellStyle name="Normal 4 2 2 3 2 3 8 2" xfId="27649" xr:uid="{15458547-8FB2-4A02-9E42-D09B1036DBA0}"/>
    <cellStyle name="Normal 4 2 2 3 2 3 8 3" xfId="18350" xr:uid="{9D365672-F755-4B89-811A-96564B637844}"/>
    <cellStyle name="Normal 4 2 2 3 2 3 9" xfId="19129" xr:uid="{1C27CEB0-9546-48E7-A240-FD43DF14840E}"/>
    <cellStyle name="Normal 4 2 2 3 2 4" xfId="817" xr:uid="{00000000-0005-0000-0000-000031120000}"/>
    <cellStyle name="Normal 4 2 2 3 2 4 2" xfId="3054" xr:uid="{00000000-0005-0000-0000-000032120000}"/>
    <cellStyle name="Normal 4 2 2 3 2 4 2 2" xfId="7276" xr:uid="{00000000-0005-0000-0000-000033120000}"/>
    <cellStyle name="Normal 4 2 2 3 2 4 2 2 2" xfId="25901" xr:uid="{97E9A165-625E-4B97-B5C7-4B9661DF9524}"/>
    <cellStyle name="Normal 4 2 2 3 2 4 2 2 3" xfId="16602" xr:uid="{7A2F9D96-91A1-4FD5-AB8F-4ADC1FFCD9A0}"/>
    <cellStyle name="Normal 4 2 2 3 2 4 2 3" xfId="21684" xr:uid="{15DF760B-0586-4ECA-9EFD-813C44EFDDA1}"/>
    <cellStyle name="Normal 4 2 2 3 2 4 2 4" xfId="12385" xr:uid="{419D76AD-0F84-4D9C-97A4-275E0559B800}"/>
    <cellStyle name="Normal 4 2 2 3 2 4 3" xfId="5131" xr:uid="{00000000-0005-0000-0000-000034120000}"/>
    <cellStyle name="Normal 4 2 2 3 2 4 3 2" xfId="23756" xr:uid="{D8F375B1-6D73-4DB9-B79E-DD161F634737}"/>
    <cellStyle name="Normal 4 2 2 3 2 4 3 3" xfId="14457" xr:uid="{AFE6E667-31F0-4B3B-9C93-E24BF58E2B1A}"/>
    <cellStyle name="Normal 4 2 2 3 2 4 4" xfId="9244" xr:uid="{98623F27-324A-40DE-AA2B-56E1FCE087EE}"/>
    <cellStyle name="Normal 4 2 2 3 2 4 4 2" xfId="27858" xr:uid="{0733A3ED-29EA-493D-B870-E390CE7326CF}"/>
    <cellStyle name="Normal 4 2 2 3 2 4 4 3" xfId="18559" xr:uid="{40BE3D04-52F1-442C-8E11-93698708A54E}"/>
    <cellStyle name="Normal 4 2 2 3 2 4 5" xfId="19539" xr:uid="{7257EBBA-B6ED-4BC4-B121-9613919AAAF7}"/>
    <cellStyle name="Normal 4 2 2 3 2 4 6" xfId="10240" xr:uid="{20455999-CEDF-4A9F-9D2D-F501E7682EDA}"/>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2 2 2" xfId="26314" xr:uid="{D1821EAE-6300-4992-A696-5ECD9C32EBBA}"/>
    <cellStyle name="Normal 4 2 2 3 2 5 2 2 3" xfId="17015" xr:uid="{E8E9B97A-497D-41DD-B2CF-47363D995ABC}"/>
    <cellStyle name="Normal 4 2 2 3 2 5 2 3" xfId="22097" xr:uid="{70CBE7DD-46CF-4535-8D31-DA0709F6FD99}"/>
    <cellStyle name="Normal 4 2 2 3 2 5 2 4" xfId="12798" xr:uid="{65B12E63-A965-4DE8-B70F-67528D3B3AE7}"/>
    <cellStyle name="Normal 4 2 2 3 2 5 3" xfId="5544" xr:uid="{00000000-0005-0000-0000-000038120000}"/>
    <cellStyle name="Normal 4 2 2 3 2 5 3 2" xfId="24169" xr:uid="{1AF5D5B0-E8C9-4E0C-9DEC-269D9800613E}"/>
    <cellStyle name="Normal 4 2 2 3 2 5 3 3" xfId="14870" xr:uid="{337A2C40-84F2-491A-AEE3-F657E2943BE4}"/>
    <cellStyle name="Normal 4 2 2 3 2 5 4" xfId="19952" xr:uid="{A817D722-0A17-47BE-8A6F-F0B8A2E621AD}"/>
    <cellStyle name="Normal 4 2 2 3 2 5 5" xfId="10653" xr:uid="{19F08496-19F6-47A3-84A4-570719C2185D}"/>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2 2 2" xfId="26727" xr:uid="{04A0ED8F-1629-48DE-A392-9B5ABBBD7C9F}"/>
    <cellStyle name="Normal 4 2 2 3 2 6 2 2 3" xfId="17428" xr:uid="{BA60EF3F-F8CA-4FD6-B395-12720112C855}"/>
    <cellStyle name="Normal 4 2 2 3 2 6 2 3" xfId="22510" xr:uid="{7158F464-CF70-47F6-BF26-902BBF64EC1E}"/>
    <cellStyle name="Normal 4 2 2 3 2 6 2 4" xfId="13211" xr:uid="{2EF35340-EBF2-46FF-B7BC-99A1CBC715F4}"/>
    <cellStyle name="Normal 4 2 2 3 2 6 3" xfId="5957" xr:uid="{00000000-0005-0000-0000-00003C120000}"/>
    <cellStyle name="Normal 4 2 2 3 2 6 3 2" xfId="24582" xr:uid="{4D47A97B-8484-45AC-AB5D-15FD6738E82D}"/>
    <cellStyle name="Normal 4 2 2 3 2 6 3 3" xfId="15283" xr:uid="{580A586D-39DF-4F86-AA61-6EB8463B47F6}"/>
    <cellStyle name="Normal 4 2 2 3 2 6 4" xfId="20365" xr:uid="{F2180E53-F6D1-4271-B41D-3C881EF79AF2}"/>
    <cellStyle name="Normal 4 2 2 3 2 6 5" xfId="11066" xr:uid="{3761DCDD-F2AC-40EA-9810-9CC494C9CBC7}"/>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2 2 2" xfId="27140" xr:uid="{97399CE5-07D0-4C0C-8182-B13099910F59}"/>
    <cellStyle name="Normal 4 2 2 3 2 7 2 2 3" xfId="17841" xr:uid="{891D2482-E3DA-49AA-B334-8B5835E47F67}"/>
    <cellStyle name="Normal 4 2 2 3 2 7 2 3" xfId="22923" xr:uid="{7F909260-4F5A-4FB5-B4E7-3642DE578D68}"/>
    <cellStyle name="Normal 4 2 2 3 2 7 2 4" xfId="13624" xr:uid="{41A6DE20-69B6-4BE5-BAB9-F8F3786696BB}"/>
    <cellStyle name="Normal 4 2 2 3 2 7 3" xfId="6370" xr:uid="{00000000-0005-0000-0000-000040120000}"/>
    <cellStyle name="Normal 4 2 2 3 2 7 3 2" xfId="24995" xr:uid="{EC8C28E1-8A61-408B-9C5E-9D00DC3093F8}"/>
    <cellStyle name="Normal 4 2 2 3 2 7 3 3" xfId="15696" xr:uid="{4C814474-298E-4185-A06A-670FBF9666E8}"/>
    <cellStyle name="Normal 4 2 2 3 2 7 4" xfId="20778" xr:uid="{5FBF4662-1959-4762-AD15-930D2933F5E0}"/>
    <cellStyle name="Normal 4 2 2 3 2 7 5" xfId="11479" xr:uid="{75393F64-4165-429F-82AD-FFF9D836933E}"/>
    <cellStyle name="Normal 4 2 2 3 2 8" xfId="2500" xr:uid="{00000000-0005-0000-0000-000041120000}"/>
    <cellStyle name="Normal 4 2 2 3 2 8 2" xfId="6783" xr:uid="{00000000-0005-0000-0000-000042120000}"/>
    <cellStyle name="Normal 4 2 2 3 2 8 2 2" xfId="25408" xr:uid="{11707BEA-1B31-4578-B14D-7ED384AB4923}"/>
    <cellStyle name="Normal 4 2 2 3 2 8 2 3" xfId="16109" xr:uid="{C951187E-B4A5-4570-8548-5DA8BD32A9D2}"/>
    <cellStyle name="Normal 4 2 2 3 2 8 3" xfId="21191" xr:uid="{EE30DAC4-301F-41D1-B7C0-324C5394C82A}"/>
    <cellStyle name="Normal 4 2 2 3 2 8 4" xfId="11892" xr:uid="{A3938EBC-A20B-46CF-AF7C-786CB6489854}"/>
    <cellStyle name="Normal 4 2 2 3 2 9" xfId="4718" xr:uid="{00000000-0005-0000-0000-000043120000}"/>
    <cellStyle name="Normal 4 2 2 3 2 9 2" xfId="23343" xr:uid="{94E464EE-89E9-4666-8281-1C472E063849}"/>
    <cellStyle name="Normal 4 2 2 3 2 9 3" xfId="14044" xr:uid="{F9DC30D6-D928-47EF-B7B4-AFC31620891A}"/>
    <cellStyle name="Normal 4 2 2 3 3" xfId="344" xr:uid="{00000000-0005-0000-0000-000044120000}"/>
    <cellStyle name="Normal 4 2 2 3 3 10" xfId="19130" xr:uid="{AD34CCE1-97FF-4698-B6E1-25059A8BB747}"/>
    <cellStyle name="Normal 4 2 2 3 3 11" xfId="9831" xr:uid="{7AC79F60-672C-4810-B00A-0D4F2684F8A2}"/>
    <cellStyle name="Normal 4 2 2 3 3 2" xfId="345" xr:uid="{00000000-0005-0000-0000-000045120000}"/>
    <cellStyle name="Normal 4 2 2 3 3 2 10" xfId="9832" xr:uid="{A5EF3F93-DFBC-4710-8F2A-682ACAD12AA7}"/>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2 2 2" xfId="25906" xr:uid="{7F0A1F01-9E5B-40E7-AB15-B1EF65AF961D}"/>
    <cellStyle name="Normal 4 2 2 3 3 2 2 2 2 3" xfId="16607" xr:uid="{D58A1FAD-53F5-4FB8-8BE7-99DA0F489E29}"/>
    <cellStyle name="Normal 4 2 2 3 3 2 2 2 3" xfId="21689" xr:uid="{D47C31FE-43E3-4FE9-9B5F-24072D9BB405}"/>
    <cellStyle name="Normal 4 2 2 3 3 2 2 2 4" xfId="12390" xr:uid="{A455D7C4-242F-4AB1-BB87-79435448B1B0}"/>
    <cellStyle name="Normal 4 2 2 3 3 2 2 3" xfId="5136" xr:uid="{00000000-0005-0000-0000-000049120000}"/>
    <cellStyle name="Normal 4 2 2 3 3 2 2 3 2" xfId="23761" xr:uid="{7892025B-E3C2-4F7B-839C-897B5902DD84}"/>
    <cellStyle name="Normal 4 2 2 3 3 2 2 3 3" xfId="14462" xr:uid="{E2E02BE9-0520-451E-AED5-E7A568DE0FD0}"/>
    <cellStyle name="Normal 4 2 2 3 3 2 2 4" xfId="9519" xr:uid="{FB4BBD6E-D73B-4ABD-8656-6C15D7932E02}"/>
    <cellStyle name="Normal 4 2 2 3 3 2 2 4 2" xfId="28133" xr:uid="{5BB09075-E618-41DD-83DC-9EA1E84CB264}"/>
    <cellStyle name="Normal 4 2 2 3 3 2 2 4 3" xfId="18834" xr:uid="{024F1D8B-9268-488B-951A-4DD81C48C905}"/>
    <cellStyle name="Normal 4 2 2 3 3 2 2 5" xfId="19544" xr:uid="{03957B95-80F2-4E00-9CDD-4599FE1FDA67}"/>
    <cellStyle name="Normal 4 2 2 3 3 2 2 6" xfId="10245" xr:uid="{FBBC2531-83C2-4C40-8364-FF46794B73F1}"/>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2 2 2" xfId="26319" xr:uid="{4A440B1B-03CD-44B0-93FE-9DA598C5EA81}"/>
    <cellStyle name="Normal 4 2 2 3 3 2 3 2 2 3" xfId="17020" xr:uid="{D748AC16-45D7-46F6-AAA9-945D912251F3}"/>
    <cellStyle name="Normal 4 2 2 3 3 2 3 2 3" xfId="22102" xr:uid="{271BD770-85E0-4FBC-8477-424C3A3F402E}"/>
    <cellStyle name="Normal 4 2 2 3 3 2 3 2 4" xfId="12803" xr:uid="{09C3EF67-4326-4E0E-BC30-AD0EC8199B05}"/>
    <cellStyle name="Normal 4 2 2 3 3 2 3 3" xfId="5549" xr:uid="{00000000-0005-0000-0000-00004D120000}"/>
    <cellStyle name="Normal 4 2 2 3 3 2 3 3 2" xfId="24174" xr:uid="{CAEAED1D-04A0-4CCB-8FB7-FA2026627271}"/>
    <cellStyle name="Normal 4 2 2 3 3 2 3 3 3" xfId="14875" xr:uid="{5CE16F22-490D-4B6D-B49B-5C76E32BD027}"/>
    <cellStyle name="Normal 4 2 2 3 3 2 3 4" xfId="19957" xr:uid="{C170B983-6FF7-4416-9637-FFFFA2CAC55A}"/>
    <cellStyle name="Normal 4 2 2 3 3 2 3 5" xfId="10658" xr:uid="{C41959F8-D109-407F-A8BA-95801E044849}"/>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2 2 2" xfId="26732" xr:uid="{BCF587D4-CC1B-4F93-9BF8-CFF6299CB58B}"/>
    <cellStyle name="Normal 4 2 2 3 3 2 4 2 2 3" xfId="17433" xr:uid="{370665E5-CD2E-402F-AD3F-8549931BF03E}"/>
    <cellStyle name="Normal 4 2 2 3 3 2 4 2 3" xfId="22515" xr:uid="{E461AC17-509D-4CCA-B566-DE6FD23DD725}"/>
    <cellStyle name="Normal 4 2 2 3 3 2 4 2 4" xfId="13216" xr:uid="{19160F7D-CC32-48BC-9059-E540C77C6C9B}"/>
    <cellStyle name="Normal 4 2 2 3 3 2 4 3" xfId="5962" xr:uid="{00000000-0005-0000-0000-000051120000}"/>
    <cellStyle name="Normal 4 2 2 3 3 2 4 3 2" xfId="24587" xr:uid="{B6EC1E9A-023D-4814-B67C-D95772CCED47}"/>
    <cellStyle name="Normal 4 2 2 3 3 2 4 3 3" xfId="15288" xr:uid="{A523EE4E-F721-454E-9089-24F0103B73E9}"/>
    <cellStyle name="Normal 4 2 2 3 3 2 4 4" xfId="20370" xr:uid="{E7048B64-B8AB-44A4-A5B0-16CC4CE7EB8D}"/>
    <cellStyle name="Normal 4 2 2 3 3 2 4 5" xfId="11071" xr:uid="{1DC00F72-AB1C-4F4F-A19B-61C89353ED03}"/>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2 2 2" xfId="27145" xr:uid="{16EE542A-5D42-46BB-B38F-4FD2C4D71DB8}"/>
    <cellStyle name="Normal 4 2 2 3 3 2 5 2 2 3" xfId="17846" xr:uid="{944DBCC7-500E-4B54-AEB5-B19A6A461E55}"/>
    <cellStyle name="Normal 4 2 2 3 3 2 5 2 3" xfId="22928" xr:uid="{5699566F-8611-4BA5-8AB6-921D7813EBE9}"/>
    <cellStyle name="Normal 4 2 2 3 3 2 5 2 4" xfId="13629" xr:uid="{F3DF03E2-0804-4E4B-BF95-0E3CF59B69BD}"/>
    <cellStyle name="Normal 4 2 2 3 3 2 5 3" xfId="6375" xr:uid="{00000000-0005-0000-0000-000055120000}"/>
    <cellStyle name="Normal 4 2 2 3 3 2 5 3 2" xfId="25000" xr:uid="{ACBBA579-991D-45CE-B5CC-F51B06F93C5B}"/>
    <cellStyle name="Normal 4 2 2 3 3 2 5 3 3" xfId="15701" xr:uid="{34224861-98ED-4C24-BD4E-55AB31FB9895}"/>
    <cellStyle name="Normal 4 2 2 3 3 2 5 4" xfId="20783" xr:uid="{E8A43155-4927-4D4D-B181-5B7B86089227}"/>
    <cellStyle name="Normal 4 2 2 3 3 2 5 5" xfId="11484" xr:uid="{CBCE9842-0AD6-4EBA-8D51-B6D7BBA731BF}"/>
    <cellStyle name="Normal 4 2 2 3 3 2 6" xfId="2505" xr:uid="{00000000-0005-0000-0000-000056120000}"/>
    <cellStyle name="Normal 4 2 2 3 3 2 6 2" xfId="6788" xr:uid="{00000000-0005-0000-0000-000057120000}"/>
    <cellStyle name="Normal 4 2 2 3 3 2 6 2 2" xfId="25413" xr:uid="{F5D940CB-8EDC-41C5-A8F7-56122F3337D3}"/>
    <cellStyle name="Normal 4 2 2 3 3 2 6 2 3" xfId="16114" xr:uid="{44603ECF-C95C-4332-892E-131D51624FC8}"/>
    <cellStyle name="Normal 4 2 2 3 3 2 6 3" xfId="21196" xr:uid="{52EAFF53-E84E-494D-817F-50C13D9E0CDF}"/>
    <cellStyle name="Normal 4 2 2 3 3 2 6 4" xfId="11897" xr:uid="{C074CF47-EBD4-4EE9-A38B-ADF4D8C53E28}"/>
    <cellStyle name="Normal 4 2 2 3 3 2 7" xfId="4723" xr:uid="{00000000-0005-0000-0000-000058120000}"/>
    <cellStyle name="Normal 4 2 2 3 3 2 7 2" xfId="23348" xr:uid="{C8300C3A-C0BF-409B-9559-849D188C7071}"/>
    <cellStyle name="Normal 4 2 2 3 3 2 7 3" xfId="14049" xr:uid="{6A81C85B-B52B-4A0B-8535-BE0A35F65184}"/>
    <cellStyle name="Normal 4 2 2 3 3 2 8" xfId="9094" xr:uid="{1333D468-E252-4686-88C1-38A56B910A8E}"/>
    <cellStyle name="Normal 4 2 2 3 3 2 8 2" xfId="27717" xr:uid="{7F4AF827-100D-4ECA-B87E-8784997FF2F1}"/>
    <cellStyle name="Normal 4 2 2 3 3 2 8 3" xfId="18418" xr:uid="{FCD0EFD6-9E79-4E86-B691-7C01198B860D}"/>
    <cellStyle name="Normal 4 2 2 3 3 2 9" xfId="19131" xr:uid="{323F1915-AE7A-4156-A878-A8E7CEA47D66}"/>
    <cellStyle name="Normal 4 2 2 3 3 3" xfId="821" xr:uid="{00000000-0005-0000-0000-000059120000}"/>
    <cellStyle name="Normal 4 2 2 3 3 3 2" xfId="3058" xr:uid="{00000000-0005-0000-0000-00005A120000}"/>
    <cellStyle name="Normal 4 2 2 3 3 3 2 2" xfId="7280" xr:uid="{00000000-0005-0000-0000-00005B120000}"/>
    <cellStyle name="Normal 4 2 2 3 3 3 2 2 2" xfId="25905" xr:uid="{D6043DA8-C2E8-497C-92AA-0D4FD455F017}"/>
    <cellStyle name="Normal 4 2 2 3 3 3 2 2 3" xfId="16606" xr:uid="{37ECC6C5-5D28-44CA-AA4A-6553017DB24E}"/>
    <cellStyle name="Normal 4 2 2 3 3 3 2 3" xfId="21688" xr:uid="{DDEC56D6-0761-4860-A5B2-43D33AE14228}"/>
    <cellStyle name="Normal 4 2 2 3 3 3 2 4" xfId="12389" xr:uid="{2B37D851-961B-4362-9A0B-425303457239}"/>
    <cellStyle name="Normal 4 2 2 3 3 3 3" xfId="5135" xr:uid="{00000000-0005-0000-0000-00005C120000}"/>
    <cellStyle name="Normal 4 2 2 3 3 3 3 2" xfId="23760" xr:uid="{08E9C91F-32B6-4D07-840D-42F5C835E6E2}"/>
    <cellStyle name="Normal 4 2 2 3 3 3 3 3" xfId="14461" xr:uid="{A77E9F2A-B970-4411-87EB-D99C47020A85}"/>
    <cellStyle name="Normal 4 2 2 3 3 3 4" xfId="9312" xr:uid="{0065946C-778C-4913-8F8B-68BBB1A30769}"/>
    <cellStyle name="Normal 4 2 2 3 3 3 4 2" xfId="27926" xr:uid="{B2223929-C692-4D62-B5BA-C1C4198CD72F}"/>
    <cellStyle name="Normal 4 2 2 3 3 3 4 3" xfId="18627" xr:uid="{5AADFD72-9F0E-431E-84A8-36D2A05AB7C3}"/>
    <cellStyle name="Normal 4 2 2 3 3 3 5" xfId="19543" xr:uid="{B05DD485-B690-4DC3-B51B-05540CF5BC3B}"/>
    <cellStyle name="Normal 4 2 2 3 3 3 6" xfId="10244" xr:uid="{0A23165D-71FB-4AF6-BACE-959029A392E1}"/>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2 2 2" xfId="26318" xr:uid="{DE8225DA-9E21-4F16-936B-14EE5F2060B8}"/>
    <cellStyle name="Normal 4 2 2 3 3 4 2 2 3" xfId="17019" xr:uid="{A54FAF07-62BB-42EC-B482-8C68ADB9F39D}"/>
    <cellStyle name="Normal 4 2 2 3 3 4 2 3" xfId="22101" xr:uid="{46C2377B-D271-4143-ADDF-681B5378B698}"/>
    <cellStyle name="Normal 4 2 2 3 3 4 2 4" xfId="12802" xr:uid="{5ADEF352-24E9-479C-B6E2-4445B1CC5B87}"/>
    <cellStyle name="Normal 4 2 2 3 3 4 3" xfId="5548" xr:uid="{00000000-0005-0000-0000-000060120000}"/>
    <cellStyle name="Normal 4 2 2 3 3 4 3 2" xfId="24173" xr:uid="{5187B2AE-7ACC-470B-AA7E-21B166B519DF}"/>
    <cellStyle name="Normal 4 2 2 3 3 4 3 3" xfId="14874" xr:uid="{8EC60CD4-D470-48C5-AD46-9AC4F7EED122}"/>
    <cellStyle name="Normal 4 2 2 3 3 4 4" xfId="19956" xr:uid="{BBC4ACC9-5246-447B-9069-7471460CA629}"/>
    <cellStyle name="Normal 4 2 2 3 3 4 5" xfId="10657" xr:uid="{3B2D2F74-803E-46CE-8370-BF1560FCE91E}"/>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2 2 2" xfId="26731" xr:uid="{CE2DFC6C-1C97-4260-B2D8-9BFF673FCB52}"/>
    <cellStyle name="Normal 4 2 2 3 3 5 2 2 3" xfId="17432" xr:uid="{3270918A-F241-4EC0-921D-A0A08E67CC01}"/>
    <cellStyle name="Normal 4 2 2 3 3 5 2 3" xfId="22514" xr:uid="{381FE4DF-D7F0-4763-87DB-032C42F3EEEE}"/>
    <cellStyle name="Normal 4 2 2 3 3 5 2 4" xfId="13215" xr:uid="{DCA1FBE7-3478-4174-BD29-A7DACBD9E62F}"/>
    <cellStyle name="Normal 4 2 2 3 3 5 3" xfId="5961" xr:uid="{00000000-0005-0000-0000-000064120000}"/>
    <cellStyle name="Normal 4 2 2 3 3 5 3 2" xfId="24586" xr:uid="{89C18CF0-5623-4B66-B9DD-433572E34D63}"/>
    <cellStyle name="Normal 4 2 2 3 3 5 3 3" xfId="15287" xr:uid="{FCE57A26-BC2F-41E2-8E7F-6C6CFD962367}"/>
    <cellStyle name="Normal 4 2 2 3 3 5 4" xfId="20369" xr:uid="{5E069613-99B7-4B94-93E8-83FEC3529EB3}"/>
    <cellStyle name="Normal 4 2 2 3 3 5 5" xfId="11070" xr:uid="{9EBB6D45-D19F-41DD-BBD9-B580A6CB4801}"/>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2 2 2" xfId="27144" xr:uid="{3531F2CF-789D-4E4C-92F9-715CE46C8CB3}"/>
    <cellStyle name="Normal 4 2 2 3 3 6 2 2 3" xfId="17845" xr:uid="{D793744A-90CE-4914-B793-D77B9D1A6FA9}"/>
    <cellStyle name="Normal 4 2 2 3 3 6 2 3" xfId="22927" xr:uid="{99473B6B-F96D-451B-8E57-9F463A1B41C5}"/>
    <cellStyle name="Normal 4 2 2 3 3 6 2 4" xfId="13628" xr:uid="{F5E585E2-A5A8-4D91-A0CF-5445E31724E8}"/>
    <cellStyle name="Normal 4 2 2 3 3 6 3" xfId="6374" xr:uid="{00000000-0005-0000-0000-000068120000}"/>
    <cellStyle name="Normal 4 2 2 3 3 6 3 2" xfId="24999" xr:uid="{AE70F809-C9B4-430E-929E-FADB9D575C27}"/>
    <cellStyle name="Normal 4 2 2 3 3 6 3 3" xfId="15700" xr:uid="{93F79C2C-0D35-4B03-B8CB-3B1C469F32E1}"/>
    <cellStyle name="Normal 4 2 2 3 3 6 4" xfId="20782" xr:uid="{4BB01BB5-FE4A-4A00-B3E1-6E2B08C5129A}"/>
    <cellStyle name="Normal 4 2 2 3 3 6 5" xfId="11483" xr:uid="{02F3E9CA-62AC-4C8E-AD69-A43C9D0840B8}"/>
    <cellStyle name="Normal 4 2 2 3 3 7" xfId="2504" xr:uid="{00000000-0005-0000-0000-000069120000}"/>
    <cellStyle name="Normal 4 2 2 3 3 7 2" xfId="6787" xr:uid="{00000000-0005-0000-0000-00006A120000}"/>
    <cellStyle name="Normal 4 2 2 3 3 7 2 2" xfId="25412" xr:uid="{8466699F-0F26-4308-95B0-08ABFFF1F0AC}"/>
    <cellStyle name="Normal 4 2 2 3 3 7 2 3" xfId="16113" xr:uid="{D0B5C982-5440-4E2D-9FDF-110479348A75}"/>
    <cellStyle name="Normal 4 2 2 3 3 7 3" xfId="21195" xr:uid="{CC7187D0-BEC0-4933-8119-913B0998DE2E}"/>
    <cellStyle name="Normal 4 2 2 3 3 7 4" xfId="11896" xr:uid="{F9992F56-07A8-4A07-97DB-8CE46D8E5CDA}"/>
    <cellStyle name="Normal 4 2 2 3 3 8" xfId="4722" xr:uid="{00000000-0005-0000-0000-00006B120000}"/>
    <cellStyle name="Normal 4 2 2 3 3 8 2" xfId="23347" xr:uid="{93A75E57-C22D-4391-8154-31C9596295E7}"/>
    <cellStyle name="Normal 4 2 2 3 3 8 3" xfId="14048" xr:uid="{27D70946-DD98-4D45-8169-B0F8451B6D26}"/>
    <cellStyle name="Normal 4 2 2 3 3 9" xfId="8887" xr:uid="{FD79599D-FD4F-44F4-A7A6-B948A2C15DD2}"/>
    <cellStyle name="Normal 4 2 2 3 3 9 2" xfId="27510" xr:uid="{4050AC16-50B1-4C77-89BB-9A476221D961}"/>
    <cellStyle name="Normal 4 2 2 3 3 9 3" xfId="18211" xr:uid="{048203E7-367E-4AC6-9C31-8F0DBD4207B4}"/>
    <cellStyle name="Normal 4 2 2 3 4" xfId="346" xr:uid="{00000000-0005-0000-0000-00006C120000}"/>
    <cellStyle name="Normal 4 2 2 3 4 10" xfId="9833" xr:uid="{59EDF84B-27F1-4BB7-ABD0-E084272E06F3}"/>
    <cellStyle name="Normal 4 2 2 3 4 2" xfId="823" xr:uid="{00000000-0005-0000-0000-00006D120000}"/>
    <cellStyle name="Normal 4 2 2 3 4 2 2" xfId="3060" xr:uid="{00000000-0005-0000-0000-00006E120000}"/>
    <cellStyle name="Normal 4 2 2 3 4 2 2 2" xfId="7282" xr:uid="{00000000-0005-0000-0000-00006F120000}"/>
    <cellStyle name="Normal 4 2 2 3 4 2 2 2 2" xfId="25907" xr:uid="{81D4A493-BB2F-432A-A404-C2310B78D6F2}"/>
    <cellStyle name="Normal 4 2 2 3 4 2 2 2 3" xfId="16608" xr:uid="{35B89557-3C9A-4B19-9EF7-10A531E5BFE0}"/>
    <cellStyle name="Normal 4 2 2 3 4 2 2 3" xfId="21690" xr:uid="{5405ED6F-3EF4-435E-81ED-A506B9AEC26D}"/>
    <cellStyle name="Normal 4 2 2 3 4 2 2 4" xfId="12391" xr:uid="{4D0C2068-C301-4021-A653-81711650E635}"/>
    <cellStyle name="Normal 4 2 2 3 4 2 3" xfId="5137" xr:uid="{00000000-0005-0000-0000-000070120000}"/>
    <cellStyle name="Normal 4 2 2 3 4 2 3 2" xfId="23762" xr:uid="{829F8745-C503-45B2-A1FE-8983ED7AA490}"/>
    <cellStyle name="Normal 4 2 2 3 4 2 3 3" xfId="14463" xr:uid="{3F373965-D514-4961-A2E9-5DDA7D57A882}"/>
    <cellStyle name="Normal 4 2 2 3 4 2 4" xfId="9416" xr:uid="{B0F1A5CD-0EDE-48A7-9669-6902681F696C}"/>
    <cellStyle name="Normal 4 2 2 3 4 2 4 2" xfId="28030" xr:uid="{B9B67447-CE0C-41BA-A73C-9797E20A06F8}"/>
    <cellStyle name="Normal 4 2 2 3 4 2 4 3" xfId="18731" xr:uid="{71B87D65-1112-4E56-9D2D-424728D97193}"/>
    <cellStyle name="Normal 4 2 2 3 4 2 5" xfId="19545" xr:uid="{9437F744-562B-4BBB-AC56-3CDA67F8B4A6}"/>
    <cellStyle name="Normal 4 2 2 3 4 2 6" xfId="10246" xr:uid="{1BACE149-3842-4BB1-9942-3BE839744BBD}"/>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2 2 2" xfId="26320" xr:uid="{26ADD875-AD5A-42C5-97A6-8AEDFE80A71A}"/>
    <cellStyle name="Normal 4 2 2 3 4 3 2 2 3" xfId="17021" xr:uid="{9FD48012-609E-47B2-BADA-1CAD4C7ADDA1}"/>
    <cellStyle name="Normal 4 2 2 3 4 3 2 3" xfId="22103" xr:uid="{6A7A2205-46B9-4E2D-A451-4BC85C67B50F}"/>
    <cellStyle name="Normal 4 2 2 3 4 3 2 4" xfId="12804" xr:uid="{E7D6B6DC-8060-47E2-8358-81043C99B57B}"/>
    <cellStyle name="Normal 4 2 2 3 4 3 3" xfId="5550" xr:uid="{00000000-0005-0000-0000-000074120000}"/>
    <cellStyle name="Normal 4 2 2 3 4 3 3 2" xfId="24175" xr:uid="{CF7ABE98-A6B5-4D62-A1E6-3405CD7DF9C4}"/>
    <cellStyle name="Normal 4 2 2 3 4 3 3 3" xfId="14876" xr:uid="{9D6F3F6C-23E1-4341-8BBE-DC5874D38BAE}"/>
    <cellStyle name="Normal 4 2 2 3 4 3 4" xfId="19958" xr:uid="{990A82A3-62CB-4CA1-9C69-8B0149E0F841}"/>
    <cellStyle name="Normal 4 2 2 3 4 3 5" xfId="10659" xr:uid="{BC242447-6480-4F77-8986-E4D0EFC11EC5}"/>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2 2 2" xfId="26733" xr:uid="{C3F0BE8C-0289-4D65-9167-338BED880D91}"/>
    <cellStyle name="Normal 4 2 2 3 4 4 2 2 3" xfId="17434" xr:uid="{E473BEE8-D6CC-4A60-995C-33709AFD761C}"/>
    <cellStyle name="Normal 4 2 2 3 4 4 2 3" xfId="22516" xr:uid="{1E97441C-680A-414A-9CF9-5D630EAA9F64}"/>
    <cellStyle name="Normal 4 2 2 3 4 4 2 4" xfId="13217" xr:uid="{45821B8C-23D1-403E-BAB3-19B7334AD1B2}"/>
    <cellStyle name="Normal 4 2 2 3 4 4 3" xfId="5963" xr:uid="{00000000-0005-0000-0000-000078120000}"/>
    <cellStyle name="Normal 4 2 2 3 4 4 3 2" xfId="24588" xr:uid="{E15A8975-C368-47F2-BE87-0521F546A847}"/>
    <cellStyle name="Normal 4 2 2 3 4 4 3 3" xfId="15289" xr:uid="{950D3A31-3768-45F0-9D2A-B3223D618B6B}"/>
    <cellStyle name="Normal 4 2 2 3 4 4 4" xfId="20371" xr:uid="{DFC307FA-FBD9-4021-9CD9-E09BDD7234F5}"/>
    <cellStyle name="Normal 4 2 2 3 4 4 5" xfId="11072" xr:uid="{02E8027C-F805-4BFD-AE53-407794734A43}"/>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2 2 2" xfId="27146" xr:uid="{BDC09F3E-C124-478F-8428-AE390F3BFE8D}"/>
    <cellStyle name="Normal 4 2 2 3 4 5 2 2 3" xfId="17847" xr:uid="{17DB30D6-A756-4628-95D1-82E9B2816A44}"/>
    <cellStyle name="Normal 4 2 2 3 4 5 2 3" xfId="22929" xr:uid="{2E89B52D-AF0D-4D74-A8B3-05AD30F2FF65}"/>
    <cellStyle name="Normal 4 2 2 3 4 5 2 4" xfId="13630" xr:uid="{05C3C043-53D7-4534-ADA8-D48F8352D64B}"/>
    <cellStyle name="Normal 4 2 2 3 4 5 3" xfId="6376" xr:uid="{00000000-0005-0000-0000-00007C120000}"/>
    <cellStyle name="Normal 4 2 2 3 4 5 3 2" xfId="25001" xr:uid="{E030F6A4-A557-462C-9CAF-83EC399AF5C5}"/>
    <cellStyle name="Normal 4 2 2 3 4 5 3 3" xfId="15702" xr:uid="{BA45AD1A-F8A9-4704-A351-AC314E295072}"/>
    <cellStyle name="Normal 4 2 2 3 4 5 4" xfId="20784" xr:uid="{51D7720C-2731-446B-A803-6463212E175C}"/>
    <cellStyle name="Normal 4 2 2 3 4 5 5" xfId="11485" xr:uid="{15534F19-425F-4B87-9A62-93B4C1B0D1BE}"/>
    <cellStyle name="Normal 4 2 2 3 4 6" xfId="2506" xr:uid="{00000000-0005-0000-0000-00007D120000}"/>
    <cellStyle name="Normal 4 2 2 3 4 6 2" xfId="6789" xr:uid="{00000000-0005-0000-0000-00007E120000}"/>
    <cellStyle name="Normal 4 2 2 3 4 6 2 2" xfId="25414" xr:uid="{BBC0C1CC-42B0-44F1-8888-4F7167876496}"/>
    <cellStyle name="Normal 4 2 2 3 4 6 2 3" xfId="16115" xr:uid="{0A6270B0-70A8-4DAC-8C8B-D6E951F39F6E}"/>
    <cellStyle name="Normal 4 2 2 3 4 6 3" xfId="21197" xr:uid="{09E2B502-996C-40BF-9D23-ED5101DD2C50}"/>
    <cellStyle name="Normal 4 2 2 3 4 6 4" xfId="11898" xr:uid="{A47CBA3E-DE3C-4726-BE50-DB2E69B8428E}"/>
    <cellStyle name="Normal 4 2 2 3 4 7" xfId="4724" xr:uid="{00000000-0005-0000-0000-00007F120000}"/>
    <cellStyle name="Normal 4 2 2 3 4 7 2" xfId="23349" xr:uid="{BEB29CA3-2C7F-49C4-BD2C-EA0CA55C118E}"/>
    <cellStyle name="Normal 4 2 2 3 4 7 3" xfId="14050" xr:uid="{21A3408C-4EB7-4B80-83FC-7BABB38205C2}"/>
    <cellStyle name="Normal 4 2 2 3 4 8" xfId="8991" xr:uid="{84464EC3-90C2-4B18-8399-135C935528F7}"/>
    <cellStyle name="Normal 4 2 2 3 4 8 2" xfId="27614" xr:uid="{C9062496-8951-416B-AE19-69C13FECFDB4}"/>
    <cellStyle name="Normal 4 2 2 3 4 8 3" xfId="18315" xr:uid="{3BE10FC1-4B94-4908-8340-E2D051EED505}"/>
    <cellStyle name="Normal 4 2 2 3 4 9" xfId="19132" xr:uid="{6A19923A-84C1-4495-A86F-650B3DFEE409}"/>
    <cellStyle name="Normal 4 2 2 3 5" xfId="816" xr:uid="{00000000-0005-0000-0000-000080120000}"/>
    <cellStyle name="Normal 4 2 2 3 5 2" xfId="3053" xr:uid="{00000000-0005-0000-0000-000081120000}"/>
    <cellStyle name="Normal 4 2 2 3 5 2 2" xfId="7275" xr:uid="{00000000-0005-0000-0000-000082120000}"/>
    <cellStyle name="Normal 4 2 2 3 5 2 2 2" xfId="25900" xr:uid="{72A7D3BF-94BC-4B6F-B7AD-97EF858ACB5E}"/>
    <cellStyle name="Normal 4 2 2 3 5 2 2 3" xfId="16601" xr:uid="{99128084-CBA4-4F6E-AF9F-D4229BCB608D}"/>
    <cellStyle name="Normal 4 2 2 3 5 2 3" xfId="21683" xr:uid="{5FC93966-73C9-4B74-929E-46875D40E28F}"/>
    <cellStyle name="Normal 4 2 2 3 5 2 4" xfId="12384" xr:uid="{2E1D0201-F3D3-410B-8C34-63380F1D801B}"/>
    <cellStyle name="Normal 4 2 2 3 5 3" xfId="5130" xr:uid="{00000000-0005-0000-0000-000083120000}"/>
    <cellStyle name="Normal 4 2 2 3 5 3 2" xfId="23755" xr:uid="{FD257F4B-9209-4FE3-861D-4FE0A69CD3D1}"/>
    <cellStyle name="Normal 4 2 2 3 5 3 3" xfId="14456" xr:uid="{62A9EE81-A0A1-49C0-94F5-68BFA07736D5}"/>
    <cellStyle name="Normal 4 2 2 3 5 4" xfId="9208" xr:uid="{7BF9CD11-B90D-42F2-928D-A8BE344C6F46}"/>
    <cellStyle name="Normal 4 2 2 3 5 4 2" xfId="27823" xr:uid="{78FD5060-ADB2-46B3-8A28-AF4D76AEFC8C}"/>
    <cellStyle name="Normal 4 2 2 3 5 4 3" xfId="18524" xr:uid="{D34386A3-E528-47E6-88AD-B73DD3AFE534}"/>
    <cellStyle name="Normal 4 2 2 3 5 5" xfId="19538" xr:uid="{312ED5E8-D03B-4F61-AE32-B5A2925F43EA}"/>
    <cellStyle name="Normal 4 2 2 3 5 6" xfId="10239" xr:uid="{7A0CE172-5183-4E2F-A375-5387238F195F}"/>
    <cellStyle name="Normal 4 2 2 3 6" xfId="1236" xr:uid="{00000000-0005-0000-0000-000084120000}"/>
    <cellStyle name="Normal 4 2 2 3 6 2" xfId="3466" xr:uid="{00000000-0005-0000-0000-000085120000}"/>
    <cellStyle name="Normal 4 2 2 3 6 2 2" xfId="7688" xr:uid="{00000000-0005-0000-0000-000086120000}"/>
    <cellStyle name="Normal 4 2 2 3 6 2 2 2" xfId="26313" xr:uid="{0326CABF-B8DA-4CC5-BD79-4F298E0768C8}"/>
    <cellStyle name="Normal 4 2 2 3 6 2 2 3" xfId="17014" xr:uid="{65BF9441-68A5-4D84-9485-BA51BEC15541}"/>
    <cellStyle name="Normal 4 2 2 3 6 2 3" xfId="22096" xr:uid="{FCDF5FA7-8B4A-40EB-BCFA-028DB31A90D9}"/>
    <cellStyle name="Normal 4 2 2 3 6 2 4" xfId="12797" xr:uid="{33DC2D52-D9EF-442A-92C4-9E987939035C}"/>
    <cellStyle name="Normal 4 2 2 3 6 3" xfId="5543" xr:uid="{00000000-0005-0000-0000-000087120000}"/>
    <cellStyle name="Normal 4 2 2 3 6 3 2" xfId="24168" xr:uid="{A9DA1D31-B331-4F33-803C-3874F49A1D3F}"/>
    <cellStyle name="Normal 4 2 2 3 6 3 3" xfId="14869" xr:uid="{1294A068-AF82-4E1D-B5B3-5006B5FE948D}"/>
    <cellStyle name="Normal 4 2 2 3 6 4" xfId="19951" xr:uid="{790AF9B4-EE8E-4207-9AC1-BF5750DBB464}"/>
    <cellStyle name="Normal 4 2 2 3 6 5" xfId="10652" xr:uid="{A381B348-2105-4889-890F-B9F85B9D334C}"/>
    <cellStyle name="Normal 4 2 2 3 7" xfId="1649" xr:uid="{00000000-0005-0000-0000-000088120000}"/>
    <cellStyle name="Normal 4 2 2 3 7 2" xfId="3879" xr:uid="{00000000-0005-0000-0000-000089120000}"/>
    <cellStyle name="Normal 4 2 2 3 7 2 2" xfId="8101" xr:uid="{00000000-0005-0000-0000-00008A120000}"/>
    <cellStyle name="Normal 4 2 2 3 7 2 2 2" xfId="26726" xr:uid="{D5936BB7-B7E3-4EE5-BE26-858BE4196D01}"/>
    <cellStyle name="Normal 4 2 2 3 7 2 2 3" xfId="17427" xr:uid="{459CC02F-5996-4BD5-98E4-4DB7A427F89E}"/>
    <cellStyle name="Normal 4 2 2 3 7 2 3" xfId="22509" xr:uid="{390CE7E3-59E6-461C-BE71-4E6FDDF3C3F7}"/>
    <cellStyle name="Normal 4 2 2 3 7 2 4" xfId="13210" xr:uid="{314AA8C0-0A70-488F-978B-3ADE4FE91C74}"/>
    <cellStyle name="Normal 4 2 2 3 7 3" xfId="5956" xr:uid="{00000000-0005-0000-0000-00008B120000}"/>
    <cellStyle name="Normal 4 2 2 3 7 3 2" xfId="24581" xr:uid="{9EC86CF5-9103-4B07-B61D-E0D2439A7B95}"/>
    <cellStyle name="Normal 4 2 2 3 7 3 3" xfId="15282" xr:uid="{0489C2E1-FFD0-4D5F-BA98-538780684E15}"/>
    <cellStyle name="Normal 4 2 2 3 7 4" xfId="20364" xr:uid="{76F9702C-E3F5-4A3F-98B6-909BB4F4BCCE}"/>
    <cellStyle name="Normal 4 2 2 3 7 5" xfId="11065" xr:uid="{E51414C3-F442-4A8D-AD46-A4E11EB2FD1C}"/>
    <cellStyle name="Normal 4 2 2 3 8" xfId="2063" xr:uid="{00000000-0005-0000-0000-00008C120000}"/>
    <cellStyle name="Normal 4 2 2 3 8 2" xfId="4292" xr:uid="{00000000-0005-0000-0000-00008D120000}"/>
    <cellStyle name="Normal 4 2 2 3 8 2 2" xfId="8514" xr:uid="{00000000-0005-0000-0000-00008E120000}"/>
    <cellStyle name="Normal 4 2 2 3 8 2 2 2" xfId="27139" xr:uid="{8CE19246-68E4-4F70-8FFE-4CD0284F98DC}"/>
    <cellStyle name="Normal 4 2 2 3 8 2 2 3" xfId="17840" xr:uid="{D2C0D5E5-4232-4CA3-A531-99DCB042D543}"/>
    <cellStyle name="Normal 4 2 2 3 8 2 3" xfId="22922" xr:uid="{8A516220-127C-45D2-9886-9ACC742379A8}"/>
    <cellStyle name="Normal 4 2 2 3 8 2 4" xfId="13623" xr:uid="{0FB575BE-9FFA-4957-B726-65EBE6CFE98C}"/>
    <cellStyle name="Normal 4 2 2 3 8 3" xfId="6369" xr:uid="{00000000-0005-0000-0000-00008F120000}"/>
    <cellStyle name="Normal 4 2 2 3 8 3 2" xfId="24994" xr:uid="{8CE175FD-02E2-4F36-870E-40F7F66A0D22}"/>
    <cellStyle name="Normal 4 2 2 3 8 3 3" xfId="15695" xr:uid="{DD5F8E66-6E50-445B-9B9D-04F41CA7EDA6}"/>
    <cellStyle name="Normal 4 2 2 3 8 4" xfId="20777" xr:uid="{B93EB247-EC64-47E6-A95E-97371D8B7DC5}"/>
    <cellStyle name="Normal 4 2 2 3 8 5" xfId="11478" xr:uid="{0C4570FD-B38A-4364-AD49-F064766E28F2}"/>
    <cellStyle name="Normal 4 2 2 3 9" xfId="2499" xr:uid="{00000000-0005-0000-0000-000090120000}"/>
    <cellStyle name="Normal 4 2 2 3 9 2" xfId="6782" xr:uid="{00000000-0005-0000-0000-000091120000}"/>
    <cellStyle name="Normal 4 2 2 3 9 2 2" xfId="25407" xr:uid="{D261928D-916D-4A44-BBE3-D26213D6C4AF}"/>
    <cellStyle name="Normal 4 2 2 3 9 2 3" xfId="16108" xr:uid="{6D6FE7C4-61DC-4DE5-ACE8-424317BA2739}"/>
    <cellStyle name="Normal 4 2 2 3 9 3" xfId="21190" xr:uid="{ED18F31E-77AD-4590-9876-DB456443C1B5}"/>
    <cellStyle name="Normal 4 2 2 3 9 4" xfId="11891" xr:uid="{0B4E6614-B30D-4BB9-9CA1-FB85ABE98E26}"/>
    <cellStyle name="Normal 4 2 2 4" xfId="347" xr:uid="{00000000-0005-0000-0000-000092120000}"/>
    <cellStyle name="Normal 4 2 2 4 10" xfId="8818" xr:uid="{A73977A7-52C6-4368-9F59-166E1B99BBDE}"/>
    <cellStyle name="Normal 4 2 2 4 10 2" xfId="27441" xr:uid="{F199E9CF-F33E-4FC1-BF1A-DBA80F0DC516}"/>
    <cellStyle name="Normal 4 2 2 4 10 3" xfId="18142" xr:uid="{3963F92D-7349-4E49-87F1-51472E0D5CC2}"/>
    <cellStyle name="Normal 4 2 2 4 11" xfId="19133" xr:uid="{B4507E84-F5A2-4543-A6CE-33B3A48123CB}"/>
    <cellStyle name="Normal 4 2 2 4 12" xfId="9834" xr:uid="{B6594006-00A9-42B9-8C43-C1DE4F488424}"/>
    <cellStyle name="Normal 4 2 2 4 2" xfId="348" xr:uid="{00000000-0005-0000-0000-000093120000}"/>
    <cellStyle name="Normal 4 2 2 4 2 10" xfId="19134" xr:uid="{4F703EC8-C2CD-4CC6-817D-AF1836ED834B}"/>
    <cellStyle name="Normal 4 2 2 4 2 11" xfId="9835" xr:uid="{80C2FF67-AAD1-45ED-BF68-DABC4877385D}"/>
    <cellStyle name="Normal 4 2 2 4 2 2" xfId="349" xr:uid="{00000000-0005-0000-0000-000094120000}"/>
    <cellStyle name="Normal 4 2 2 4 2 2 10" xfId="9836" xr:uid="{9CC8EE46-2258-4029-ABC7-E697FA424233}"/>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2 2 2" xfId="25910" xr:uid="{F6B1D1F8-1C65-446A-B957-1A0EC4C55D3D}"/>
    <cellStyle name="Normal 4 2 2 4 2 2 2 2 2 3" xfId="16611" xr:uid="{50CA4890-2C27-430A-B27F-71944A535B6B}"/>
    <cellStyle name="Normal 4 2 2 4 2 2 2 2 3" xfId="21693" xr:uid="{93EFE404-E6D7-4D3F-9C60-5C479BDCF419}"/>
    <cellStyle name="Normal 4 2 2 4 2 2 2 2 4" xfId="12394" xr:uid="{5983D9AC-8A87-44E4-BE4C-5295368D34C3}"/>
    <cellStyle name="Normal 4 2 2 4 2 2 2 3" xfId="5140" xr:uid="{00000000-0005-0000-0000-000098120000}"/>
    <cellStyle name="Normal 4 2 2 4 2 2 2 3 2" xfId="23765" xr:uid="{0F29FB36-32F6-43A0-8F8D-070BD7067BE8}"/>
    <cellStyle name="Normal 4 2 2 4 2 2 2 3 3" xfId="14466" xr:uid="{642CA703-62BD-433C-9929-8510337F9E2C}"/>
    <cellStyle name="Normal 4 2 2 4 2 2 2 4" xfId="9553" xr:uid="{7FCAF883-2374-4470-BA95-AD8EB054639C}"/>
    <cellStyle name="Normal 4 2 2 4 2 2 2 4 2" xfId="28167" xr:uid="{5509DDD2-C757-4697-93DE-D7B9A3E7FDCE}"/>
    <cellStyle name="Normal 4 2 2 4 2 2 2 4 3" xfId="18868" xr:uid="{8462B96A-B25B-4BBA-8605-D85288B7608A}"/>
    <cellStyle name="Normal 4 2 2 4 2 2 2 5" xfId="19548" xr:uid="{17682907-AC1E-4A06-9E9E-E349546F3200}"/>
    <cellStyle name="Normal 4 2 2 4 2 2 2 6" xfId="10249" xr:uid="{C157C26A-C381-434D-8B95-539ADB981C79}"/>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2 2 2" xfId="26323" xr:uid="{A79D2F94-EB0E-4C05-A194-A0B5CD9667B6}"/>
    <cellStyle name="Normal 4 2 2 4 2 2 3 2 2 3" xfId="17024" xr:uid="{0CDC82A2-CC69-4E4A-A527-9364B4455FC4}"/>
    <cellStyle name="Normal 4 2 2 4 2 2 3 2 3" xfId="22106" xr:uid="{7B90BD67-1D34-4CF5-BE44-3E23F31F2DC5}"/>
    <cellStyle name="Normal 4 2 2 4 2 2 3 2 4" xfId="12807" xr:uid="{8F1BAE76-BE0F-42ED-8659-B1DF6A441401}"/>
    <cellStyle name="Normal 4 2 2 4 2 2 3 3" xfId="5553" xr:uid="{00000000-0005-0000-0000-00009C120000}"/>
    <cellStyle name="Normal 4 2 2 4 2 2 3 3 2" xfId="24178" xr:uid="{4CB998E8-9314-4573-8BF0-CE8F7B7BD7EC}"/>
    <cellStyle name="Normal 4 2 2 4 2 2 3 3 3" xfId="14879" xr:uid="{7D71C4E9-5821-4E93-A643-5D89FCEE3B81}"/>
    <cellStyle name="Normal 4 2 2 4 2 2 3 4" xfId="19961" xr:uid="{4794D93D-7192-471E-8FA8-5EBBD2F0A172}"/>
    <cellStyle name="Normal 4 2 2 4 2 2 3 5" xfId="10662" xr:uid="{50CA3C3B-185F-476A-B0A9-756C7338E121}"/>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2 2 2" xfId="26736" xr:uid="{EDF86BAE-D1A8-4D16-AFF9-42CE9EBFA5CC}"/>
    <cellStyle name="Normal 4 2 2 4 2 2 4 2 2 3" xfId="17437" xr:uid="{63217713-C8EB-41B2-A383-99E5CF55EEFC}"/>
    <cellStyle name="Normal 4 2 2 4 2 2 4 2 3" xfId="22519" xr:uid="{A68C9AFF-2BF5-4680-A536-41B3D8612CF8}"/>
    <cellStyle name="Normal 4 2 2 4 2 2 4 2 4" xfId="13220" xr:uid="{1EC3E084-7CD5-4052-AEA4-48DE842F087B}"/>
    <cellStyle name="Normal 4 2 2 4 2 2 4 3" xfId="5966" xr:uid="{00000000-0005-0000-0000-0000A0120000}"/>
    <cellStyle name="Normal 4 2 2 4 2 2 4 3 2" xfId="24591" xr:uid="{DD779570-1F3A-4EDD-BF89-33E822DE6BAF}"/>
    <cellStyle name="Normal 4 2 2 4 2 2 4 3 3" xfId="15292" xr:uid="{46F80CB2-2B1C-437A-9817-E4D43DA997AB}"/>
    <cellStyle name="Normal 4 2 2 4 2 2 4 4" xfId="20374" xr:uid="{2C7837AD-7101-495A-A739-1B95F9B61836}"/>
    <cellStyle name="Normal 4 2 2 4 2 2 4 5" xfId="11075" xr:uid="{1821B2C5-6CA5-403E-80D3-EBA69C500686}"/>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2 2 2" xfId="27149" xr:uid="{A2CBF3E4-C87B-4F8D-97E9-75C0FC6FA67C}"/>
    <cellStyle name="Normal 4 2 2 4 2 2 5 2 2 3" xfId="17850" xr:uid="{EFDDE3DA-6AA1-4BAC-BDC4-8D66D168C4D3}"/>
    <cellStyle name="Normal 4 2 2 4 2 2 5 2 3" xfId="22932" xr:uid="{E9C81D4B-1D76-4D5D-BC65-C735897EED40}"/>
    <cellStyle name="Normal 4 2 2 4 2 2 5 2 4" xfId="13633" xr:uid="{D63B3BB9-7C8A-4411-AB82-5CF981566299}"/>
    <cellStyle name="Normal 4 2 2 4 2 2 5 3" xfId="6379" xr:uid="{00000000-0005-0000-0000-0000A4120000}"/>
    <cellStyle name="Normal 4 2 2 4 2 2 5 3 2" xfId="25004" xr:uid="{5D4B474B-C62D-464F-A404-656F85B96674}"/>
    <cellStyle name="Normal 4 2 2 4 2 2 5 3 3" xfId="15705" xr:uid="{4A263546-7EEF-49F6-A930-B065BCCDD1C6}"/>
    <cellStyle name="Normal 4 2 2 4 2 2 5 4" xfId="20787" xr:uid="{CACA5AA2-5290-49AC-AFAC-630CC72BD3A4}"/>
    <cellStyle name="Normal 4 2 2 4 2 2 5 5" xfId="11488" xr:uid="{C87CAA9A-2D76-4075-91D1-EEE920A90A64}"/>
    <cellStyle name="Normal 4 2 2 4 2 2 6" xfId="2509" xr:uid="{00000000-0005-0000-0000-0000A5120000}"/>
    <cellStyle name="Normal 4 2 2 4 2 2 6 2" xfId="6792" xr:uid="{00000000-0005-0000-0000-0000A6120000}"/>
    <cellStyle name="Normal 4 2 2 4 2 2 6 2 2" xfId="25417" xr:uid="{D4D5F581-85D0-44A2-B277-2555082BDA16}"/>
    <cellStyle name="Normal 4 2 2 4 2 2 6 2 3" xfId="16118" xr:uid="{0687E6A7-D3B6-425B-9E17-44B275F15550}"/>
    <cellStyle name="Normal 4 2 2 4 2 2 6 3" xfId="21200" xr:uid="{FD64A7DD-A032-4B99-9365-FF4D149C4796}"/>
    <cellStyle name="Normal 4 2 2 4 2 2 6 4" xfId="11901" xr:uid="{28078583-F878-4F78-98EA-9DEE3851E926}"/>
    <cellStyle name="Normal 4 2 2 4 2 2 7" xfId="4727" xr:uid="{00000000-0005-0000-0000-0000A7120000}"/>
    <cellStyle name="Normal 4 2 2 4 2 2 7 2" xfId="23352" xr:uid="{0A22BAE9-0BD2-426D-B90A-EF8A7EB42224}"/>
    <cellStyle name="Normal 4 2 2 4 2 2 7 3" xfId="14053" xr:uid="{E82AE604-5FA7-48FF-B154-8D84ADDFD9EB}"/>
    <cellStyle name="Normal 4 2 2 4 2 2 8" xfId="9128" xr:uid="{3D9AD2A4-E3D1-4BAF-8F43-BFB1FE8E222D}"/>
    <cellStyle name="Normal 4 2 2 4 2 2 8 2" xfId="27751" xr:uid="{A287514C-34FB-49C0-95A0-BEEFF6AB86FD}"/>
    <cellStyle name="Normal 4 2 2 4 2 2 8 3" xfId="18452" xr:uid="{363492E3-9A65-4FD0-ABEE-304E720D0A37}"/>
    <cellStyle name="Normal 4 2 2 4 2 2 9" xfId="19135" xr:uid="{0404C634-FFED-40FB-A42E-3536F1D51355}"/>
    <cellStyle name="Normal 4 2 2 4 2 3" xfId="825" xr:uid="{00000000-0005-0000-0000-0000A8120000}"/>
    <cellStyle name="Normal 4 2 2 4 2 3 2" xfId="3062" xr:uid="{00000000-0005-0000-0000-0000A9120000}"/>
    <cellStyle name="Normal 4 2 2 4 2 3 2 2" xfId="7284" xr:uid="{00000000-0005-0000-0000-0000AA120000}"/>
    <cellStyle name="Normal 4 2 2 4 2 3 2 2 2" xfId="25909" xr:uid="{334A4437-2D30-4986-B508-CCAF1D99ACF7}"/>
    <cellStyle name="Normal 4 2 2 4 2 3 2 2 3" xfId="16610" xr:uid="{DA81501D-222B-45FA-819A-664C3F819A4A}"/>
    <cellStyle name="Normal 4 2 2 4 2 3 2 3" xfId="21692" xr:uid="{8D186958-478D-4FD1-8EEC-EF61BFE7E7B0}"/>
    <cellStyle name="Normal 4 2 2 4 2 3 2 4" xfId="12393" xr:uid="{070688B9-5549-4C11-9552-D5B0F3562464}"/>
    <cellStyle name="Normal 4 2 2 4 2 3 3" xfId="5139" xr:uid="{00000000-0005-0000-0000-0000AB120000}"/>
    <cellStyle name="Normal 4 2 2 4 2 3 3 2" xfId="23764" xr:uid="{83F333A7-8529-4CAF-975C-8C01C99E6284}"/>
    <cellStyle name="Normal 4 2 2 4 2 3 3 3" xfId="14465" xr:uid="{34AE8021-6E0E-4896-8F81-E990635D6B2B}"/>
    <cellStyle name="Normal 4 2 2 4 2 3 4" xfId="9346" xr:uid="{11110DEC-01F5-467C-B0F9-3286FF7E57CB}"/>
    <cellStyle name="Normal 4 2 2 4 2 3 4 2" xfId="27960" xr:uid="{77B43273-1982-42E8-9B9E-F5A0C9029F97}"/>
    <cellStyle name="Normal 4 2 2 4 2 3 4 3" xfId="18661" xr:uid="{B3B5651F-4344-4A93-8D25-0B58B2ED5BA5}"/>
    <cellStyle name="Normal 4 2 2 4 2 3 5" xfId="19547" xr:uid="{F5D7F7A1-A82E-4066-9FE2-40719BA804F7}"/>
    <cellStyle name="Normal 4 2 2 4 2 3 6" xfId="10248" xr:uid="{9B1AF90B-FF0A-4096-A1DF-F2E6FF69E121}"/>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2 2 2" xfId="26322" xr:uid="{D86F7876-09C1-43B0-8B77-207890EFABA7}"/>
    <cellStyle name="Normal 4 2 2 4 2 4 2 2 3" xfId="17023" xr:uid="{416E22AC-D1A0-4CAA-8305-E8660AF028CF}"/>
    <cellStyle name="Normal 4 2 2 4 2 4 2 3" xfId="22105" xr:uid="{248B6234-F32F-4645-BFD4-439BC4E00192}"/>
    <cellStyle name="Normal 4 2 2 4 2 4 2 4" xfId="12806" xr:uid="{AB3460DF-23D3-4D06-9F9F-B0CD0A96C4B7}"/>
    <cellStyle name="Normal 4 2 2 4 2 4 3" xfId="5552" xr:uid="{00000000-0005-0000-0000-0000AF120000}"/>
    <cellStyle name="Normal 4 2 2 4 2 4 3 2" xfId="24177" xr:uid="{9F9424E0-29A2-4D19-BC5D-4F66778F3F41}"/>
    <cellStyle name="Normal 4 2 2 4 2 4 3 3" xfId="14878" xr:uid="{E3541B13-5D0C-496A-8066-0A96ACAEFDA0}"/>
    <cellStyle name="Normal 4 2 2 4 2 4 4" xfId="19960" xr:uid="{7BF6C6CD-E2F5-41A8-87E9-58470F65637B}"/>
    <cellStyle name="Normal 4 2 2 4 2 4 5" xfId="10661" xr:uid="{136EC1F0-7DE5-4E2F-8421-AFC25424621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2 2 2" xfId="26735" xr:uid="{9AE9CCFC-BFF9-493B-B51D-C447872AB4F0}"/>
    <cellStyle name="Normal 4 2 2 4 2 5 2 2 3" xfId="17436" xr:uid="{6F069816-757E-4094-967A-9BEA0A4D69BC}"/>
    <cellStyle name="Normal 4 2 2 4 2 5 2 3" xfId="22518" xr:uid="{4C2373C8-E34C-4C53-AA47-6A92CC42201A}"/>
    <cellStyle name="Normal 4 2 2 4 2 5 2 4" xfId="13219" xr:uid="{C566705F-A977-49E1-8EA1-EE2C056059A5}"/>
    <cellStyle name="Normal 4 2 2 4 2 5 3" xfId="5965" xr:uid="{00000000-0005-0000-0000-0000B3120000}"/>
    <cellStyle name="Normal 4 2 2 4 2 5 3 2" xfId="24590" xr:uid="{EA7DD7E3-506A-4C26-AAB8-35587A9139B1}"/>
    <cellStyle name="Normal 4 2 2 4 2 5 3 3" xfId="15291" xr:uid="{B5F392A9-92CC-4255-9F39-3834D1EA4BB2}"/>
    <cellStyle name="Normal 4 2 2 4 2 5 4" xfId="20373" xr:uid="{A1CB6DE6-98B6-4202-AA6B-23AD4DE14C50}"/>
    <cellStyle name="Normal 4 2 2 4 2 5 5" xfId="11074" xr:uid="{8CF4D62A-A53D-4067-8784-54DF595B61B3}"/>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2 2 2" xfId="27148" xr:uid="{59AD0205-EA4C-4064-89B2-C8FB75F5F192}"/>
    <cellStyle name="Normal 4 2 2 4 2 6 2 2 3" xfId="17849" xr:uid="{8F983B04-9091-4C14-9FA4-FA08DBF14EB8}"/>
    <cellStyle name="Normal 4 2 2 4 2 6 2 3" xfId="22931" xr:uid="{70D97DD8-5AF1-4235-8DAE-93748607D4EB}"/>
    <cellStyle name="Normal 4 2 2 4 2 6 2 4" xfId="13632" xr:uid="{10B94CD1-6B5C-4439-8695-A92BE472CFDD}"/>
    <cellStyle name="Normal 4 2 2 4 2 6 3" xfId="6378" xr:uid="{00000000-0005-0000-0000-0000B7120000}"/>
    <cellStyle name="Normal 4 2 2 4 2 6 3 2" xfId="25003" xr:uid="{D85AB9C4-2765-4E21-A86B-5E6A4C2EF691}"/>
    <cellStyle name="Normal 4 2 2 4 2 6 3 3" xfId="15704" xr:uid="{F2FCFC67-6C98-4292-BBAC-4442CECE83DA}"/>
    <cellStyle name="Normal 4 2 2 4 2 6 4" xfId="20786" xr:uid="{1AF17A9B-E284-426A-9046-90C8CB9DD000}"/>
    <cellStyle name="Normal 4 2 2 4 2 6 5" xfId="11487" xr:uid="{23DCF401-4BD3-4EEE-8292-C996AE9989E4}"/>
    <cellStyle name="Normal 4 2 2 4 2 7" xfId="2508" xr:uid="{00000000-0005-0000-0000-0000B8120000}"/>
    <cellStyle name="Normal 4 2 2 4 2 7 2" xfId="6791" xr:uid="{00000000-0005-0000-0000-0000B9120000}"/>
    <cellStyle name="Normal 4 2 2 4 2 7 2 2" xfId="25416" xr:uid="{7664F395-3C5B-4559-B794-402C5DC1ACBC}"/>
    <cellStyle name="Normal 4 2 2 4 2 7 2 3" xfId="16117" xr:uid="{14E94AB2-13E0-4DE1-8579-FB72DA015F18}"/>
    <cellStyle name="Normal 4 2 2 4 2 7 3" xfId="21199" xr:uid="{7D26B559-CD53-4355-89EB-B80BC56BB3D8}"/>
    <cellStyle name="Normal 4 2 2 4 2 7 4" xfId="11900" xr:uid="{A3C0ADC0-54F9-4BC5-8ABA-BA29B0A4A10B}"/>
    <cellStyle name="Normal 4 2 2 4 2 8" xfId="4726" xr:uid="{00000000-0005-0000-0000-0000BA120000}"/>
    <cellStyle name="Normal 4 2 2 4 2 8 2" xfId="23351" xr:uid="{CC624F2F-E314-4C61-B872-499CBBA3AC90}"/>
    <cellStyle name="Normal 4 2 2 4 2 8 3" xfId="14052" xr:uid="{4965BF1B-8E93-45ED-9F61-CE06C9703439}"/>
    <cellStyle name="Normal 4 2 2 4 2 9" xfId="8921" xr:uid="{43AA3CA1-A6D2-47CC-8276-CBFAB7238AA6}"/>
    <cellStyle name="Normal 4 2 2 4 2 9 2" xfId="27544" xr:uid="{CDE0E562-A828-4EDC-919E-20AF2CB6FB68}"/>
    <cellStyle name="Normal 4 2 2 4 2 9 3" xfId="18245" xr:uid="{48F7ECDC-3347-4328-9DE7-5C16A2191C54}"/>
    <cellStyle name="Normal 4 2 2 4 3" xfId="350" xr:uid="{00000000-0005-0000-0000-0000BB120000}"/>
    <cellStyle name="Normal 4 2 2 4 3 10" xfId="9837" xr:uid="{00E1AA38-4EA7-4486-BD41-A53B24DE9A44}"/>
    <cellStyle name="Normal 4 2 2 4 3 2" xfId="827" xr:uid="{00000000-0005-0000-0000-0000BC120000}"/>
    <cellStyle name="Normal 4 2 2 4 3 2 2" xfId="3064" xr:uid="{00000000-0005-0000-0000-0000BD120000}"/>
    <cellStyle name="Normal 4 2 2 4 3 2 2 2" xfId="7286" xr:uid="{00000000-0005-0000-0000-0000BE120000}"/>
    <cellStyle name="Normal 4 2 2 4 3 2 2 2 2" xfId="25911" xr:uid="{04FBA98C-8200-465E-9376-22E29D92E66F}"/>
    <cellStyle name="Normal 4 2 2 4 3 2 2 2 3" xfId="16612" xr:uid="{ABFC1C0F-8AA3-4BAD-B554-9A0F2ED7868F}"/>
    <cellStyle name="Normal 4 2 2 4 3 2 2 3" xfId="21694" xr:uid="{3C1370AA-95C0-48C1-959F-3F9F71FDB758}"/>
    <cellStyle name="Normal 4 2 2 4 3 2 2 4" xfId="12395" xr:uid="{14A0BFB0-5DFE-40C5-B8A1-32035BBF7951}"/>
    <cellStyle name="Normal 4 2 2 4 3 2 3" xfId="5141" xr:uid="{00000000-0005-0000-0000-0000BF120000}"/>
    <cellStyle name="Normal 4 2 2 4 3 2 3 2" xfId="23766" xr:uid="{4FE875C6-F48D-4F71-9B0E-1AE18BAA1E38}"/>
    <cellStyle name="Normal 4 2 2 4 3 2 3 3" xfId="14467" xr:uid="{C33561E2-47D9-4A7B-A9AB-DD8E23C7B7B9}"/>
    <cellStyle name="Normal 4 2 2 4 3 2 4" xfId="9450" xr:uid="{0F54578A-5DA3-4B6E-9E36-71CC7CD6BFE8}"/>
    <cellStyle name="Normal 4 2 2 4 3 2 4 2" xfId="28064" xr:uid="{033FFD03-579A-4C95-B9DD-DC7241FF3B7D}"/>
    <cellStyle name="Normal 4 2 2 4 3 2 4 3" xfId="18765" xr:uid="{2C691D5B-1D4B-4474-A107-C51D6ABF1C14}"/>
    <cellStyle name="Normal 4 2 2 4 3 2 5" xfId="19549" xr:uid="{D2F22D6A-48C8-4746-963E-19B45C5018BA}"/>
    <cellStyle name="Normal 4 2 2 4 3 2 6" xfId="10250" xr:uid="{E221C258-2D02-4CFC-AC76-B6C627A09104}"/>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2 2 2" xfId="26324" xr:uid="{C406C489-6480-4E29-86B2-51AB8CC82BDC}"/>
    <cellStyle name="Normal 4 2 2 4 3 3 2 2 3" xfId="17025" xr:uid="{6B5CCFE4-7BEC-4D58-B464-D6D810D3BF43}"/>
    <cellStyle name="Normal 4 2 2 4 3 3 2 3" xfId="22107" xr:uid="{274F8D8A-A4F4-4E31-860C-417512A64927}"/>
    <cellStyle name="Normal 4 2 2 4 3 3 2 4" xfId="12808" xr:uid="{C54F0CC3-16C1-4B54-9E83-69DBD67FEAE7}"/>
    <cellStyle name="Normal 4 2 2 4 3 3 3" xfId="5554" xr:uid="{00000000-0005-0000-0000-0000C3120000}"/>
    <cellStyle name="Normal 4 2 2 4 3 3 3 2" xfId="24179" xr:uid="{B2769142-F7F8-4DB2-BF0C-CA9E9CBB9EAA}"/>
    <cellStyle name="Normal 4 2 2 4 3 3 3 3" xfId="14880" xr:uid="{7BCCDEEA-950C-4674-9928-C0D206D9165E}"/>
    <cellStyle name="Normal 4 2 2 4 3 3 4" xfId="19962" xr:uid="{1C9DC04D-11DD-4429-82D2-438716855634}"/>
    <cellStyle name="Normal 4 2 2 4 3 3 5" xfId="10663" xr:uid="{86C636B6-863B-4944-8790-4D6855EF51F3}"/>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2 2 2" xfId="26737" xr:uid="{2C91BCA9-7DBB-487A-BB1B-611847B30B49}"/>
    <cellStyle name="Normal 4 2 2 4 3 4 2 2 3" xfId="17438" xr:uid="{82A21137-7865-4C98-B0D3-4165030CBE7E}"/>
    <cellStyle name="Normal 4 2 2 4 3 4 2 3" xfId="22520" xr:uid="{1E23EB99-D858-414D-90A3-A057E4D6B9E2}"/>
    <cellStyle name="Normal 4 2 2 4 3 4 2 4" xfId="13221" xr:uid="{718EBB81-5B96-4D19-A082-FC3E4A27BDAA}"/>
    <cellStyle name="Normal 4 2 2 4 3 4 3" xfId="5967" xr:uid="{00000000-0005-0000-0000-0000C7120000}"/>
    <cellStyle name="Normal 4 2 2 4 3 4 3 2" xfId="24592" xr:uid="{A31CA4AE-7798-405A-81A7-936184D47B0B}"/>
    <cellStyle name="Normal 4 2 2 4 3 4 3 3" xfId="15293" xr:uid="{7CE57C7F-C4E3-4567-B06C-6C7C4A07C958}"/>
    <cellStyle name="Normal 4 2 2 4 3 4 4" xfId="20375" xr:uid="{8345ECC3-5446-47C0-8A3B-D37EC81B2954}"/>
    <cellStyle name="Normal 4 2 2 4 3 4 5" xfId="11076" xr:uid="{34435DAF-A926-44E3-9EC4-241C9A0231C7}"/>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2 2 2" xfId="27150" xr:uid="{8A57A78B-96B5-4DAC-9675-558FE51D5915}"/>
    <cellStyle name="Normal 4 2 2 4 3 5 2 2 3" xfId="17851" xr:uid="{B58EEA69-5776-4484-8F82-BFB46EC07312}"/>
    <cellStyle name="Normal 4 2 2 4 3 5 2 3" xfId="22933" xr:uid="{A0780366-C405-4093-A7FF-AAA58F50B096}"/>
    <cellStyle name="Normal 4 2 2 4 3 5 2 4" xfId="13634" xr:uid="{75D7FFA8-5E02-4FAB-B7B6-0C7E95BFE137}"/>
    <cellStyle name="Normal 4 2 2 4 3 5 3" xfId="6380" xr:uid="{00000000-0005-0000-0000-0000CB120000}"/>
    <cellStyle name="Normal 4 2 2 4 3 5 3 2" xfId="25005" xr:uid="{ABF54247-F960-4A49-B902-E0558CBDC6C5}"/>
    <cellStyle name="Normal 4 2 2 4 3 5 3 3" xfId="15706" xr:uid="{18D2643C-2E3F-4E51-AB99-B8BFF9CF1149}"/>
    <cellStyle name="Normal 4 2 2 4 3 5 4" xfId="20788" xr:uid="{4669EA75-A0D8-4B40-A467-660E4AC57EBF}"/>
    <cellStyle name="Normal 4 2 2 4 3 5 5" xfId="11489" xr:uid="{95D7EAE6-6030-41A6-AEBE-E7E1FB0BEEC4}"/>
    <cellStyle name="Normal 4 2 2 4 3 6" xfId="2510" xr:uid="{00000000-0005-0000-0000-0000CC120000}"/>
    <cellStyle name="Normal 4 2 2 4 3 6 2" xfId="6793" xr:uid="{00000000-0005-0000-0000-0000CD120000}"/>
    <cellStyle name="Normal 4 2 2 4 3 6 2 2" xfId="25418" xr:uid="{1D110F07-0EC4-42D4-91C6-9748A34E3743}"/>
    <cellStyle name="Normal 4 2 2 4 3 6 2 3" xfId="16119" xr:uid="{08BAB3CB-AED7-4586-B59A-42BB02C7CC5F}"/>
    <cellStyle name="Normal 4 2 2 4 3 6 3" xfId="21201" xr:uid="{04BB5B3E-C8F7-4FAC-80F7-2C412275B302}"/>
    <cellStyle name="Normal 4 2 2 4 3 6 4" xfId="11902" xr:uid="{08CB4B99-F659-403F-AA95-1EA34554264E}"/>
    <cellStyle name="Normal 4 2 2 4 3 7" xfId="4728" xr:uid="{00000000-0005-0000-0000-0000CE120000}"/>
    <cellStyle name="Normal 4 2 2 4 3 7 2" xfId="23353" xr:uid="{D4486779-E936-4078-B8EB-CEAB9C18D268}"/>
    <cellStyle name="Normal 4 2 2 4 3 7 3" xfId="14054" xr:uid="{B605F473-3DD7-4925-87F3-BC0786C7C01B}"/>
    <cellStyle name="Normal 4 2 2 4 3 8" xfId="9025" xr:uid="{436CB353-A916-4AB2-B5E2-8C1BDAEA1182}"/>
    <cellStyle name="Normal 4 2 2 4 3 8 2" xfId="27648" xr:uid="{DE345838-310A-49C9-8094-A30241B90480}"/>
    <cellStyle name="Normal 4 2 2 4 3 8 3" xfId="18349" xr:uid="{47A847C0-B193-4F9F-877B-1E829F615A1F}"/>
    <cellStyle name="Normal 4 2 2 4 3 9" xfId="19136" xr:uid="{E4C922BA-CDAB-4ED1-8F8E-A0CC031461BF}"/>
    <cellStyle name="Normal 4 2 2 4 4" xfId="824" xr:uid="{00000000-0005-0000-0000-0000CF120000}"/>
    <cellStyle name="Normal 4 2 2 4 4 2" xfId="3061" xr:uid="{00000000-0005-0000-0000-0000D0120000}"/>
    <cellStyle name="Normal 4 2 2 4 4 2 2" xfId="7283" xr:uid="{00000000-0005-0000-0000-0000D1120000}"/>
    <cellStyle name="Normal 4 2 2 4 4 2 2 2" xfId="25908" xr:uid="{D4DEE96A-7643-4069-A978-4088B04F1560}"/>
    <cellStyle name="Normal 4 2 2 4 4 2 2 3" xfId="16609" xr:uid="{AB440C0A-70FD-4CB0-87D2-6DC044DC1C02}"/>
    <cellStyle name="Normal 4 2 2 4 4 2 3" xfId="21691" xr:uid="{407E1086-490C-471A-BA2A-A112911C8366}"/>
    <cellStyle name="Normal 4 2 2 4 4 2 4" xfId="12392" xr:uid="{C66B7BC4-E654-4BB1-AAE3-BF03EF60145C}"/>
    <cellStyle name="Normal 4 2 2 4 4 3" xfId="5138" xr:uid="{00000000-0005-0000-0000-0000D2120000}"/>
    <cellStyle name="Normal 4 2 2 4 4 3 2" xfId="23763" xr:uid="{CF548BBB-1EE8-4FC8-8FF3-3505FABB8508}"/>
    <cellStyle name="Normal 4 2 2 4 4 3 3" xfId="14464" xr:uid="{21F9473C-3826-412D-B923-507F4F84414D}"/>
    <cellStyle name="Normal 4 2 2 4 4 4" xfId="9243" xr:uid="{FD46A281-F5BE-478B-950E-209D1D56FC0E}"/>
    <cellStyle name="Normal 4 2 2 4 4 4 2" xfId="27857" xr:uid="{04D4D20E-42FE-48E1-A362-6AAC672D6C29}"/>
    <cellStyle name="Normal 4 2 2 4 4 4 3" xfId="18558" xr:uid="{06C5ACF6-7B9B-41B4-AE17-C2B457BC0A5D}"/>
    <cellStyle name="Normal 4 2 2 4 4 5" xfId="19546" xr:uid="{A902C376-80CD-41F8-B59E-EA8A97E8754C}"/>
    <cellStyle name="Normal 4 2 2 4 4 6" xfId="10247" xr:uid="{F941D64D-B593-4018-B268-E758ECE122FA}"/>
    <cellStyle name="Normal 4 2 2 4 5" xfId="1244" xr:uid="{00000000-0005-0000-0000-0000D3120000}"/>
    <cellStyle name="Normal 4 2 2 4 5 2" xfId="3474" xr:uid="{00000000-0005-0000-0000-0000D4120000}"/>
    <cellStyle name="Normal 4 2 2 4 5 2 2" xfId="7696" xr:uid="{00000000-0005-0000-0000-0000D5120000}"/>
    <cellStyle name="Normal 4 2 2 4 5 2 2 2" xfId="26321" xr:uid="{F3A7EC64-D1FA-4D8C-9D8E-38D080C99FB3}"/>
    <cellStyle name="Normal 4 2 2 4 5 2 2 3" xfId="17022" xr:uid="{02C1C60E-BD09-4F93-8276-AB25473750D6}"/>
    <cellStyle name="Normal 4 2 2 4 5 2 3" xfId="22104" xr:uid="{050C4CD5-E2DE-4CF8-AFE5-679C8D01CA64}"/>
    <cellStyle name="Normal 4 2 2 4 5 2 4" xfId="12805" xr:uid="{B7BFB72F-A74E-47ED-A75D-47DDE44E2C7A}"/>
    <cellStyle name="Normal 4 2 2 4 5 3" xfId="5551" xr:uid="{00000000-0005-0000-0000-0000D6120000}"/>
    <cellStyle name="Normal 4 2 2 4 5 3 2" xfId="24176" xr:uid="{D0BAB85C-074A-4033-91D5-3D0F8D22473B}"/>
    <cellStyle name="Normal 4 2 2 4 5 3 3" xfId="14877" xr:uid="{9446DAAD-09B4-44F3-A29B-1F16ADE1F5A7}"/>
    <cellStyle name="Normal 4 2 2 4 5 4" xfId="19959" xr:uid="{551B66AE-27A7-46DA-A67A-DCB87C2ACA1A}"/>
    <cellStyle name="Normal 4 2 2 4 5 5" xfId="10660" xr:uid="{F2A79237-53E1-4EEC-BF13-EFFBC16D173D}"/>
    <cellStyle name="Normal 4 2 2 4 6" xfId="1657" xr:uid="{00000000-0005-0000-0000-0000D7120000}"/>
    <cellStyle name="Normal 4 2 2 4 6 2" xfId="3887" xr:uid="{00000000-0005-0000-0000-0000D8120000}"/>
    <cellStyle name="Normal 4 2 2 4 6 2 2" xfId="8109" xr:uid="{00000000-0005-0000-0000-0000D9120000}"/>
    <cellStyle name="Normal 4 2 2 4 6 2 2 2" xfId="26734" xr:uid="{A5559EAE-54E1-44BB-AA03-4CC9481712EC}"/>
    <cellStyle name="Normal 4 2 2 4 6 2 2 3" xfId="17435" xr:uid="{ACC47540-10B4-4BBA-90FE-6D6CB8B21AA7}"/>
    <cellStyle name="Normal 4 2 2 4 6 2 3" xfId="22517" xr:uid="{59547267-B247-43E0-AE41-A82E00C2D4E0}"/>
    <cellStyle name="Normal 4 2 2 4 6 2 4" xfId="13218" xr:uid="{0D4CE848-8632-4C1C-A319-9F57D76F0176}"/>
    <cellStyle name="Normal 4 2 2 4 6 3" xfId="5964" xr:uid="{00000000-0005-0000-0000-0000DA120000}"/>
    <cellStyle name="Normal 4 2 2 4 6 3 2" xfId="24589" xr:uid="{6196F0F3-D2DE-4F14-9B38-66F205688045}"/>
    <cellStyle name="Normal 4 2 2 4 6 3 3" xfId="15290" xr:uid="{235FCDD5-D8CB-4985-A174-DDBD459C2CD0}"/>
    <cellStyle name="Normal 4 2 2 4 6 4" xfId="20372" xr:uid="{7C5CDAD4-42B4-4922-A405-FF1F0BC79129}"/>
    <cellStyle name="Normal 4 2 2 4 6 5" xfId="11073" xr:uid="{FB38510E-4BB5-4A12-BB77-363E018DB9C5}"/>
    <cellStyle name="Normal 4 2 2 4 7" xfId="2071" xr:uid="{00000000-0005-0000-0000-0000DB120000}"/>
    <cellStyle name="Normal 4 2 2 4 7 2" xfId="4300" xr:uid="{00000000-0005-0000-0000-0000DC120000}"/>
    <cellStyle name="Normal 4 2 2 4 7 2 2" xfId="8522" xr:uid="{00000000-0005-0000-0000-0000DD120000}"/>
    <cellStyle name="Normal 4 2 2 4 7 2 2 2" xfId="27147" xr:uid="{D2045038-FC1B-43B8-A633-7C51CA51E6C1}"/>
    <cellStyle name="Normal 4 2 2 4 7 2 2 3" xfId="17848" xr:uid="{52AFA466-8FB5-4925-AFE8-6C2BE8964032}"/>
    <cellStyle name="Normal 4 2 2 4 7 2 3" xfId="22930" xr:uid="{2BFB67DF-0258-4D9F-8FB8-4FFAD442814C}"/>
    <cellStyle name="Normal 4 2 2 4 7 2 4" xfId="13631" xr:uid="{E6020E95-F43A-4D06-90BA-27FC033FC6ED}"/>
    <cellStyle name="Normal 4 2 2 4 7 3" xfId="6377" xr:uid="{00000000-0005-0000-0000-0000DE120000}"/>
    <cellStyle name="Normal 4 2 2 4 7 3 2" xfId="25002" xr:uid="{34910B7B-EFDD-49ED-9F7A-63E910FE4AA4}"/>
    <cellStyle name="Normal 4 2 2 4 7 3 3" xfId="15703" xr:uid="{49331C78-A906-4DFF-9ECA-E56FC4DDCB91}"/>
    <cellStyle name="Normal 4 2 2 4 7 4" xfId="20785" xr:uid="{E4E3B14D-829D-4C21-B329-B2075DC7B8E1}"/>
    <cellStyle name="Normal 4 2 2 4 7 5" xfId="11486" xr:uid="{05971622-FEA9-49A9-95DD-86E85215CF87}"/>
    <cellStyle name="Normal 4 2 2 4 8" xfId="2507" xr:uid="{00000000-0005-0000-0000-0000DF120000}"/>
    <cellStyle name="Normal 4 2 2 4 8 2" xfId="6790" xr:uid="{00000000-0005-0000-0000-0000E0120000}"/>
    <cellStyle name="Normal 4 2 2 4 8 2 2" xfId="25415" xr:uid="{FA7EE404-FEBC-40C3-9C0D-11F7A10339A4}"/>
    <cellStyle name="Normal 4 2 2 4 8 2 3" xfId="16116" xr:uid="{5865B65F-E897-429D-8469-7FF259C4BC36}"/>
    <cellStyle name="Normal 4 2 2 4 8 3" xfId="21198" xr:uid="{12310638-B0E6-4D3E-BB27-666623DCB549}"/>
    <cellStyle name="Normal 4 2 2 4 8 4" xfId="11899" xr:uid="{206FACA5-848B-4C14-A0D8-C0691935FD35}"/>
    <cellStyle name="Normal 4 2 2 4 9" xfId="4725" xr:uid="{00000000-0005-0000-0000-0000E1120000}"/>
    <cellStyle name="Normal 4 2 2 4 9 2" xfId="23350" xr:uid="{4CB77703-C27D-46E4-B3FB-CA68C4CD773B}"/>
    <cellStyle name="Normal 4 2 2 4 9 3" xfId="14051" xr:uid="{9F3CD24A-CE00-4895-BCED-F9EA61700DF9}"/>
    <cellStyle name="Normal 4 2 2 5" xfId="351" xr:uid="{00000000-0005-0000-0000-0000E2120000}"/>
    <cellStyle name="Normal 4 2 2 5 10" xfId="19137" xr:uid="{D2341881-C559-49D6-9C7B-16CE4B583F4F}"/>
    <cellStyle name="Normal 4 2 2 5 11" xfId="9838" xr:uid="{99CEAF32-9BB8-4DF7-934D-D37E533AAC9B}"/>
    <cellStyle name="Normal 4 2 2 5 2" xfId="352" xr:uid="{00000000-0005-0000-0000-0000E3120000}"/>
    <cellStyle name="Normal 4 2 2 5 2 10" xfId="9839" xr:uid="{3F1D000C-9DAA-40C9-B846-971315C0970A}"/>
    <cellStyle name="Normal 4 2 2 5 2 2" xfId="829" xr:uid="{00000000-0005-0000-0000-0000E4120000}"/>
    <cellStyle name="Normal 4 2 2 5 2 2 2" xfId="3066" xr:uid="{00000000-0005-0000-0000-0000E5120000}"/>
    <cellStyle name="Normal 4 2 2 5 2 2 2 2" xfId="7288" xr:uid="{00000000-0005-0000-0000-0000E6120000}"/>
    <cellStyle name="Normal 4 2 2 5 2 2 2 2 2" xfId="25913" xr:uid="{C21B612D-98D8-459D-A7D4-35D7F79A0065}"/>
    <cellStyle name="Normal 4 2 2 5 2 2 2 2 3" xfId="16614" xr:uid="{4FC440C2-5A1A-4896-AE25-127F54AF6CDB}"/>
    <cellStyle name="Normal 4 2 2 5 2 2 2 3" xfId="21696" xr:uid="{8A999D45-41FD-42E2-8E46-C1D7B3632E9B}"/>
    <cellStyle name="Normal 4 2 2 5 2 2 2 4" xfId="12397" xr:uid="{D68C9357-E4AB-4FFE-9140-D1E7B32BC183}"/>
    <cellStyle name="Normal 4 2 2 5 2 2 3" xfId="5143" xr:uid="{00000000-0005-0000-0000-0000E7120000}"/>
    <cellStyle name="Normal 4 2 2 5 2 2 3 2" xfId="23768" xr:uid="{8AB25096-6679-4BBC-A042-DF7FC48D38A0}"/>
    <cellStyle name="Normal 4 2 2 5 2 2 3 3" xfId="14469" xr:uid="{EF8963E1-8369-45EA-A1FC-C2F43CB12F81}"/>
    <cellStyle name="Normal 4 2 2 5 2 2 4" xfId="9487" xr:uid="{83D2756E-B983-4EA9-AB48-FF4D3E821CE4}"/>
    <cellStyle name="Normal 4 2 2 5 2 2 4 2" xfId="28101" xr:uid="{88C79AD2-FD6D-4965-9F21-8D1BD11A142A}"/>
    <cellStyle name="Normal 4 2 2 5 2 2 4 3" xfId="18802" xr:uid="{B249839E-CE0F-4B38-8001-A272D72D8DE7}"/>
    <cellStyle name="Normal 4 2 2 5 2 2 5" xfId="19551" xr:uid="{22C11E95-ADE7-4FA7-99C0-9764A8C333A5}"/>
    <cellStyle name="Normal 4 2 2 5 2 2 6" xfId="10252" xr:uid="{10B9623E-1E9A-4DA2-9E95-1108DB385A1A}"/>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2 2 2" xfId="26326" xr:uid="{F2F9C4BB-15A6-4F03-B8EE-7FC5890F4638}"/>
    <cellStyle name="Normal 4 2 2 5 2 3 2 2 3" xfId="17027" xr:uid="{29B190D6-B80D-4864-B556-B26C69D80FFC}"/>
    <cellStyle name="Normal 4 2 2 5 2 3 2 3" xfId="22109" xr:uid="{F666699E-6498-4D70-8C95-77BD399BB93C}"/>
    <cellStyle name="Normal 4 2 2 5 2 3 2 4" xfId="12810" xr:uid="{38C270F6-C7F7-4DBD-BA4D-1BFFBFF3B4B7}"/>
    <cellStyle name="Normal 4 2 2 5 2 3 3" xfId="5556" xr:uid="{00000000-0005-0000-0000-0000EB120000}"/>
    <cellStyle name="Normal 4 2 2 5 2 3 3 2" xfId="24181" xr:uid="{DF0A7515-23ED-485D-A5EB-5E3DBEED6D06}"/>
    <cellStyle name="Normal 4 2 2 5 2 3 3 3" xfId="14882" xr:uid="{4E55A396-5503-44CB-9BBF-08B5373E47AA}"/>
    <cellStyle name="Normal 4 2 2 5 2 3 4" xfId="19964" xr:uid="{A31CFBA3-3FAC-4836-BD85-C845A2A22E6B}"/>
    <cellStyle name="Normal 4 2 2 5 2 3 5" xfId="10665" xr:uid="{523013EF-7619-4F90-91C8-1BAFCEDD97AA}"/>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2 2 2" xfId="26739" xr:uid="{43BFDDE4-7248-4652-BDD7-497FD637D0FC}"/>
    <cellStyle name="Normal 4 2 2 5 2 4 2 2 3" xfId="17440" xr:uid="{DF1212E8-44C1-4926-AD54-17FDA1A36F07}"/>
    <cellStyle name="Normal 4 2 2 5 2 4 2 3" xfId="22522" xr:uid="{9F9D4067-FEAE-4722-ABF9-F0136BAD5C2B}"/>
    <cellStyle name="Normal 4 2 2 5 2 4 2 4" xfId="13223" xr:uid="{ED31550A-F92A-45AB-95D0-3464EAC15338}"/>
    <cellStyle name="Normal 4 2 2 5 2 4 3" xfId="5969" xr:uid="{00000000-0005-0000-0000-0000EF120000}"/>
    <cellStyle name="Normal 4 2 2 5 2 4 3 2" xfId="24594" xr:uid="{164CC8CC-5714-43A6-BC7C-1C01867F0A9D}"/>
    <cellStyle name="Normal 4 2 2 5 2 4 3 3" xfId="15295" xr:uid="{69FD36DD-A1DC-4CBD-9663-7E518AD226C8}"/>
    <cellStyle name="Normal 4 2 2 5 2 4 4" xfId="20377" xr:uid="{D5A13411-B64E-403E-B47F-360E828DC733}"/>
    <cellStyle name="Normal 4 2 2 5 2 4 5" xfId="11078" xr:uid="{39BAE6E6-FEDF-47B6-BCC0-FB0CFF5C0E77}"/>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2 2 2" xfId="27152" xr:uid="{95A4A0F6-A66A-4FFB-AD3A-D5AB449DBC9C}"/>
    <cellStyle name="Normal 4 2 2 5 2 5 2 2 3" xfId="17853" xr:uid="{8493F3AD-D64D-46F3-92E2-8ADC186876C3}"/>
    <cellStyle name="Normal 4 2 2 5 2 5 2 3" xfId="22935" xr:uid="{078CBE68-7084-430C-BF3D-DE1F8704EAAF}"/>
    <cellStyle name="Normal 4 2 2 5 2 5 2 4" xfId="13636" xr:uid="{D53D9992-D561-4D4E-9C56-96DE3677C4F1}"/>
    <cellStyle name="Normal 4 2 2 5 2 5 3" xfId="6382" xr:uid="{00000000-0005-0000-0000-0000F3120000}"/>
    <cellStyle name="Normal 4 2 2 5 2 5 3 2" xfId="25007" xr:uid="{F68DB5C5-9991-400F-8924-B70EF76B321B}"/>
    <cellStyle name="Normal 4 2 2 5 2 5 3 3" xfId="15708" xr:uid="{B6700CC4-1392-499B-91BC-90039E784CE7}"/>
    <cellStyle name="Normal 4 2 2 5 2 5 4" xfId="20790" xr:uid="{A315E65D-8BCA-478C-84D0-1326921C4666}"/>
    <cellStyle name="Normal 4 2 2 5 2 5 5" xfId="11491" xr:uid="{DDC055CA-FDEA-42AA-ACE8-C6CA6FC87F5F}"/>
    <cellStyle name="Normal 4 2 2 5 2 6" xfId="2512" xr:uid="{00000000-0005-0000-0000-0000F4120000}"/>
    <cellStyle name="Normal 4 2 2 5 2 6 2" xfId="6795" xr:uid="{00000000-0005-0000-0000-0000F5120000}"/>
    <cellStyle name="Normal 4 2 2 5 2 6 2 2" xfId="25420" xr:uid="{5A423109-415B-4680-A69E-29EE0A6966E4}"/>
    <cellStyle name="Normal 4 2 2 5 2 6 2 3" xfId="16121" xr:uid="{DD5E6D89-8C0F-4014-B8FB-01BF2DBAB072}"/>
    <cellStyle name="Normal 4 2 2 5 2 6 3" xfId="21203" xr:uid="{0AE92ABD-D992-481B-BF4D-5673E2A3E5D4}"/>
    <cellStyle name="Normal 4 2 2 5 2 6 4" xfId="11904" xr:uid="{2B41DB27-A3F4-48DE-B553-58102BE9D2FE}"/>
    <cellStyle name="Normal 4 2 2 5 2 7" xfId="4730" xr:uid="{00000000-0005-0000-0000-0000F6120000}"/>
    <cellStyle name="Normal 4 2 2 5 2 7 2" xfId="23355" xr:uid="{7EF061BE-9205-4718-BC89-BF64D85E9A3E}"/>
    <cellStyle name="Normal 4 2 2 5 2 7 3" xfId="14056" xr:uid="{20CAEB5A-03D3-4EC5-BE7B-DC32C5618966}"/>
    <cellStyle name="Normal 4 2 2 5 2 8" xfId="9062" xr:uid="{FED54422-C2E5-44B3-AA7C-C6088F47A385}"/>
    <cellStyle name="Normal 4 2 2 5 2 8 2" xfId="27685" xr:uid="{C4852F10-F622-40B4-AF24-5785E8400CFB}"/>
    <cellStyle name="Normal 4 2 2 5 2 8 3" xfId="18386" xr:uid="{6348D103-0251-4780-9728-ADD7FE6DA8B5}"/>
    <cellStyle name="Normal 4 2 2 5 2 9" xfId="19138" xr:uid="{8E57DE44-9D69-4215-9820-AAB5F41DE404}"/>
    <cellStyle name="Normal 4 2 2 5 3" xfId="828" xr:uid="{00000000-0005-0000-0000-0000F7120000}"/>
    <cellStyle name="Normal 4 2 2 5 3 2" xfId="3065" xr:uid="{00000000-0005-0000-0000-0000F8120000}"/>
    <cellStyle name="Normal 4 2 2 5 3 2 2" xfId="7287" xr:uid="{00000000-0005-0000-0000-0000F9120000}"/>
    <cellStyle name="Normal 4 2 2 5 3 2 2 2" xfId="25912" xr:uid="{E4CEF61F-F1DE-4555-8757-306D7CAB1FDF}"/>
    <cellStyle name="Normal 4 2 2 5 3 2 2 3" xfId="16613" xr:uid="{C84BA89C-95C8-4D95-9093-8BB96BD5FE23}"/>
    <cellStyle name="Normal 4 2 2 5 3 2 3" xfId="21695" xr:uid="{7CB3AED5-C1CC-4712-903D-116AD4357D39}"/>
    <cellStyle name="Normal 4 2 2 5 3 2 4" xfId="12396" xr:uid="{FF90A106-F240-43DF-9D1B-4624D0792EA0}"/>
    <cellStyle name="Normal 4 2 2 5 3 3" xfId="5142" xr:uid="{00000000-0005-0000-0000-0000FA120000}"/>
    <cellStyle name="Normal 4 2 2 5 3 3 2" xfId="23767" xr:uid="{1F379DCE-26C4-473C-875C-F21D98A98B04}"/>
    <cellStyle name="Normal 4 2 2 5 3 3 3" xfId="14468" xr:uid="{1BE104C8-77C0-49B1-9FC7-4AF37ECDF0C2}"/>
    <cellStyle name="Normal 4 2 2 5 3 4" xfId="9280" xr:uid="{C70B18D8-E279-4D37-82EF-3177E9FA554F}"/>
    <cellStyle name="Normal 4 2 2 5 3 4 2" xfId="27894" xr:uid="{6E1590B4-32F4-4644-A8DB-5339C050D055}"/>
    <cellStyle name="Normal 4 2 2 5 3 4 3" xfId="18595" xr:uid="{BD3EB22D-AFA3-45AE-ACEB-B11267103D10}"/>
    <cellStyle name="Normal 4 2 2 5 3 5" xfId="19550" xr:uid="{27109FC4-8583-4989-A886-EADB6F99D945}"/>
    <cellStyle name="Normal 4 2 2 5 3 6" xfId="10251" xr:uid="{6869B913-937C-41B8-B36C-F51660D5D58A}"/>
    <cellStyle name="Normal 4 2 2 5 4" xfId="1248" xr:uid="{00000000-0005-0000-0000-0000FB120000}"/>
    <cellStyle name="Normal 4 2 2 5 4 2" xfId="3478" xr:uid="{00000000-0005-0000-0000-0000FC120000}"/>
    <cellStyle name="Normal 4 2 2 5 4 2 2" xfId="7700" xr:uid="{00000000-0005-0000-0000-0000FD120000}"/>
    <cellStyle name="Normal 4 2 2 5 4 2 2 2" xfId="26325" xr:uid="{8E085CDB-8015-4680-B0DC-9C0EC7B4FC42}"/>
    <cellStyle name="Normal 4 2 2 5 4 2 2 3" xfId="17026" xr:uid="{325AFDF2-1AA3-4E06-90F8-9F1D4558A11A}"/>
    <cellStyle name="Normal 4 2 2 5 4 2 3" xfId="22108" xr:uid="{8DFB172B-2356-4122-9976-A224E2B89E4A}"/>
    <cellStyle name="Normal 4 2 2 5 4 2 4" xfId="12809" xr:uid="{4E36A740-8307-49CA-9F15-5096642E30B7}"/>
    <cellStyle name="Normal 4 2 2 5 4 3" xfId="5555" xr:uid="{00000000-0005-0000-0000-0000FE120000}"/>
    <cellStyle name="Normal 4 2 2 5 4 3 2" xfId="24180" xr:uid="{0C1482D1-CBB3-4559-8419-176C2F4E5E5C}"/>
    <cellStyle name="Normal 4 2 2 5 4 3 3" xfId="14881" xr:uid="{D7C259DC-FA8B-4FC8-A1CA-AFCF67BBF0DB}"/>
    <cellStyle name="Normal 4 2 2 5 4 4" xfId="19963" xr:uid="{0A717EEB-21A7-4D35-9147-17F29FB4B324}"/>
    <cellStyle name="Normal 4 2 2 5 4 5" xfId="10664" xr:uid="{F15ED8A0-5D07-4BED-9A9E-CD4E7ED224BD}"/>
    <cellStyle name="Normal 4 2 2 5 5" xfId="1661" xr:uid="{00000000-0005-0000-0000-0000FF120000}"/>
    <cellStyle name="Normal 4 2 2 5 5 2" xfId="3891" xr:uid="{00000000-0005-0000-0000-000000130000}"/>
    <cellStyle name="Normal 4 2 2 5 5 2 2" xfId="8113" xr:uid="{00000000-0005-0000-0000-000001130000}"/>
    <cellStyle name="Normal 4 2 2 5 5 2 2 2" xfId="26738" xr:uid="{FDD800BC-3476-41DB-8403-D2979C439AF0}"/>
    <cellStyle name="Normal 4 2 2 5 5 2 2 3" xfId="17439" xr:uid="{0822B116-6F19-4ACF-93A7-349F955E7F6F}"/>
    <cellStyle name="Normal 4 2 2 5 5 2 3" xfId="22521" xr:uid="{9384EF1D-64D3-4301-88FC-02F63C05348C}"/>
    <cellStyle name="Normal 4 2 2 5 5 2 4" xfId="13222" xr:uid="{AD855C09-A3BE-4DD0-B01D-8B5D83ACEB21}"/>
    <cellStyle name="Normal 4 2 2 5 5 3" xfId="5968" xr:uid="{00000000-0005-0000-0000-000002130000}"/>
    <cellStyle name="Normal 4 2 2 5 5 3 2" xfId="24593" xr:uid="{CE00964B-6FD9-4A10-B420-5338E0402A2A}"/>
    <cellStyle name="Normal 4 2 2 5 5 3 3" xfId="15294" xr:uid="{FEF61417-71BA-43BF-8A7E-EF24E752550D}"/>
    <cellStyle name="Normal 4 2 2 5 5 4" xfId="20376" xr:uid="{F01EDAA5-39F2-43E2-94A1-8E0A86333FB8}"/>
    <cellStyle name="Normal 4 2 2 5 5 5" xfId="11077" xr:uid="{6908F530-B8BB-4A41-972F-0DE35FE36AC1}"/>
    <cellStyle name="Normal 4 2 2 5 6" xfId="2075" xr:uid="{00000000-0005-0000-0000-000003130000}"/>
    <cellStyle name="Normal 4 2 2 5 6 2" xfId="4304" xr:uid="{00000000-0005-0000-0000-000004130000}"/>
    <cellStyle name="Normal 4 2 2 5 6 2 2" xfId="8526" xr:uid="{00000000-0005-0000-0000-000005130000}"/>
    <cellStyle name="Normal 4 2 2 5 6 2 2 2" xfId="27151" xr:uid="{DF1E3438-2721-47EA-A29A-F1EB895A44D0}"/>
    <cellStyle name="Normal 4 2 2 5 6 2 2 3" xfId="17852" xr:uid="{36E64802-6086-4226-8125-ADC58CE40403}"/>
    <cellStyle name="Normal 4 2 2 5 6 2 3" xfId="22934" xr:uid="{6CDDA38A-2C71-4F51-A786-D151D7BC55A4}"/>
    <cellStyle name="Normal 4 2 2 5 6 2 4" xfId="13635" xr:uid="{71AAB28E-1A63-40FA-9C06-43A15FA1BC15}"/>
    <cellStyle name="Normal 4 2 2 5 6 3" xfId="6381" xr:uid="{00000000-0005-0000-0000-000006130000}"/>
    <cellStyle name="Normal 4 2 2 5 6 3 2" xfId="25006" xr:uid="{DCBE6449-6452-4FFC-95B6-7E1F4BAECA21}"/>
    <cellStyle name="Normal 4 2 2 5 6 3 3" xfId="15707" xr:uid="{F16F702E-ABB3-4418-B58A-276ED28E095A}"/>
    <cellStyle name="Normal 4 2 2 5 6 4" xfId="20789" xr:uid="{8C7510E9-4958-4081-B928-39416DCB3C5A}"/>
    <cellStyle name="Normal 4 2 2 5 6 5" xfId="11490" xr:uid="{DA7E4CE5-9784-4CB0-872D-4BC6ECC22AD1}"/>
    <cellStyle name="Normal 4 2 2 5 7" xfId="2511" xr:uid="{00000000-0005-0000-0000-000007130000}"/>
    <cellStyle name="Normal 4 2 2 5 7 2" xfId="6794" xr:uid="{00000000-0005-0000-0000-000008130000}"/>
    <cellStyle name="Normal 4 2 2 5 7 2 2" xfId="25419" xr:uid="{B1CC8F46-1B9A-4DEB-892D-2A65C0AE7BB0}"/>
    <cellStyle name="Normal 4 2 2 5 7 2 3" xfId="16120" xr:uid="{BFB88A69-5CDD-43FF-AEED-CB582837605A}"/>
    <cellStyle name="Normal 4 2 2 5 7 3" xfId="21202" xr:uid="{4456E127-BA24-48F5-BCE9-DD9F457B0B4C}"/>
    <cellStyle name="Normal 4 2 2 5 7 4" xfId="11903" xr:uid="{AE6CE541-3091-4709-8C9C-16DB83032C7B}"/>
    <cellStyle name="Normal 4 2 2 5 8" xfId="4729" xr:uid="{00000000-0005-0000-0000-000009130000}"/>
    <cellStyle name="Normal 4 2 2 5 8 2" xfId="23354" xr:uid="{5A6D103C-0706-4ACF-9453-80E1609A9252}"/>
    <cellStyle name="Normal 4 2 2 5 8 3" xfId="14055" xr:uid="{815BEF8F-AA10-4061-912E-4FAD9FE05B4B}"/>
    <cellStyle name="Normal 4 2 2 5 9" xfId="8855" xr:uid="{894DEE8B-A5CD-4C4E-B41D-DCEB92717109}"/>
    <cellStyle name="Normal 4 2 2 5 9 2" xfId="27478" xr:uid="{47C5CD69-80C1-493D-9A72-474C9C49CA65}"/>
    <cellStyle name="Normal 4 2 2 5 9 3" xfId="18179" xr:uid="{669C479B-C6BC-4F87-B833-DD731AFBBBAB}"/>
    <cellStyle name="Normal 4 2 2 6" xfId="353" xr:uid="{00000000-0005-0000-0000-00000A130000}"/>
    <cellStyle name="Normal 4 2 2 6 10" xfId="9840" xr:uid="{DCB0B5F6-B7C6-473A-BC6B-9F8C002811DA}"/>
    <cellStyle name="Normal 4 2 2 6 2" xfId="830" xr:uid="{00000000-0005-0000-0000-00000B130000}"/>
    <cellStyle name="Normal 4 2 2 6 2 2" xfId="3067" xr:uid="{00000000-0005-0000-0000-00000C130000}"/>
    <cellStyle name="Normal 4 2 2 6 2 2 2" xfId="7289" xr:uid="{00000000-0005-0000-0000-00000D130000}"/>
    <cellStyle name="Normal 4 2 2 6 2 2 2 2" xfId="25914" xr:uid="{F37E5EB6-7E53-4492-860F-B8267AE4B014}"/>
    <cellStyle name="Normal 4 2 2 6 2 2 2 3" xfId="16615" xr:uid="{970F1A2E-D372-4FED-A563-E3507203A46D}"/>
    <cellStyle name="Normal 4 2 2 6 2 2 3" xfId="21697" xr:uid="{F12AF046-47A0-4A85-9EA9-B7B29934B9CD}"/>
    <cellStyle name="Normal 4 2 2 6 2 2 4" xfId="12398" xr:uid="{D4F2E6F1-B82E-4B0C-936D-75A370A50CF9}"/>
    <cellStyle name="Normal 4 2 2 6 2 3" xfId="5144" xr:uid="{00000000-0005-0000-0000-00000E130000}"/>
    <cellStyle name="Normal 4 2 2 6 2 3 2" xfId="23769" xr:uid="{1DD3CB55-95C0-4BC4-86D8-F13F99F8966A}"/>
    <cellStyle name="Normal 4 2 2 6 2 3 3" xfId="14470" xr:uid="{2BFF5C56-94E5-4B82-8D2B-0DF4EA8020F0}"/>
    <cellStyle name="Normal 4 2 2 6 2 4" xfId="9396" xr:uid="{5B10E6C6-987A-4149-BB81-321A07C7666F}"/>
    <cellStyle name="Normal 4 2 2 6 2 4 2" xfId="28010" xr:uid="{1A48A1B9-F721-4BCC-BC83-590E6279B6FC}"/>
    <cellStyle name="Normal 4 2 2 6 2 4 3" xfId="18711" xr:uid="{F70B384C-A2F1-4C5C-949B-4183AF4D41BE}"/>
    <cellStyle name="Normal 4 2 2 6 2 5" xfId="19552" xr:uid="{5FEDC907-11D8-40C4-8BDE-026E63796D41}"/>
    <cellStyle name="Normal 4 2 2 6 2 6" xfId="10253" xr:uid="{B8F895D3-6F1A-448D-8652-25B14FA05B65}"/>
    <cellStyle name="Normal 4 2 2 6 3" xfId="1250" xr:uid="{00000000-0005-0000-0000-00000F130000}"/>
    <cellStyle name="Normal 4 2 2 6 3 2" xfId="3480" xr:uid="{00000000-0005-0000-0000-000010130000}"/>
    <cellStyle name="Normal 4 2 2 6 3 2 2" xfId="7702" xr:uid="{00000000-0005-0000-0000-000011130000}"/>
    <cellStyle name="Normal 4 2 2 6 3 2 2 2" xfId="26327" xr:uid="{67EFE5C2-2702-4D16-9748-4FEC7A73AE0D}"/>
    <cellStyle name="Normal 4 2 2 6 3 2 2 3" xfId="17028" xr:uid="{19C4F8A9-5AC2-405D-88DF-1AD75246EBC7}"/>
    <cellStyle name="Normal 4 2 2 6 3 2 3" xfId="22110" xr:uid="{9F68F1E2-A685-4D8C-A879-089973C3A281}"/>
    <cellStyle name="Normal 4 2 2 6 3 2 4" xfId="12811" xr:uid="{8B271474-FDC2-40C0-A908-6487C8A473C3}"/>
    <cellStyle name="Normal 4 2 2 6 3 3" xfId="5557" xr:uid="{00000000-0005-0000-0000-000012130000}"/>
    <cellStyle name="Normal 4 2 2 6 3 3 2" xfId="24182" xr:uid="{A5E27380-8B02-43B6-BD71-1245253FCA8E}"/>
    <cellStyle name="Normal 4 2 2 6 3 3 3" xfId="14883" xr:uid="{DBAE9F73-B161-4854-A432-73EA052AE145}"/>
    <cellStyle name="Normal 4 2 2 6 3 4" xfId="19965" xr:uid="{D61055C6-C0C8-4243-AD69-5D7C229EC360}"/>
    <cellStyle name="Normal 4 2 2 6 3 5" xfId="10666" xr:uid="{749A8772-BBF5-419B-85C6-CAAD15686124}"/>
    <cellStyle name="Normal 4 2 2 6 4" xfId="1663" xr:uid="{00000000-0005-0000-0000-000013130000}"/>
    <cellStyle name="Normal 4 2 2 6 4 2" xfId="3893" xr:uid="{00000000-0005-0000-0000-000014130000}"/>
    <cellStyle name="Normal 4 2 2 6 4 2 2" xfId="8115" xr:uid="{00000000-0005-0000-0000-000015130000}"/>
    <cellStyle name="Normal 4 2 2 6 4 2 2 2" xfId="26740" xr:uid="{DBFD714E-37C4-49CF-9F3C-4F863B571F43}"/>
    <cellStyle name="Normal 4 2 2 6 4 2 2 3" xfId="17441" xr:uid="{9638FA7B-BF2D-4920-A2A8-5A3E72DF2594}"/>
    <cellStyle name="Normal 4 2 2 6 4 2 3" xfId="22523" xr:uid="{7A5DC954-EDBA-4F7A-B6A7-3207818C520E}"/>
    <cellStyle name="Normal 4 2 2 6 4 2 4" xfId="13224" xr:uid="{2A8E0FAF-B5C1-42E7-931C-41C77F4B663F}"/>
    <cellStyle name="Normal 4 2 2 6 4 3" xfId="5970" xr:uid="{00000000-0005-0000-0000-000016130000}"/>
    <cellStyle name="Normal 4 2 2 6 4 3 2" xfId="24595" xr:uid="{B842E835-711B-4F55-81DF-24583D3B0004}"/>
    <cellStyle name="Normal 4 2 2 6 4 3 3" xfId="15296" xr:uid="{CAF45B24-0C5B-4F88-88BB-621E9EEE7827}"/>
    <cellStyle name="Normal 4 2 2 6 4 4" xfId="20378" xr:uid="{0C9234C3-118B-437E-AE84-DFA9267E5A74}"/>
    <cellStyle name="Normal 4 2 2 6 4 5" xfId="11079" xr:uid="{00C486AB-B189-4BED-95AA-2FD4C3DCCB95}"/>
    <cellStyle name="Normal 4 2 2 6 5" xfId="2077" xr:uid="{00000000-0005-0000-0000-000017130000}"/>
    <cellStyle name="Normal 4 2 2 6 5 2" xfId="4306" xr:uid="{00000000-0005-0000-0000-000018130000}"/>
    <cellStyle name="Normal 4 2 2 6 5 2 2" xfId="8528" xr:uid="{00000000-0005-0000-0000-000019130000}"/>
    <cellStyle name="Normal 4 2 2 6 5 2 2 2" xfId="27153" xr:uid="{01A5DC9C-3450-4C51-BE52-EB9054E31D24}"/>
    <cellStyle name="Normal 4 2 2 6 5 2 2 3" xfId="17854" xr:uid="{D03CC66A-AF21-483E-A911-F8B552405CB7}"/>
    <cellStyle name="Normal 4 2 2 6 5 2 3" xfId="22936" xr:uid="{4B9053C8-03CD-4521-A90C-FE753C7B6239}"/>
    <cellStyle name="Normal 4 2 2 6 5 2 4" xfId="13637" xr:uid="{CF91A2B8-2AE2-4971-986E-498F309E6644}"/>
    <cellStyle name="Normal 4 2 2 6 5 3" xfId="6383" xr:uid="{00000000-0005-0000-0000-00001A130000}"/>
    <cellStyle name="Normal 4 2 2 6 5 3 2" xfId="25008" xr:uid="{9D420E56-4B49-442F-AF8C-AB33139A2207}"/>
    <cellStyle name="Normal 4 2 2 6 5 3 3" xfId="15709" xr:uid="{BB932079-E53D-4E57-B496-21CB5674CD76}"/>
    <cellStyle name="Normal 4 2 2 6 5 4" xfId="20791" xr:uid="{59989280-9156-45E7-A22C-679027078C52}"/>
    <cellStyle name="Normal 4 2 2 6 5 5" xfId="11492" xr:uid="{078B8005-EE29-4948-B8FD-E587F39108F7}"/>
    <cellStyle name="Normal 4 2 2 6 6" xfId="2513" xr:uid="{00000000-0005-0000-0000-00001B130000}"/>
    <cellStyle name="Normal 4 2 2 6 6 2" xfId="6796" xr:uid="{00000000-0005-0000-0000-00001C130000}"/>
    <cellStyle name="Normal 4 2 2 6 6 2 2" xfId="25421" xr:uid="{4BA07FBB-EFC2-45AD-9DBD-6FDB92318A26}"/>
    <cellStyle name="Normal 4 2 2 6 6 2 3" xfId="16122" xr:uid="{65086C40-CB6C-4FFE-A68B-94E736076165}"/>
    <cellStyle name="Normal 4 2 2 6 6 3" xfId="21204" xr:uid="{6350B935-39A2-448D-A149-C51D377BBA29}"/>
    <cellStyle name="Normal 4 2 2 6 6 4" xfId="11905" xr:uid="{ADD948A7-8514-40EF-8A7E-AB4C6E8A99B7}"/>
    <cellStyle name="Normal 4 2 2 6 7" xfId="4731" xr:uid="{00000000-0005-0000-0000-00001D130000}"/>
    <cellStyle name="Normal 4 2 2 6 7 2" xfId="23356" xr:uid="{FB066F8C-D596-4250-9F48-9D7ED3503841}"/>
    <cellStyle name="Normal 4 2 2 6 7 3" xfId="14057" xr:uid="{662F272E-E60B-46FC-B72A-46A8CCA0E1B7}"/>
    <cellStyle name="Normal 4 2 2 6 8" xfId="8971" xr:uid="{7BBA3CD4-2D32-439A-A2D5-9F7EB5E5A47E}"/>
    <cellStyle name="Normal 4 2 2 6 8 2" xfId="27594" xr:uid="{79E1354B-DE00-4E88-BEF8-5D7DDE6F2DD3}"/>
    <cellStyle name="Normal 4 2 2 6 8 3" xfId="18295" xr:uid="{452B2A8A-05AF-4467-9CCB-8A35AEA8697C}"/>
    <cellStyle name="Normal 4 2 2 6 9" xfId="19139" xr:uid="{154111C8-D5B4-4DA0-AAC5-47CC99A13AF6}"/>
    <cellStyle name="Normal 4 2 2 7" xfId="815" xr:uid="{00000000-0005-0000-0000-00001E130000}"/>
    <cellStyle name="Normal 4 2 2 7 2" xfId="3052" xr:uid="{00000000-0005-0000-0000-00001F130000}"/>
    <cellStyle name="Normal 4 2 2 7 2 2" xfId="7274" xr:uid="{00000000-0005-0000-0000-000020130000}"/>
    <cellStyle name="Normal 4 2 2 7 2 2 2" xfId="25899" xr:uid="{14BB8B54-6DCD-46BD-AFF7-B9051340FDBF}"/>
    <cellStyle name="Normal 4 2 2 7 2 2 3" xfId="16600" xr:uid="{06593D09-79E9-4EEE-9049-6C48FA3AF11F}"/>
    <cellStyle name="Normal 4 2 2 7 2 3" xfId="21682" xr:uid="{9C9B0CE9-0489-4F5A-BC67-DF443B2484B0}"/>
    <cellStyle name="Normal 4 2 2 7 2 4" xfId="12383" xr:uid="{FAA2279E-4EF6-4896-8FEE-DF847921A9CC}"/>
    <cellStyle name="Normal 4 2 2 7 3" xfId="5129" xr:uid="{00000000-0005-0000-0000-000021130000}"/>
    <cellStyle name="Normal 4 2 2 7 3 2" xfId="23754" xr:uid="{422C16DA-F29D-441B-B14B-5972F4F6C381}"/>
    <cellStyle name="Normal 4 2 2 7 3 3" xfId="14455" xr:uid="{C02D15B3-CFB1-4A47-9A36-39AB57A2EE4B}"/>
    <cellStyle name="Normal 4 2 2 7 4" xfId="9174" xr:uid="{5FB177AF-8B2E-4B7E-A1B7-4F6E323AF880}"/>
    <cellStyle name="Normal 4 2 2 7 4 2" xfId="27791" xr:uid="{C34A9A94-0C54-4185-8B07-B83B14F0046B}"/>
    <cellStyle name="Normal 4 2 2 7 4 3" xfId="18492" xr:uid="{CEA6DF31-A206-46EB-A90A-F51FF8092610}"/>
    <cellStyle name="Normal 4 2 2 7 5" xfId="19537" xr:uid="{AD41CA00-3228-481A-B0C8-CEFA2A483598}"/>
    <cellStyle name="Normal 4 2 2 7 6" xfId="10238" xr:uid="{0A119E20-A455-4124-A641-CDDC49C54F60}"/>
    <cellStyle name="Normal 4 2 2 8" xfId="1235" xr:uid="{00000000-0005-0000-0000-000022130000}"/>
    <cellStyle name="Normal 4 2 2 8 2" xfId="3465" xr:uid="{00000000-0005-0000-0000-000023130000}"/>
    <cellStyle name="Normal 4 2 2 8 2 2" xfId="7687" xr:uid="{00000000-0005-0000-0000-000024130000}"/>
    <cellStyle name="Normal 4 2 2 8 2 2 2" xfId="26312" xr:uid="{F07CDC48-0F11-48FE-B19A-8B50670F8AAA}"/>
    <cellStyle name="Normal 4 2 2 8 2 2 3" xfId="17013" xr:uid="{CCF32414-5317-47D5-81DF-794228D2F220}"/>
    <cellStyle name="Normal 4 2 2 8 2 3" xfId="22095" xr:uid="{E49E5ED2-686C-445C-A5AB-3A39DF8526DC}"/>
    <cellStyle name="Normal 4 2 2 8 2 4" xfId="12796" xr:uid="{342550CE-F954-422E-B029-EF77DEB73A8F}"/>
    <cellStyle name="Normal 4 2 2 8 3" xfId="5542" xr:uid="{00000000-0005-0000-0000-000025130000}"/>
    <cellStyle name="Normal 4 2 2 8 3 2" xfId="24167" xr:uid="{77529A51-F6E9-4E20-8FBE-06189814DC4F}"/>
    <cellStyle name="Normal 4 2 2 8 3 3" xfId="14868" xr:uid="{C1DA17D8-7410-4B02-9B0F-D63D322A7858}"/>
    <cellStyle name="Normal 4 2 2 8 4" xfId="19950" xr:uid="{200E2CAF-7BA8-4531-B7B6-8D0CFB9F15AE}"/>
    <cellStyle name="Normal 4 2 2 8 5" xfId="10651" xr:uid="{53E6A543-02D9-4E8C-A70B-76DD3A579776}"/>
    <cellStyle name="Normal 4 2 2 9" xfId="1648" xr:uid="{00000000-0005-0000-0000-000026130000}"/>
    <cellStyle name="Normal 4 2 2 9 2" xfId="3878" xr:uid="{00000000-0005-0000-0000-000027130000}"/>
    <cellStyle name="Normal 4 2 2 9 2 2" xfId="8100" xr:uid="{00000000-0005-0000-0000-000028130000}"/>
    <cellStyle name="Normal 4 2 2 9 2 2 2" xfId="26725" xr:uid="{206B3375-7189-4417-800D-816F5A0C606B}"/>
    <cellStyle name="Normal 4 2 2 9 2 2 3" xfId="17426" xr:uid="{AA517FD3-9126-4712-B90B-DCBDED9E8C0E}"/>
    <cellStyle name="Normal 4 2 2 9 2 3" xfId="22508" xr:uid="{9FFFA0E6-9969-446E-A0CF-19A283E791B5}"/>
    <cellStyle name="Normal 4 2 2 9 2 4" xfId="13209" xr:uid="{C6BDB371-447B-4D07-9E75-D012ADFE4B7C}"/>
    <cellStyle name="Normal 4 2 2 9 3" xfId="5955" xr:uid="{00000000-0005-0000-0000-000029130000}"/>
    <cellStyle name="Normal 4 2 2 9 3 2" xfId="24580" xr:uid="{3175C4A6-9979-403B-80DA-2C7EFA447B51}"/>
    <cellStyle name="Normal 4 2 2 9 3 3" xfId="15281" xr:uid="{3EA7AA01-6789-4377-A943-42B943634C17}"/>
    <cellStyle name="Normal 4 2 2 9 4" xfId="20363" xr:uid="{146791D6-F002-4B58-9BD1-1F668A1BFCF5}"/>
    <cellStyle name="Normal 4 2 2 9 5" xfId="11064" xr:uid="{10D4772B-5F3F-4C49-9F05-494AA416A54D}"/>
    <cellStyle name="Normal 4 2 3" xfId="354" xr:uid="{00000000-0005-0000-0000-00002A130000}"/>
    <cellStyle name="Normal 4 2 4" xfId="355" xr:uid="{00000000-0005-0000-0000-00002B130000}"/>
    <cellStyle name="Normal 4 2 4 10" xfId="4732" xr:uid="{00000000-0005-0000-0000-00002C130000}"/>
    <cellStyle name="Normal 4 2 4 10 2" xfId="23357" xr:uid="{7D8EBE1C-18BF-4877-B5E8-3513ECA523FD}"/>
    <cellStyle name="Normal 4 2 4 10 3" xfId="14058" xr:uid="{EBEEB8E7-4698-478A-9C8E-634E985F29E3}"/>
    <cellStyle name="Normal 4 2 4 11" xfId="8775" xr:uid="{7AC259AB-9C32-4DC1-A787-2E2187A7C2D6}"/>
    <cellStyle name="Normal 4 2 4 11 2" xfId="27398" xr:uid="{50999077-176B-4FAA-9405-2A1359A31087}"/>
    <cellStyle name="Normal 4 2 4 11 3" xfId="18099" xr:uid="{14D2F3F2-5C03-4E7A-AA6E-9DA515BD6765}"/>
    <cellStyle name="Normal 4 2 4 12" xfId="19140" xr:uid="{5BC7110F-38F4-4418-A717-514772953329}"/>
    <cellStyle name="Normal 4 2 4 13" xfId="9841" xr:uid="{422E8AD1-88CD-4F42-A274-49616B9434BD}"/>
    <cellStyle name="Normal 4 2 4 2" xfId="356" xr:uid="{00000000-0005-0000-0000-00002D130000}"/>
    <cellStyle name="Normal 4 2 4 2 10" xfId="8820" xr:uid="{8B50D4F4-4786-467C-8322-69D665B73C2B}"/>
    <cellStyle name="Normal 4 2 4 2 10 2" xfId="27443" xr:uid="{2C461FEB-5561-4952-93E2-292EFAA7F536}"/>
    <cellStyle name="Normal 4 2 4 2 10 3" xfId="18144" xr:uid="{EE93ED4C-EAD1-416B-ABAD-E788B4B84AEE}"/>
    <cellStyle name="Normal 4 2 4 2 11" xfId="19141" xr:uid="{49D07041-3E91-4928-9D4C-3401A5A39BE3}"/>
    <cellStyle name="Normal 4 2 4 2 12" xfId="9842" xr:uid="{BACAA1CF-8371-4C8F-B160-AAB2FEFF6636}"/>
    <cellStyle name="Normal 4 2 4 2 2" xfId="357" xr:uid="{00000000-0005-0000-0000-00002E130000}"/>
    <cellStyle name="Normal 4 2 4 2 2 10" xfId="19142" xr:uid="{2A17D198-7B1E-4042-8486-5D733362DC73}"/>
    <cellStyle name="Normal 4 2 4 2 2 11" xfId="9843" xr:uid="{CF7740E8-149E-4D10-A61F-1F9190DB6238}"/>
    <cellStyle name="Normal 4 2 4 2 2 2" xfId="358" xr:uid="{00000000-0005-0000-0000-00002F130000}"/>
    <cellStyle name="Normal 4 2 4 2 2 2 10" xfId="9844" xr:uid="{75EBE5EB-2830-4250-861B-65B742290A4E}"/>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2 2 2" xfId="25918" xr:uid="{1F7A57BC-D60D-4A59-B97B-C2F0DF024C86}"/>
    <cellStyle name="Normal 4 2 4 2 2 2 2 2 2 3" xfId="16619" xr:uid="{A9C08049-6A4D-48C1-878B-2B3590B870B2}"/>
    <cellStyle name="Normal 4 2 4 2 2 2 2 2 3" xfId="21701" xr:uid="{2338CCC2-3645-45D0-A1C9-EF343A3EA2D0}"/>
    <cellStyle name="Normal 4 2 4 2 2 2 2 2 4" xfId="12402" xr:uid="{72F21AFA-6343-497F-8A2A-B7EAB83E45F4}"/>
    <cellStyle name="Normal 4 2 4 2 2 2 2 3" xfId="5148" xr:uid="{00000000-0005-0000-0000-000033130000}"/>
    <cellStyle name="Normal 4 2 4 2 2 2 2 3 2" xfId="23773" xr:uid="{B7D4180D-3410-4826-B778-667F1EB9A8B8}"/>
    <cellStyle name="Normal 4 2 4 2 2 2 2 3 3" xfId="14474" xr:uid="{890BFA25-45FA-4E22-B4E5-1135FC03E1FE}"/>
    <cellStyle name="Normal 4 2 4 2 2 2 2 4" xfId="9555" xr:uid="{31AE7BD4-4F26-4658-9939-15FCE733560E}"/>
    <cellStyle name="Normal 4 2 4 2 2 2 2 4 2" xfId="28169" xr:uid="{52B62B3B-4EAB-4C9F-BFAE-CAAA79254EE5}"/>
    <cellStyle name="Normal 4 2 4 2 2 2 2 4 3" xfId="18870" xr:uid="{6D2BFF1D-8D65-4720-B609-AF3B5EEA3B89}"/>
    <cellStyle name="Normal 4 2 4 2 2 2 2 5" xfId="19556" xr:uid="{1AA83A65-3F30-4371-9602-7391A13C1ABB}"/>
    <cellStyle name="Normal 4 2 4 2 2 2 2 6" xfId="10257" xr:uid="{68B41139-0DAF-4F88-8D66-D3C66E578D7F}"/>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2 2 2" xfId="26331" xr:uid="{1B13F1BC-C571-4506-82AD-F09C0223ED68}"/>
    <cellStyle name="Normal 4 2 4 2 2 2 3 2 2 3" xfId="17032" xr:uid="{6E62999C-3720-4F31-ACC1-4D61FB92E33F}"/>
    <cellStyle name="Normal 4 2 4 2 2 2 3 2 3" xfId="22114" xr:uid="{00D976E3-6A01-4BEE-8C55-66CD1DD15201}"/>
    <cellStyle name="Normal 4 2 4 2 2 2 3 2 4" xfId="12815" xr:uid="{242F95B2-78BF-4E63-83ED-566F71B8B5BC}"/>
    <cellStyle name="Normal 4 2 4 2 2 2 3 3" xfId="5561" xr:uid="{00000000-0005-0000-0000-000037130000}"/>
    <cellStyle name="Normal 4 2 4 2 2 2 3 3 2" xfId="24186" xr:uid="{1460F98D-B873-4D68-8B1C-CFB71B7698D9}"/>
    <cellStyle name="Normal 4 2 4 2 2 2 3 3 3" xfId="14887" xr:uid="{9F08615E-9895-4492-A7F3-182CA583A161}"/>
    <cellStyle name="Normal 4 2 4 2 2 2 3 4" xfId="19969" xr:uid="{F1DA4D99-09A2-4104-BECA-5FB4E12EADF0}"/>
    <cellStyle name="Normal 4 2 4 2 2 2 3 5" xfId="10670" xr:uid="{388693C0-7F67-4CAA-AF41-1BC11E1EA174}"/>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2 2 2" xfId="26744" xr:uid="{D18C3AFF-B7C1-4A05-A281-74AB7048B465}"/>
    <cellStyle name="Normal 4 2 4 2 2 2 4 2 2 3" xfId="17445" xr:uid="{AC495C96-B2CB-465E-B56E-E451A0311E92}"/>
    <cellStyle name="Normal 4 2 4 2 2 2 4 2 3" xfId="22527" xr:uid="{7EAD5F0A-E5CF-4342-937D-B15C249340EA}"/>
    <cellStyle name="Normal 4 2 4 2 2 2 4 2 4" xfId="13228" xr:uid="{6DF39E7C-DF5A-454D-827F-681FD09EE517}"/>
    <cellStyle name="Normal 4 2 4 2 2 2 4 3" xfId="5974" xr:uid="{00000000-0005-0000-0000-00003B130000}"/>
    <cellStyle name="Normal 4 2 4 2 2 2 4 3 2" xfId="24599" xr:uid="{E8CA6E3C-41E2-4B2B-9F1A-A5B80E5CDC95}"/>
    <cellStyle name="Normal 4 2 4 2 2 2 4 3 3" xfId="15300" xr:uid="{FBB02345-9050-45BF-9AC7-10EFDA268F97}"/>
    <cellStyle name="Normal 4 2 4 2 2 2 4 4" xfId="20382" xr:uid="{840E43D0-559F-4F9D-91EC-AF581CD07DA7}"/>
    <cellStyle name="Normal 4 2 4 2 2 2 4 5" xfId="11083" xr:uid="{7F08E460-F2F0-4B59-879A-02CBF5E1E292}"/>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2 2 2" xfId="27157" xr:uid="{866E761B-766F-4335-A578-0F1DA20139A3}"/>
    <cellStyle name="Normal 4 2 4 2 2 2 5 2 2 3" xfId="17858" xr:uid="{FC34DBC4-4B15-4FCD-B614-09A21DA5C862}"/>
    <cellStyle name="Normal 4 2 4 2 2 2 5 2 3" xfId="22940" xr:uid="{CC2C4316-E178-4863-BAB8-F75D4B775F48}"/>
    <cellStyle name="Normal 4 2 4 2 2 2 5 2 4" xfId="13641" xr:uid="{3E630D46-4CBE-424C-A8CB-DE3D3940A9F6}"/>
    <cellStyle name="Normal 4 2 4 2 2 2 5 3" xfId="6387" xr:uid="{00000000-0005-0000-0000-00003F130000}"/>
    <cellStyle name="Normal 4 2 4 2 2 2 5 3 2" xfId="25012" xr:uid="{B8E42DBE-4E66-478A-A1F3-21086A7812AB}"/>
    <cellStyle name="Normal 4 2 4 2 2 2 5 3 3" xfId="15713" xr:uid="{3AA257A4-4287-4746-AB80-DFE54B0A89B9}"/>
    <cellStyle name="Normal 4 2 4 2 2 2 5 4" xfId="20795" xr:uid="{975D99FF-A932-4915-9D33-42D267A9877D}"/>
    <cellStyle name="Normal 4 2 4 2 2 2 5 5" xfId="11496" xr:uid="{A826894C-AE42-4FC0-AE49-68410F7B1C3F}"/>
    <cellStyle name="Normal 4 2 4 2 2 2 6" xfId="2517" xr:uid="{00000000-0005-0000-0000-000040130000}"/>
    <cellStyle name="Normal 4 2 4 2 2 2 6 2" xfId="6800" xr:uid="{00000000-0005-0000-0000-000041130000}"/>
    <cellStyle name="Normal 4 2 4 2 2 2 6 2 2" xfId="25425" xr:uid="{154727A8-9E38-4909-9294-0C1CE4E85E8D}"/>
    <cellStyle name="Normal 4 2 4 2 2 2 6 2 3" xfId="16126" xr:uid="{3BF279F6-32DF-4840-A9A7-0969F736DC79}"/>
    <cellStyle name="Normal 4 2 4 2 2 2 6 3" xfId="21208" xr:uid="{71FCB2C1-F072-445E-856B-F528850890DC}"/>
    <cellStyle name="Normal 4 2 4 2 2 2 6 4" xfId="11909" xr:uid="{BEF8D11C-CDDA-4C1D-A73F-0D76CAB22B8A}"/>
    <cellStyle name="Normal 4 2 4 2 2 2 7" xfId="4735" xr:uid="{00000000-0005-0000-0000-000042130000}"/>
    <cellStyle name="Normal 4 2 4 2 2 2 7 2" xfId="23360" xr:uid="{A28C3C58-5F71-4EA5-907E-DC67C6EDD46E}"/>
    <cellStyle name="Normal 4 2 4 2 2 2 7 3" xfId="14061" xr:uid="{D916AF4A-B28B-4662-98C2-F926C0554E10}"/>
    <cellStyle name="Normal 4 2 4 2 2 2 8" xfId="9130" xr:uid="{E4AAEB37-D6CE-4BD9-A166-BE52F754DAC4}"/>
    <cellStyle name="Normal 4 2 4 2 2 2 8 2" xfId="27753" xr:uid="{1EDFC1A7-A9B5-4819-A65B-65BD499CF539}"/>
    <cellStyle name="Normal 4 2 4 2 2 2 8 3" xfId="18454" xr:uid="{E52CEF1D-E8C7-4073-A3AB-18128E0F9A6E}"/>
    <cellStyle name="Normal 4 2 4 2 2 2 9" xfId="19143" xr:uid="{B74338F7-E2D6-45DD-812A-BDC1641F998C}"/>
    <cellStyle name="Normal 4 2 4 2 2 3" xfId="833" xr:uid="{00000000-0005-0000-0000-000043130000}"/>
    <cellStyle name="Normal 4 2 4 2 2 3 2" xfId="3070" xr:uid="{00000000-0005-0000-0000-000044130000}"/>
    <cellStyle name="Normal 4 2 4 2 2 3 2 2" xfId="7292" xr:uid="{00000000-0005-0000-0000-000045130000}"/>
    <cellStyle name="Normal 4 2 4 2 2 3 2 2 2" xfId="25917" xr:uid="{58639D8B-800B-47CD-BE17-A91B5D588B41}"/>
    <cellStyle name="Normal 4 2 4 2 2 3 2 2 3" xfId="16618" xr:uid="{95601443-A55D-41AE-A2FD-D36373F84266}"/>
    <cellStyle name="Normal 4 2 4 2 2 3 2 3" xfId="21700" xr:uid="{A5EDA860-CB6C-4B4F-AFC8-8FF39EE7FD56}"/>
    <cellStyle name="Normal 4 2 4 2 2 3 2 4" xfId="12401" xr:uid="{0BFB0C79-60F4-45D5-B8A2-3974EDE4A082}"/>
    <cellStyle name="Normal 4 2 4 2 2 3 3" xfId="5147" xr:uid="{00000000-0005-0000-0000-000046130000}"/>
    <cellStyle name="Normal 4 2 4 2 2 3 3 2" xfId="23772" xr:uid="{E24252EC-69C7-45CF-9B68-96092E38C170}"/>
    <cellStyle name="Normal 4 2 4 2 2 3 3 3" xfId="14473" xr:uid="{B05CD073-878A-41EA-B655-ED86FFA30102}"/>
    <cellStyle name="Normal 4 2 4 2 2 3 4" xfId="9348" xr:uid="{E9E52CF6-B3CF-482F-B496-A22B0452951D}"/>
    <cellStyle name="Normal 4 2 4 2 2 3 4 2" xfId="27962" xr:uid="{4E73BB38-746F-4596-B986-A10B0728FB85}"/>
    <cellStyle name="Normal 4 2 4 2 2 3 4 3" xfId="18663" xr:uid="{B28797FF-F091-46EC-8D7A-E4C19A671B2C}"/>
    <cellStyle name="Normal 4 2 4 2 2 3 5" xfId="19555" xr:uid="{A02BF19C-2697-42E8-870B-3A580D9476E5}"/>
    <cellStyle name="Normal 4 2 4 2 2 3 6" xfId="10256" xr:uid="{D13667D8-C4DA-4FE9-A95C-32F792A3C637}"/>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2 2 2" xfId="26330" xr:uid="{D86E3467-AF33-479B-B511-0C474B680B35}"/>
    <cellStyle name="Normal 4 2 4 2 2 4 2 2 3" xfId="17031" xr:uid="{3172D561-48DB-4365-8FFD-90842F6827F9}"/>
    <cellStyle name="Normal 4 2 4 2 2 4 2 3" xfId="22113" xr:uid="{8EF4B408-599D-4E35-BB07-AD5DFE8E8620}"/>
    <cellStyle name="Normal 4 2 4 2 2 4 2 4" xfId="12814" xr:uid="{8FA3A303-159B-4067-A140-1519D1AE4202}"/>
    <cellStyle name="Normal 4 2 4 2 2 4 3" xfId="5560" xr:uid="{00000000-0005-0000-0000-00004A130000}"/>
    <cellStyle name="Normal 4 2 4 2 2 4 3 2" xfId="24185" xr:uid="{EA26DE06-15F9-4B82-88BF-9044238961D7}"/>
    <cellStyle name="Normal 4 2 4 2 2 4 3 3" xfId="14886" xr:uid="{458AAD6E-64A1-49F8-9978-E5759CB6019B}"/>
    <cellStyle name="Normal 4 2 4 2 2 4 4" xfId="19968" xr:uid="{4E25A51C-246F-4B99-AA29-9C561F8FCFFD}"/>
    <cellStyle name="Normal 4 2 4 2 2 4 5" xfId="10669" xr:uid="{2DC8C315-8B9D-407A-A350-03CC1652DD55}"/>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2 2 2" xfId="26743" xr:uid="{8D23B11A-58A7-4590-B169-141D3B539316}"/>
    <cellStyle name="Normal 4 2 4 2 2 5 2 2 3" xfId="17444" xr:uid="{AF5F3F8F-85D7-4772-B39C-D0A5F3754E67}"/>
    <cellStyle name="Normal 4 2 4 2 2 5 2 3" xfId="22526" xr:uid="{ECAFAE7F-65B1-453C-910A-531813B400E4}"/>
    <cellStyle name="Normal 4 2 4 2 2 5 2 4" xfId="13227" xr:uid="{E6EFE6D8-19BA-46DC-A6AF-735745FFDC48}"/>
    <cellStyle name="Normal 4 2 4 2 2 5 3" xfId="5973" xr:uid="{00000000-0005-0000-0000-00004E130000}"/>
    <cellStyle name="Normal 4 2 4 2 2 5 3 2" xfId="24598" xr:uid="{2285D4D2-9F44-4EC1-A21C-267FB8CC5627}"/>
    <cellStyle name="Normal 4 2 4 2 2 5 3 3" xfId="15299" xr:uid="{8F0B103D-816D-4686-B230-A395CC636C07}"/>
    <cellStyle name="Normal 4 2 4 2 2 5 4" xfId="20381" xr:uid="{C3A341F9-55AC-4121-AEF3-B683819D9C03}"/>
    <cellStyle name="Normal 4 2 4 2 2 5 5" xfId="11082" xr:uid="{975D257E-5549-4D1F-B500-1A5890E6E549}"/>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2 2 2" xfId="27156" xr:uid="{96112406-9F01-49AD-B7E7-29799C6B5A98}"/>
    <cellStyle name="Normal 4 2 4 2 2 6 2 2 3" xfId="17857" xr:uid="{6AF3E45E-0B68-46FE-9A3D-E9DA524E9C92}"/>
    <cellStyle name="Normal 4 2 4 2 2 6 2 3" xfId="22939" xr:uid="{D16D7729-3FBD-45B0-A3D9-607380AC7031}"/>
    <cellStyle name="Normal 4 2 4 2 2 6 2 4" xfId="13640" xr:uid="{50CFBB88-C276-43B0-8769-4202BCA0CC91}"/>
    <cellStyle name="Normal 4 2 4 2 2 6 3" xfId="6386" xr:uid="{00000000-0005-0000-0000-000052130000}"/>
    <cellStyle name="Normal 4 2 4 2 2 6 3 2" xfId="25011" xr:uid="{D8F438D5-C6ED-42E8-9B4B-60398B41E069}"/>
    <cellStyle name="Normal 4 2 4 2 2 6 3 3" xfId="15712" xr:uid="{68982DCF-BE79-4947-9300-2232EB3E99AE}"/>
    <cellStyle name="Normal 4 2 4 2 2 6 4" xfId="20794" xr:uid="{ACBFA68A-490C-4933-8F69-188E4CEFC612}"/>
    <cellStyle name="Normal 4 2 4 2 2 6 5" xfId="11495" xr:uid="{9F37E54C-FD78-4461-B6F7-EAB725E260DF}"/>
    <cellStyle name="Normal 4 2 4 2 2 7" xfId="2516" xr:uid="{00000000-0005-0000-0000-000053130000}"/>
    <cellStyle name="Normal 4 2 4 2 2 7 2" xfId="6799" xr:uid="{00000000-0005-0000-0000-000054130000}"/>
    <cellStyle name="Normal 4 2 4 2 2 7 2 2" xfId="25424" xr:uid="{687159C7-E94A-4ACF-B7C2-A9503DD73AD0}"/>
    <cellStyle name="Normal 4 2 4 2 2 7 2 3" xfId="16125" xr:uid="{6664F40A-F347-4221-B154-756BB52ED670}"/>
    <cellStyle name="Normal 4 2 4 2 2 7 3" xfId="21207" xr:uid="{F86AD5F6-0B9F-4927-B80B-F9A68B3D77CF}"/>
    <cellStyle name="Normal 4 2 4 2 2 7 4" xfId="11908" xr:uid="{E174FD97-BEAD-4AAA-B790-C4DAA3A06E30}"/>
    <cellStyle name="Normal 4 2 4 2 2 8" xfId="4734" xr:uid="{00000000-0005-0000-0000-000055130000}"/>
    <cellStyle name="Normal 4 2 4 2 2 8 2" xfId="23359" xr:uid="{4CDC7EE5-C5A3-43F4-AEE0-64129BA32558}"/>
    <cellStyle name="Normal 4 2 4 2 2 8 3" xfId="14060" xr:uid="{22DC4C8F-FD6E-44EA-8C66-C389F2746E7F}"/>
    <cellStyle name="Normal 4 2 4 2 2 9" xfId="8923" xr:uid="{2BBE6936-33B8-4624-9F85-2EE83C62ACB2}"/>
    <cellStyle name="Normal 4 2 4 2 2 9 2" xfId="27546" xr:uid="{2E048459-78C5-4046-9945-3B770BD4DC63}"/>
    <cellStyle name="Normal 4 2 4 2 2 9 3" xfId="18247" xr:uid="{1F12C002-9C39-4B9E-99C2-F1C84C85B1D2}"/>
    <cellStyle name="Normal 4 2 4 2 3" xfId="359" xr:uid="{00000000-0005-0000-0000-000056130000}"/>
    <cellStyle name="Normal 4 2 4 2 3 10" xfId="9845" xr:uid="{8904E17F-3CD9-47C9-BCD4-28DF9AA66F4B}"/>
    <cellStyle name="Normal 4 2 4 2 3 2" xfId="835" xr:uid="{00000000-0005-0000-0000-000057130000}"/>
    <cellStyle name="Normal 4 2 4 2 3 2 2" xfId="3072" xr:uid="{00000000-0005-0000-0000-000058130000}"/>
    <cellStyle name="Normal 4 2 4 2 3 2 2 2" xfId="7294" xr:uid="{00000000-0005-0000-0000-000059130000}"/>
    <cellStyle name="Normal 4 2 4 2 3 2 2 2 2" xfId="25919" xr:uid="{3503086B-A261-4C50-9D50-B8C9818D2F75}"/>
    <cellStyle name="Normal 4 2 4 2 3 2 2 2 3" xfId="16620" xr:uid="{A71B20DB-1BE3-404A-808D-78D52C409BA9}"/>
    <cellStyle name="Normal 4 2 4 2 3 2 2 3" xfId="21702" xr:uid="{978989FA-5CF5-4397-A4EA-3DA75A6BC67F}"/>
    <cellStyle name="Normal 4 2 4 2 3 2 2 4" xfId="12403" xr:uid="{DD845B86-3575-475E-867A-2A53E0584968}"/>
    <cellStyle name="Normal 4 2 4 2 3 2 3" xfId="5149" xr:uid="{00000000-0005-0000-0000-00005A130000}"/>
    <cellStyle name="Normal 4 2 4 2 3 2 3 2" xfId="23774" xr:uid="{7FE011A5-0B76-44A7-AA48-5251D3363D89}"/>
    <cellStyle name="Normal 4 2 4 2 3 2 3 3" xfId="14475" xr:uid="{BF42F30E-411F-4149-A77B-9DB5444A8FF9}"/>
    <cellStyle name="Normal 4 2 4 2 3 2 4" xfId="9452" xr:uid="{58F46659-8F00-4705-8554-54AEBE9B8A77}"/>
    <cellStyle name="Normal 4 2 4 2 3 2 4 2" xfId="28066" xr:uid="{300889C1-40AF-4C1A-8D03-16680085B2F4}"/>
    <cellStyle name="Normal 4 2 4 2 3 2 4 3" xfId="18767" xr:uid="{9D98168E-4196-497A-9403-4CE2138DC612}"/>
    <cellStyle name="Normal 4 2 4 2 3 2 5" xfId="19557" xr:uid="{E0216A70-DE1B-4927-B12C-E5B9EF5ADAF8}"/>
    <cellStyle name="Normal 4 2 4 2 3 2 6" xfId="10258" xr:uid="{5555E13C-0C71-4309-91CF-D64074601A6F}"/>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2 2 2" xfId="26332" xr:uid="{371D8293-CAAD-4887-9211-783F741BC9DD}"/>
    <cellStyle name="Normal 4 2 4 2 3 3 2 2 3" xfId="17033" xr:uid="{D52380CA-46F4-43FA-871F-24CF7D4BC4B7}"/>
    <cellStyle name="Normal 4 2 4 2 3 3 2 3" xfId="22115" xr:uid="{2C9D76A4-A883-49FB-A7E7-E29644370D80}"/>
    <cellStyle name="Normal 4 2 4 2 3 3 2 4" xfId="12816" xr:uid="{437BB8AA-B9CE-4533-B964-8777BC5882EE}"/>
    <cellStyle name="Normal 4 2 4 2 3 3 3" xfId="5562" xr:uid="{00000000-0005-0000-0000-00005E130000}"/>
    <cellStyle name="Normal 4 2 4 2 3 3 3 2" xfId="24187" xr:uid="{EEA676F8-FE85-4376-9628-9AA129A89573}"/>
    <cellStyle name="Normal 4 2 4 2 3 3 3 3" xfId="14888" xr:uid="{D4D9F366-3BC8-4CFD-AB7B-2EF7CD362B58}"/>
    <cellStyle name="Normal 4 2 4 2 3 3 4" xfId="19970" xr:uid="{33F47716-CD38-4C9F-AA3C-A8113FE37897}"/>
    <cellStyle name="Normal 4 2 4 2 3 3 5" xfId="10671" xr:uid="{F2619973-9E0E-4066-BA4E-E6E30D6B90E4}"/>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2 2 2" xfId="26745" xr:uid="{05A26CD1-DDCB-4E0B-AFC7-FE03676F35B5}"/>
    <cellStyle name="Normal 4 2 4 2 3 4 2 2 3" xfId="17446" xr:uid="{C4810FAC-68AD-48D5-B235-D6CFF7D8FE16}"/>
    <cellStyle name="Normal 4 2 4 2 3 4 2 3" xfId="22528" xr:uid="{66FFC25F-757F-46B5-8208-8C9DBA765C7F}"/>
    <cellStyle name="Normal 4 2 4 2 3 4 2 4" xfId="13229" xr:uid="{24DD60D8-AA4D-4538-BA61-BA26E74A2392}"/>
    <cellStyle name="Normal 4 2 4 2 3 4 3" xfId="5975" xr:uid="{00000000-0005-0000-0000-000062130000}"/>
    <cellStyle name="Normal 4 2 4 2 3 4 3 2" xfId="24600" xr:uid="{ECAB84D1-1E32-4B6F-8AC3-30AF9224889D}"/>
    <cellStyle name="Normal 4 2 4 2 3 4 3 3" xfId="15301" xr:uid="{DEBFD49B-80CA-4B03-8A88-76CE41D5A107}"/>
    <cellStyle name="Normal 4 2 4 2 3 4 4" xfId="20383" xr:uid="{7E20B2F4-997A-4827-86CC-710DBD82B43B}"/>
    <cellStyle name="Normal 4 2 4 2 3 4 5" xfId="11084" xr:uid="{FE69EA7D-1885-4120-A33E-5E64F32635EB}"/>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2 2 2" xfId="27158" xr:uid="{CED26C8D-EFB0-4BD4-B96A-EA46D326F4F3}"/>
    <cellStyle name="Normal 4 2 4 2 3 5 2 2 3" xfId="17859" xr:uid="{F7832753-7AC9-4DC0-80D3-B9AAD69191F3}"/>
    <cellStyle name="Normal 4 2 4 2 3 5 2 3" xfId="22941" xr:uid="{05F665ED-9C6B-4505-8633-A3011D15FABA}"/>
    <cellStyle name="Normal 4 2 4 2 3 5 2 4" xfId="13642" xr:uid="{19A2AEF6-0AB1-4809-A9ED-984BECED841F}"/>
    <cellStyle name="Normal 4 2 4 2 3 5 3" xfId="6388" xr:uid="{00000000-0005-0000-0000-000066130000}"/>
    <cellStyle name="Normal 4 2 4 2 3 5 3 2" xfId="25013" xr:uid="{603D8340-F640-4C2E-952A-359744D27BEA}"/>
    <cellStyle name="Normal 4 2 4 2 3 5 3 3" xfId="15714" xr:uid="{9A35C037-2316-4089-B3E7-82A10843B67F}"/>
    <cellStyle name="Normal 4 2 4 2 3 5 4" xfId="20796" xr:uid="{EAAC4612-F70C-468D-932F-71F1C17540C2}"/>
    <cellStyle name="Normal 4 2 4 2 3 5 5" xfId="11497" xr:uid="{441D395F-F30C-4B08-A0C5-A166BC9A4773}"/>
    <cellStyle name="Normal 4 2 4 2 3 6" xfId="2518" xr:uid="{00000000-0005-0000-0000-000067130000}"/>
    <cellStyle name="Normal 4 2 4 2 3 6 2" xfId="6801" xr:uid="{00000000-0005-0000-0000-000068130000}"/>
    <cellStyle name="Normal 4 2 4 2 3 6 2 2" xfId="25426" xr:uid="{36E93543-0282-436F-A1AF-27D064E6B9F4}"/>
    <cellStyle name="Normal 4 2 4 2 3 6 2 3" xfId="16127" xr:uid="{9FC80AD8-CAA0-4057-A8D3-49507CFB50D4}"/>
    <cellStyle name="Normal 4 2 4 2 3 6 3" xfId="21209" xr:uid="{921F79D2-A97B-4E3F-85BE-E4A83F4BBE8C}"/>
    <cellStyle name="Normal 4 2 4 2 3 6 4" xfId="11910" xr:uid="{06004AAC-54FD-4C4D-85A2-1A846F6AED68}"/>
    <cellStyle name="Normal 4 2 4 2 3 7" xfId="4736" xr:uid="{00000000-0005-0000-0000-000069130000}"/>
    <cellStyle name="Normal 4 2 4 2 3 7 2" xfId="23361" xr:uid="{CCDE1D8B-8F1A-43D4-BBDC-0FD5E2DC6364}"/>
    <cellStyle name="Normal 4 2 4 2 3 7 3" xfId="14062" xr:uid="{A3434FC4-709A-49B9-80F5-2BAB812F1D11}"/>
    <cellStyle name="Normal 4 2 4 2 3 8" xfId="9027" xr:uid="{DA430019-E492-48BB-ACD5-5BE853C50FBC}"/>
    <cellStyle name="Normal 4 2 4 2 3 8 2" xfId="27650" xr:uid="{FF75C0C2-5850-45E3-AB49-56B42C2B37A5}"/>
    <cellStyle name="Normal 4 2 4 2 3 8 3" xfId="18351" xr:uid="{265EEDA9-77F1-447B-A8BC-2DED8D65E8DF}"/>
    <cellStyle name="Normal 4 2 4 2 3 9" xfId="19144" xr:uid="{591B8D3A-AB88-4627-BC5D-721DEEE6A4D6}"/>
    <cellStyle name="Normal 4 2 4 2 4" xfId="832" xr:uid="{00000000-0005-0000-0000-00006A130000}"/>
    <cellStyle name="Normal 4 2 4 2 4 2" xfId="3069" xr:uid="{00000000-0005-0000-0000-00006B130000}"/>
    <cellStyle name="Normal 4 2 4 2 4 2 2" xfId="7291" xr:uid="{00000000-0005-0000-0000-00006C130000}"/>
    <cellStyle name="Normal 4 2 4 2 4 2 2 2" xfId="25916" xr:uid="{DB4CCAC6-EF85-4FAF-93E7-486D84047041}"/>
    <cellStyle name="Normal 4 2 4 2 4 2 2 3" xfId="16617" xr:uid="{5C53A511-8957-4A2B-ADAB-FBB7E98987DE}"/>
    <cellStyle name="Normal 4 2 4 2 4 2 3" xfId="21699" xr:uid="{EB0CC680-DBC2-49A0-93BF-6CDB95575A13}"/>
    <cellStyle name="Normal 4 2 4 2 4 2 4" xfId="12400" xr:uid="{666A3D3A-B036-44CE-8CCE-D9424E6146BF}"/>
    <cellStyle name="Normal 4 2 4 2 4 3" xfId="5146" xr:uid="{00000000-0005-0000-0000-00006D130000}"/>
    <cellStyle name="Normal 4 2 4 2 4 3 2" xfId="23771" xr:uid="{C8332C37-D864-4B6E-9B7A-9A034AEDDEB9}"/>
    <cellStyle name="Normal 4 2 4 2 4 3 3" xfId="14472" xr:uid="{248E6CE2-B52B-4E71-9E98-AA056D7B5939}"/>
    <cellStyle name="Normal 4 2 4 2 4 4" xfId="9245" xr:uid="{A0383DD8-843E-4601-922A-5CDD979D0589}"/>
    <cellStyle name="Normal 4 2 4 2 4 4 2" xfId="27859" xr:uid="{B54246CB-F9C5-4A34-A8E5-CC111BC755BC}"/>
    <cellStyle name="Normal 4 2 4 2 4 4 3" xfId="18560" xr:uid="{202FB933-372B-4A9B-9352-4F7B87765E77}"/>
    <cellStyle name="Normal 4 2 4 2 4 5" xfId="19554" xr:uid="{836D2187-2874-4BD1-90BF-0FE33696F6E0}"/>
    <cellStyle name="Normal 4 2 4 2 4 6" xfId="10255" xr:uid="{ECF18941-F2A2-49DA-9679-7EB48140955D}"/>
    <cellStyle name="Normal 4 2 4 2 5" xfId="1252" xr:uid="{00000000-0005-0000-0000-00006E130000}"/>
    <cellStyle name="Normal 4 2 4 2 5 2" xfId="3482" xr:uid="{00000000-0005-0000-0000-00006F130000}"/>
    <cellStyle name="Normal 4 2 4 2 5 2 2" xfId="7704" xr:uid="{00000000-0005-0000-0000-000070130000}"/>
    <cellStyle name="Normal 4 2 4 2 5 2 2 2" xfId="26329" xr:uid="{4F70C043-3515-48B4-9DAA-20CB906D694B}"/>
    <cellStyle name="Normal 4 2 4 2 5 2 2 3" xfId="17030" xr:uid="{2D170214-6D3E-4D1B-8EF5-DA6F0E26194B}"/>
    <cellStyle name="Normal 4 2 4 2 5 2 3" xfId="22112" xr:uid="{1E850990-FEC4-4362-AA26-10BCDD9FCCEA}"/>
    <cellStyle name="Normal 4 2 4 2 5 2 4" xfId="12813" xr:uid="{D5D6F583-2599-46BC-B239-4C03A51C2A16}"/>
    <cellStyle name="Normal 4 2 4 2 5 3" xfId="5559" xr:uid="{00000000-0005-0000-0000-000071130000}"/>
    <cellStyle name="Normal 4 2 4 2 5 3 2" xfId="24184" xr:uid="{74D1FB2C-5937-4948-8DBB-2A714AEF9654}"/>
    <cellStyle name="Normal 4 2 4 2 5 3 3" xfId="14885" xr:uid="{CF0991DA-B1F5-4DE5-BDE8-9BACE30E7E49}"/>
    <cellStyle name="Normal 4 2 4 2 5 4" xfId="19967" xr:uid="{D269F826-A193-428C-9A05-D7D5A969E297}"/>
    <cellStyle name="Normal 4 2 4 2 5 5" xfId="10668" xr:uid="{76A4335C-A1E1-4C16-B735-6DACC7DC2E85}"/>
    <cellStyle name="Normal 4 2 4 2 6" xfId="1665" xr:uid="{00000000-0005-0000-0000-000072130000}"/>
    <cellStyle name="Normal 4 2 4 2 6 2" xfId="3895" xr:uid="{00000000-0005-0000-0000-000073130000}"/>
    <cellStyle name="Normal 4 2 4 2 6 2 2" xfId="8117" xr:uid="{00000000-0005-0000-0000-000074130000}"/>
    <cellStyle name="Normal 4 2 4 2 6 2 2 2" xfId="26742" xr:uid="{6D7A36BB-492F-429B-9FC8-BF371F81C2D7}"/>
    <cellStyle name="Normal 4 2 4 2 6 2 2 3" xfId="17443" xr:uid="{50DE013C-7123-4147-949B-C9CC88D47DD9}"/>
    <cellStyle name="Normal 4 2 4 2 6 2 3" xfId="22525" xr:uid="{8A2A39E0-721E-4291-BCFC-073DCDADDE20}"/>
    <cellStyle name="Normal 4 2 4 2 6 2 4" xfId="13226" xr:uid="{5405D507-6446-459D-8B7B-C416B7DEDE43}"/>
    <cellStyle name="Normal 4 2 4 2 6 3" xfId="5972" xr:uid="{00000000-0005-0000-0000-000075130000}"/>
    <cellStyle name="Normal 4 2 4 2 6 3 2" xfId="24597" xr:uid="{E7381050-1814-4454-9364-121728EA3F64}"/>
    <cellStyle name="Normal 4 2 4 2 6 3 3" xfId="15298" xr:uid="{38E614EB-7CAB-49B1-9D9E-CFDEAECC80A6}"/>
    <cellStyle name="Normal 4 2 4 2 6 4" xfId="20380" xr:uid="{ACBAD746-F694-42A9-ABBF-1A396614634D}"/>
    <cellStyle name="Normal 4 2 4 2 6 5" xfId="11081" xr:uid="{F01828E5-38C8-4BCB-B9F0-8062D6D7867A}"/>
    <cellStyle name="Normal 4 2 4 2 7" xfId="2079" xr:uid="{00000000-0005-0000-0000-000076130000}"/>
    <cellStyle name="Normal 4 2 4 2 7 2" xfId="4308" xr:uid="{00000000-0005-0000-0000-000077130000}"/>
    <cellStyle name="Normal 4 2 4 2 7 2 2" xfId="8530" xr:uid="{00000000-0005-0000-0000-000078130000}"/>
    <cellStyle name="Normal 4 2 4 2 7 2 2 2" xfId="27155" xr:uid="{A93740CD-611B-48B2-89FD-F27961EA563A}"/>
    <cellStyle name="Normal 4 2 4 2 7 2 2 3" xfId="17856" xr:uid="{0A164EA7-183A-49F5-9C8D-C7A0C4D3ABBC}"/>
    <cellStyle name="Normal 4 2 4 2 7 2 3" xfId="22938" xr:uid="{C09D1E4B-867E-4EE1-81BF-095E779A0548}"/>
    <cellStyle name="Normal 4 2 4 2 7 2 4" xfId="13639" xr:uid="{39AAFA45-37E5-4504-833D-5260E5AC6E0F}"/>
    <cellStyle name="Normal 4 2 4 2 7 3" xfId="6385" xr:uid="{00000000-0005-0000-0000-000079130000}"/>
    <cellStyle name="Normal 4 2 4 2 7 3 2" xfId="25010" xr:uid="{BF8410F3-5361-4339-B5CE-043BCAC58EB7}"/>
    <cellStyle name="Normal 4 2 4 2 7 3 3" xfId="15711" xr:uid="{C75E000E-69DD-45AC-9DC7-2C64CA5C585A}"/>
    <cellStyle name="Normal 4 2 4 2 7 4" xfId="20793" xr:uid="{40E7691F-0F95-40E6-8344-D9EC92472285}"/>
    <cellStyle name="Normal 4 2 4 2 7 5" xfId="11494" xr:uid="{7DE8263C-BC08-4BFF-BC4D-75B02D329E5D}"/>
    <cellStyle name="Normal 4 2 4 2 8" xfId="2515" xr:uid="{00000000-0005-0000-0000-00007A130000}"/>
    <cellStyle name="Normal 4 2 4 2 8 2" xfId="6798" xr:uid="{00000000-0005-0000-0000-00007B130000}"/>
    <cellStyle name="Normal 4 2 4 2 8 2 2" xfId="25423" xr:uid="{9CE812C7-CB75-4301-A81E-9BD933F393D3}"/>
    <cellStyle name="Normal 4 2 4 2 8 2 3" xfId="16124" xr:uid="{83BE9E00-9D25-498E-BB12-05BEC3C97F78}"/>
    <cellStyle name="Normal 4 2 4 2 8 3" xfId="21206" xr:uid="{87F91DE2-E396-4B21-B094-9346AE6982F9}"/>
    <cellStyle name="Normal 4 2 4 2 8 4" xfId="11907" xr:uid="{03C14CA4-56A3-4DB0-89CA-BCEDF02A9726}"/>
    <cellStyle name="Normal 4 2 4 2 9" xfId="4733" xr:uid="{00000000-0005-0000-0000-00007C130000}"/>
    <cellStyle name="Normal 4 2 4 2 9 2" xfId="23358" xr:uid="{B857F089-BEF3-43FC-A4EF-0B0C952C9371}"/>
    <cellStyle name="Normal 4 2 4 2 9 3" xfId="14059" xr:uid="{C90FD285-4F71-4D9F-99FA-506371B92C9B}"/>
    <cellStyle name="Normal 4 2 4 3" xfId="360" xr:uid="{00000000-0005-0000-0000-00007D130000}"/>
    <cellStyle name="Normal 4 2 4 3 10" xfId="19145" xr:uid="{EAE32964-0882-47F0-B7E0-430B38EBE876}"/>
    <cellStyle name="Normal 4 2 4 3 11" xfId="9846" xr:uid="{FA43FCFD-74AB-442B-B8AC-766B12547393}"/>
    <cellStyle name="Normal 4 2 4 3 2" xfId="361" xr:uid="{00000000-0005-0000-0000-00007E130000}"/>
    <cellStyle name="Normal 4 2 4 3 2 10" xfId="9847" xr:uid="{84CD2E5A-8C5C-4D80-BFBB-F4CB516FDAC5}"/>
    <cellStyle name="Normal 4 2 4 3 2 2" xfId="837" xr:uid="{00000000-0005-0000-0000-00007F130000}"/>
    <cellStyle name="Normal 4 2 4 3 2 2 2" xfId="3074" xr:uid="{00000000-0005-0000-0000-000080130000}"/>
    <cellStyle name="Normal 4 2 4 3 2 2 2 2" xfId="7296" xr:uid="{00000000-0005-0000-0000-000081130000}"/>
    <cellStyle name="Normal 4 2 4 3 2 2 2 2 2" xfId="25921" xr:uid="{3C783606-6C6E-45AE-97B1-48D873E9B80E}"/>
    <cellStyle name="Normal 4 2 4 3 2 2 2 2 3" xfId="16622" xr:uid="{86B1A201-6199-4FC6-BFC9-091482D71E39}"/>
    <cellStyle name="Normal 4 2 4 3 2 2 2 3" xfId="21704" xr:uid="{9B0D7682-0255-422E-A169-D8B3F3732734}"/>
    <cellStyle name="Normal 4 2 4 3 2 2 2 4" xfId="12405" xr:uid="{A539B2E2-7644-4E05-91CD-74185C95ADE4}"/>
    <cellStyle name="Normal 4 2 4 3 2 2 3" xfId="5151" xr:uid="{00000000-0005-0000-0000-000082130000}"/>
    <cellStyle name="Normal 4 2 4 3 2 2 3 2" xfId="23776" xr:uid="{69609833-475B-4801-9804-40A929A3F68B}"/>
    <cellStyle name="Normal 4 2 4 3 2 2 3 3" xfId="14477" xr:uid="{25583669-C074-4469-AD73-59F1D35F821E}"/>
    <cellStyle name="Normal 4 2 4 3 2 2 4" xfId="9510" xr:uid="{AA534F18-B7F5-44D9-AE7D-03E6DE45E4F9}"/>
    <cellStyle name="Normal 4 2 4 3 2 2 4 2" xfId="28124" xr:uid="{256DB62A-628D-4026-8B52-095BEB21A970}"/>
    <cellStyle name="Normal 4 2 4 3 2 2 4 3" xfId="18825" xr:uid="{A0489E26-0BBC-47C8-9B5F-22C98CFE2F88}"/>
    <cellStyle name="Normal 4 2 4 3 2 2 5" xfId="19559" xr:uid="{226E26BF-51B6-4F88-8579-1B10361A0DCF}"/>
    <cellStyle name="Normal 4 2 4 3 2 2 6" xfId="10260" xr:uid="{74B9D363-FAEA-43D7-8CC2-68CB99BBF890}"/>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2 2 2" xfId="26334" xr:uid="{6EB3C42B-65D8-4893-AD0C-EF9647094762}"/>
    <cellStyle name="Normal 4 2 4 3 2 3 2 2 3" xfId="17035" xr:uid="{DACDF98C-CEEC-49B6-A340-288AB8F7FDA6}"/>
    <cellStyle name="Normal 4 2 4 3 2 3 2 3" xfId="22117" xr:uid="{E0EDA2A4-F72F-4DB3-9E9A-37649370C5D6}"/>
    <cellStyle name="Normal 4 2 4 3 2 3 2 4" xfId="12818" xr:uid="{C59DAC8B-A6A5-4D1C-BD51-FC7586A95267}"/>
    <cellStyle name="Normal 4 2 4 3 2 3 3" xfId="5564" xr:uid="{00000000-0005-0000-0000-000086130000}"/>
    <cellStyle name="Normal 4 2 4 3 2 3 3 2" xfId="24189" xr:uid="{68978882-5362-4C4B-848C-CBE850A3CE52}"/>
    <cellStyle name="Normal 4 2 4 3 2 3 3 3" xfId="14890" xr:uid="{781AB09F-61BD-4889-BCC2-6BEDA0C61F09}"/>
    <cellStyle name="Normal 4 2 4 3 2 3 4" xfId="19972" xr:uid="{49168E82-F04B-45A6-B853-25C302E2C9E0}"/>
    <cellStyle name="Normal 4 2 4 3 2 3 5" xfId="10673" xr:uid="{4F154E13-3C0F-467B-99EB-585B2FC3FA4D}"/>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2 2 2" xfId="26747" xr:uid="{158A42F9-B02D-44B0-A557-DD6F1B9213B5}"/>
    <cellStyle name="Normal 4 2 4 3 2 4 2 2 3" xfId="17448" xr:uid="{548BBED4-A60D-425A-85F2-4E11989C9E99}"/>
    <cellStyle name="Normal 4 2 4 3 2 4 2 3" xfId="22530" xr:uid="{42302F3A-45DC-4F73-BEC4-49E03C5B1E32}"/>
    <cellStyle name="Normal 4 2 4 3 2 4 2 4" xfId="13231" xr:uid="{FC89809E-B6A3-4DAB-A8A5-3A924B6F8B61}"/>
    <cellStyle name="Normal 4 2 4 3 2 4 3" xfId="5977" xr:uid="{00000000-0005-0000-0000-00008A130000}"/>
    <cellStyle name="Normal 4 2 4 3 2 4 3 2" xfId="24602" xr:uid="{515A220C-D2B4-4174-830E-77BEF6B43907}"/>
    <cellStyle name="Normal 4 2 4 3 2 4 3 3" xfId="15303" xr:uid="{72569342-466C-44D4-B16B-75957284F947}"/>
    <cellStyle name="Normal 4 2 4 3 2 4 4" xfId="20385" xr:uid="{C697C493-82EB-4805-BE58-B7D703EBE200}"/>
    <cellStyle name="Normal 4 2 4 3 2 4 5" xfId="11086" xr:uid="{AD2E429F-37D4-4A82-B09A-F1D0B03766D4}"/>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2 2 2" xfId="27160" xr:uid="{C40A35A5-0652-49D2-BC8F-FFA787B0B8A1}"/>
    <cellStyle name="Normal 4 2 4 3 2 5 2 2 3" xfId="17861" xr:uid="{32779CBF-02F1-4D31-BB0C-92EE3FC7C532}"/>
    <cellStyle name="Normal 4 2 4 3 2 5 2 3" xfId="22943" xr:uid="{23CBF484-076E-47E4-AD77-ED925AD84E68}"/>
    <cellStyle name="Normal 4 2 4 3 2 5 2 4" xfId="13644" xr:uid="{B99DF570-CBB5-48B5-887E-A991F5146B41}"/>
    <cellStyle name="Normal 4 2 4 3 2 5 3" xfId="6390" xr:uid="{00000000-0005-0000-0000-00008E130000}"/>
    <cellStyle name="Normal 4 2 4 3 2 5 3 2" xfId="25015" xr:uid="{75464F65-C54C-4CB2-8BEB-3A35DE008799}"/>
    <cellStyle name="Normal 4 2 4 3 2 5 3 3" xfId="15716" xr:uid="{482CD1A5-E193-4557-92C8-AF114751481C}"/>
    <cellStyle name="Normal 4 2 4 3 2 5 4" xfId="20798" xr:uid="{1BCA1F37-C130-4829-8CB4-40D676A091DB}"/>
    <cellStyle name="Normal 4 2 4 3 2 5 5" xfId="11499" xr:uid="{6F11CFD6-89AE-4C9F-AE7C-B70B7C68B626}"/>
    <cellStyle name="Normal 4 2 4 3 2 6" xfId="2520" xr:uid="{00000000-0005-0000-0000-00008F130000}"/>
    <cellStyle name="Normal 4 2 4 3 2 6 2" xfId="6803" xr:uid="{00000000-0005-0000-0000-000090130000}"/>
    <cellStyle name="Normal 4 2 4 3 2 6 2 2" xfId="25428" xr:uid="{2561651D-3C10-4174-AE27-B9DC127FAD87}"/>
    <cellStyle name="Normal 4 2 4 3 2 6 2 3" xfId="16129" xr:uid="{FC6DE5BA-6BE6-4DB3-A305-CFBF5D96D30D}"/>
    <cellStyle name="Normal 4 2 4 3 2 6 3" xfId="21211" xr:uid="{1F53F064-14B1-44E5-8D1A-32C953A2412F}"/>
    <cellStyle name="Normal 4 2 4 3 2 6 4" xfId="11912" xr:uid="{990F8743-D9D4-4351-A115-AD4A58659904}"/>
    <cellStyle name="Normal 4 2 4 3 2 7" xfId="4738" xr:uid="{00000000-0005-0000-0000-000091130000}"/>
    <cellStyle name="Normal 4 2 4 3 2 7 2" xfId="23363" xr:uid="{3C214285-D8C8-4059-86B5-D16D5236E56B}"/>
    <cellStyle name="Normal 4 2 4 3 2 7 3" xfId="14064" xr:uid="{88D532C2-E7D5-4F19-95C5-DC349A491124}"/>
    <cellStyle name="Normal 4 2 4 3 2 8" xfId="9085" xr:uid="{0181E53C-86DC-4588-8447-D559FCF01541}"/>
    <cellStyle name="Normal 4 2 4 3 2 8 2" xfId="27708" xr:uid="{D6BB426C-1011-429B-856D-3EA77800AECB}"/>
    <cellStyle name="Normal 4 2 4 3 2 8 3" xfId="18409" xr:uid="{829B52A6-4517-423B-8F69-762AD8473447}"/>
    <cellStyle name="Normal 4 2 4 3 2 9" xfId="19146" xr:uid="{54F16E86-8E3E-4895-BD3D-60AE5CB3F6C1}"/>
    <cellStyle name="Normal 4 2 4 3 3" xfId="836" xr:uid="{00000000-0005-0000-0000-000092130000}"/>
    <cellStyle name="Normal 4 2 4 3 3 2" xfId="3073" xr:uid="{00000000-0005-0000-0000-000093130000}"/>
    <cellStyle name="Normal 4 2 4 3 3 2 2" xfId="7295" xr:uid="{00000000-0005-0000-0000-000094130000}"/>
    <cellStyle name="Normal 4 2 4 3 3 2 2 2" xfId="25920" xr:uid="{74FEE422-538D-4461-A007-F75561D8AEA3}"/>
    <cellStyle name="Normal 4 2 4 3 3 2 2 3" xfId="16621" xr:uid="{13C1CD2C-0FA6-442B-8F3E-205800146962}"/>
    <cellStyle name="Normal 4 2 4 3 3 2 3" xfId="21703" xr:uid="{F4ED9D91-C21D-4848-AB68-DC746CB51AFE}"/>
    <cellStyle name="Normal 4 2 4 3 3 2 4" xfId="12404" xr:uid="{14696BB3-C80E-49B2-9585-10363F0C2526}"/>
    <cellStyle name="Normal 4 2 4 3 3 3" xfId="5150" xr:uid="{00000000-0005-0000-0000-000095130000}"/>
    <cellStyle name="Normal 4 2 4 3 3 3 2" xfId="23775" xr:uid="{7E16A707-7703-4F3A-B6A6-290F86C25BF5}"/>
    <cellStyle name="Normal 4 2 4 3 3 3 3" xfId="14476" xr:uid="{75A1FC96-A059-4579-A18E-8BFDBFA1EF51}"/>
    <cellStyle name="Normal 4 2 4 3 3 4" xfId="9303" xr:uid="{51CE977A-E9B9-47DD-B6CE-3ECF34A578F1}"/>
    <cellStyle name="Normal 4 2 4 3 3 4 2" xfId="27917" xr:uid="{B7EF3DF5-67AC-46D5-A767-515822C74C3B}"/>
    <cellStyle name="Normal 4 2 4 3 3 4 3" xfId="18618" xr:uid="{DB2D0BE0-6660-4E61-BFD4-2CD165D9D6AE}"/>
    <cellStyle name="Normal 4 2 4 3 3 5" xfId="19558" xr:uid="{79E7FABB-A40A-47A0-9563-837F76962103}"/>
    <cellStyle name="Normal 4 2 4 3 3 6" xfId="10259" xr:uid="{DF2FA409-25A8-4DDC-912E-D3E4831356D1}"/>
    <cellStyle name="Normal 4 2 4 3 4" xfId="1256" xr:uid="{00000000-0005-0000-0000-000096130000}"/>
    <cellStyle name="Normal 4 2 4 3 4 2" xfId="3486" xr:uid="{00000000-0005-0000-0000-000097130000}"/>
    <cellStyle name="Normal 4 2 4 3 4 2 2" xfId="7708" xr:uid="{00000000-0005-0000-0000-000098130000}"/>
    <cellStyle name="Normal 4 2 4 3 4 2 2 2" xfId="26333" xr:uid="{8552B71D-DDED-4BB6-9275-18CEF2BBE4C8}"/>
    <cellStyle name="Normal 4 2 4 3 4 2 2 3" xfId="17034" xr:uid="{651D65C9-7126-4167-ABCA-B4B0C8BF8974}"/>
    <cellStyle name="Normal 4 2 4 3 4 2 3" xfId="22116" xr:uid="{E499D7E9-09CB-4AD7-93CF-1923EDFDB252}"/>
    <cellStyle name="Normal 4 2 4 3 4 2 4" xfId="12817" xr:uid="{75583BA0-CD09-4AA3-A5A4-946E8E280577}"/>
    <cellStyle name="Normal 4 2 4 3 4 3" xfId="5563" xr:uid="{00000000-0005-0000-0000-000099130000}"/>
    <cellStyle name="Normal 4 2 4 3 4 3 2" xfId="24188" xr:uid="{F2E9358E-2A87-4D82-A54D-CD95CE44A9B8}"/>
    <cellStyle name="Normal 4 2 4 3 4 3 3" xfId="14889" xr:uid="{B7E710F5-5EC3-4FDD-B1FA-70EAFD84E217}"/>
    <cellStyle name="Normal 4 2 4 3 4 4" xfId="19971" xr:uid="{1F0DABF1-E7CD-4FD6-9E57-171D198881C5}"/>
    <cellStyle name="Normal 4 2 4 3 4 5" xfId="10672" xr:uid="{1BBCC622-BA67-4379-B1C6-34611FC2C1A2}"/>
    <cellStyle name="Normal 4 2 4 3 5" xfId="1669" xr:uid="{00000000-0005-0000-0000-00009A130000}"/>
    <cellStyle name="Normal 4 2 4 3 5 2" xfId="3899" xr:uid="{00000000-0005-0000-0000-00009B130000}"/>
    <cellStyle name="Normal 4 2 4 3 5 2 2" xfId="8121" xr:uid="{00000000-0005-0000-0000-00009C130000}"/>
    <cellStyle name="Normal 4 2 4 3 5 2 2 2" xfId="26746" xr:uid="{D9465D2A-479B-4BBE-9520-8FF6F8EE4F9A}"/>
    <cellStyle name="Normal 4 2 4 3 5 2 2 3" xfId="17447" xr:uid="{446E1D43-1426-4126-B9FD-B4D28CF84BF3}"/>
    <cellStyle name="Normal 4 2 4 3 5 2 3" xfId="22529" xr:uid="{088976A7-8A1C-4FE5-B7D6-EF05C6746363}"/>
    <cellStyle name="Normal 4 2 4 3 5 2 4" xfId="13230" xr:uid="{7288B723-A170-4B7D-8759-A03300EF6B6F}"/>
    <cellStyle name="Normal 4 2 4 3 5 3" xfId="5976" xr:uid="{00000000-0005-0000-0000-00009D130000}"/>
    <cellStyle name="Normal 4 2 4 3 5 3 2" xfId="24601" xr:uid="{4CFAEAA5-0EBF-40A8-A42A-22B659FE7F75}"/>
    <cellStyle name="Normal 4 2 4 3 5 3 3" xfId="15302" xr:uid="{F62E996B-A8A1-465C-B05E-42AE1FC75474}"/>
    <cellStyle name="Normal 4 2 4 3 5 4" xfId="20384" xr:uid="{FEB2379E-DD9F-425F-A217-8718725BBB22}"/>
    <cellStyle name="Normal 4 2 4 3 5 5" xfId="11085" xr:uid="{2E5349B0-75A8-44EB-BBEF-46E02A6CF8F7}"/>
    <cellStyle name="Normal 4 2 4 3 6" xfId="2083" xr:uid="{00000000-0005-0000-0000-00009E130000}"/>
    <cellStyle name="Normal 4 2 4 3 6 2" xfId="4312" xr:uid="{00000000-0005-0000-0000-00009F130000}"/>
    <cellStyle name="Normal 4 2 4 3 6 2 2" xfId="8534" xr:uid="{00000000-0005-0000-0000-0000A0130000}"/>
    <cellStyle name="Normal 4 2 4 3 6 2 2 2" xfId="27159" xr:uid="{D568492B-5D20-421E-B08F-3CCAE9AAD51A}"/>
    <cellStyle name="Normal 4 2 4 3 6 2 2 3" xfId="17860" xr:uid="{E1BE4DD6-61C4-4D8E-A335-85D2D129AA87}"/>
    <cellStyle name="Normal 4 2 4 3 6 2 3" xfId="22942" xr:uid="{7B281AC9-CDEF-4EB4-8618-047A568E7E9F}"/>
    <cellStyle name="Normal 4 2 4 3 6 2 4" xfId="13643" xr:uid="{08334251-1A9A-425C-97EE-F8A8A659D564}"/>
    <cellStyle name="Normal 4 2 4 3 6 3" xfId="6389" xr:uid="{00000000-0005-0000-0000-0000A1130000}"/>
    <cellStyle name="Normal 4 2 4 3 6 3 2" xfId="25014" xr:uid="{9F61AC80-93DB-4792-8325-F1C9223F5840}"/>
    <cellStyle name="Normal 4 2 4 3 6 3 3" xfId="15715" xr:uid="{8EDC2936-E615-479D-BD51-D8187153BEAB}"/>
    <cellStyle name="Normal 4 2 4 3 6 4" xfId="20797" xr:uid="{C1BBC697-9AC9-4F93-ADB3-284C6459864A}"/>
    <cellStyle name="Normal 4 2 4 3 6 5" xfId="11498" xr:uid="{5788CFFB-C2F8-464E-B588-4FF298C1AC0C}"/>
    <cellStyle name="Normal 4 2 4 3 7" xfId="2519" xr:uid="{00000000-0005-0000-0000-0000A2130000}"/>
    <cellStyle name="Normal 4 2 4 3 7 2" xfId="6802" xr:uid="{00000000-0005-0000-0000-0000A3130000}"/>
    <cellStyle name="Normal 4 2 4 3 7 2 2" xfId="25427" xr:uid="{4ADD4109-5169-4046-89F5-CCDF59249E53}"/>
    <cellStyle name="Normal 4 2 4 3 7 2 3" xfId="16128" xr:uid="{A3ECC8EA-9128-4E4C-9CF1-3079C7CDDF68}"/>
    <cellStyle name="Normal 4 2 4 3 7 3" xfId="21210" xr:uid="{CA0E982F-EA08-4824-8760-C0F5D3E55D85}"/>
    <cellStyle name="Normal 4 2 4 3 7 4" xfId="11911" xr:uid="{7D97FDBC-AD66-4890-A3F1-4886EC52FFD2}"/>
    <cellStyle name="Normal 4 2 4 3 8" xfId="4737" xr:uid="{00000000-0005-0000-0000-0000A4130000}"/>
    <cellStyle name="Normal 4 2 4 3 8 2" xfId="23362" xr:uid="{BDA6EE6F-3ADD-4806-84BE-F6925EB9B7C4}"/>
    <cellStyle name="Normal 4 2 4 3 8 3" xfId="14063" xr:uid="{5F7AE896-43B1-4621-9461-6F13EC73193F}"/>
    <cellStyle name="Normal 4 2 4 3 9" xfId="8878" xr:uid="{B73EE68A-BBFC-4E7A-B773-E14FCCFC8837}"/>
    <cellStyle name="Normal 4 2 4 3 9 2" xfId="27501" xr:uid="{999EC50A-E42B-4C7B-80C7-E4DD6FEA5781}"/>
    <cellStyle name="Normal 4 2 4 3 9 3" xfId="18202" xr:uid="{090B88B5-FF9A-465D-9873-B881C143B0FD}"/>
    <cellStyle name="Normal 4 2 4 4" xfId="362" xr:uid="{00000000-0005-0000-0000-0000A5130000}"/>
    <cellStyle name="Normal 4 2 4 4 10" xfId="9848" xr:uid="{14A6D7D4-6CD1-4203-B7A3-081C44623939}"/>
    <cellStyle name="Normal 4 2 4 4 2" xfId="838" xr:uid="{00000000-0005-0000-0000-0000A6130000}"/>
    <cellStyle name="Normal 4 2 4 4 2 2" xfId="3075" xr:uid="{00000000-0005-0000-0000-0000A7130000}"/>
    <cellStyle name="Normal 4 2 4 4 2 2 2" xfId="7297" xr:uid="{00000000-0005-0000-0000-0000A8130000}"/>
    <cellStyle name="Normal 4 2 4 4 2 2 2 2" xfId="25922" xr:uid="{8B3B926F-4268-45FC-B5E1-D28242A644EA}"/>
    <cellStyle name="Normal 4 2 4 4 2 2 2 3" xfId="16623" xr:uid="{A55F72F5-65DF-4BEE-BACF-008474BB365D}"/>
    <cellStyle name="Normal 4 2 4 4 2 2 3" xfId="21705" xr:uid="{F1C365F0-D8B4-4F69-BE9C-2C0C9B7DEDC6}"/>
    <cellStyle name="Normal 4 2 4 4 2 2 4" xfId="12406" xr:uid="{3ACC9FEB-409D-4731-AD22-FD006AA7240B}"/>
    <cellStyle name="Normal 4 2 4 4 2 3" xfId="5152" xr:uid="{00000000-0005-0000-0000-0000A9130000}"/>
    <cellStyle name="Normal 4 2 4 4 2 3 2" xfId="23777" xr:uid="{6F695B1B-E161-4819-8E4A-6CA758620BF5}"/>
    <cellStyle name="Normal 4 2 4 4 2 3 3" xfId="14478" xr:uid="{96B0F823-BD29-4294-99CA-5EB375D860B0}"/>
    <cellStyle name="Normal 4 2 4 4 2 4" xfId="9407" xr:uid="{5D8D6A7A-388E-41EC-80E9-28307FA015D6}"/>
    <cellStyle name="Normal 4 2 4 4 2 4 2" xfId="28021" xr:uid="{E4EF5E4E-A500-4573-BA18-FA3E1ACD9437}"/>
    <cellStyle name="Normal 4 2 4 4 2 4 3" xfId="18722" xr:uid="{B77A59DF-22F5-48D0-97BC-957C2CCCABA0}"/>
    <cellStyle name="Normal 4 2 4 4 2 5" xfId="19560" xr:uid="{37158E7B-CB20-4F1A-8EE1-4D5296EC7D92}"/>
    <cellStyle name="Normal 4 2 4 4 2 6" xfId="10261" xr:uid="{4B053840-A049-4B13-A978-24C513D879CA}"/>
    <cellStyle name="Normal 4 2 4 4 3" xfId="1258" xr:uid="{00000000-0005-0000-0000-0000AA130000}"/>
    <cellStyle name="Normal 4 2 4 4 3 2" xfId="3488" xr:uid="{00000000-0005-0000-0000-0000AB130000}"/>
    <cellStyle name="Normal 4 2 4 4 3 2 2" xfId="7710" xr:uid="{00000000-0005-0000-0000-0000AC130000}"/>
    <cellStyle name="Normal 4 2 4 4 3 2 2 2" xfId="26335" xr:uid="{662037A9-8390-48A3-A021-EF93D26C89D0}"/>
    <cellStyle name="Normal 4 2 4 4 3 2 2 3" xfId="17036" xr:uid="{7981C401-A577-48B4-A8B7-3E533E70D3E6}"/>
    <cellStyle name="Normal 4 2 4 4 3 2 3" xfId="22118" xr:uid="{A613C425-0BFD-45D4-89B7-55BA55B01941}"/>
    <cellStyle name="Normal 4 2 4 4 3 2 4" xfId="12819" xr:uid="{1DD7D66A-FC1F-42A8-B55D-4AAC71005DA8}"/>
    <cellStyle name="Normal 4 2 4 4 3 3" xfId="5565" xr:uid="{00000000-0005-0000-0000-0000AD130000}"/>
    <cellStyle name="Normal 4 2 4 4 3 3 2" xfId="24190" xr:uid="{CAEDEBE7-6B5C-4128-9B59-81BB405E86A6}"/>
    <cellStyle name="Normal 4 2 4 4 3 3 3" xfId="14891" xr:uid="{F9657C54-A7D6-465D-A2A8-9934EA668A68}"/>
    <cellStyle name="Normal 4 2 4 4 3 4" xfId="19973" xr:uid="{25672C13-F65C-42B0-A6D3-2241FD076510}"/>
    <cellStyle name="Normal 4 2 4 4 3 5" xfId="10674" xr:uid="{87563E2F-2539-4163-A23C-1E262B55F2C2}"/>
    <cellStyle name="Normal 4 2 4 4 4" xfId="1671" xr:uid="{00000000-0005-0000-0000-0000AE130000}"/>
    <cellStyle name="Normal 4 2 4 4 4 2" xfId="3901" xr:uid="{00000000-0005-0000-0000-0000AF130000}"/>
    <cellStyle name="Normal 4 2 4 4 4 2 2" xfId="8123" xr:uid="{00000000-0005-0000-0000-0000B0130000}"/>
    <cellStyle name="Normal 4 2 4 4 4 2 2 2" xfId="26748" xr:uid="{6EBC203A-7497-4C44-BE2B-BF440EB3EB44}"/>
    <cellStyle name="Normal 4 2 4 4 4 2 2 3" xfId="17449" xr:uid="{F5CBD79F-D2C4-48DC-B023-AEA291B45071}"/>
    <cellStyle name="Normal 4 2 4 4 4 2 3" xfId="22531" xr:uid="{E786ED6E-0075-4FD7-A083-6B5881AEF455}"/>
    <cellStyle name="Normal 4 2 4 4 4 2 4" xfId="13232" xr:uid="{BCA5AF51-22B6-472D-8F14-EC7A3521C113}"/>
    <cellStyle name="Normal 4 2 4 4 4 3" xfId="5978" xr:uid="{00000000-0005-0000-0000-0000B1130000}"/>
    <cellStyle name="Normal 4 2 4 4 4 3 2" xfId="24603" xr:uid="{54D118EC-9D28-4FFD-8F79-F67C23290F97}"/>
    <cellStyle name="Normal 4 2 4 4 4 3 3" xfId="15304" xr:uid="{0BCA3483-8F74-4609-A7AF-B2CA0220529D}"/>
    <cellStyle name="Normal 4 2 4 4 4 4" xfId="20386" xr:uid="{A1084436-F01E-491D-9CFE-EACB35E15273}"/>
    <cellStyle name="Normal 4 2 4 4 4 5" xfId="11087" xr:uid="{A29DFC67-8152-4DC3-9871-E45873CDC6EE}"/>
    <cellStyle name="Normal 4 2 4 4 5" xfId="2085" xr:uid="{00000000-0005-0000-0000-0000B2130000}"/>
    <cellStyle name="Normal 4 2 4 4 5 2" xfId="4314" xr:uid="{00000000-0005-0000-0000-0000B3130000}"/>
    <cellStyle name="Normal 4 2 4 4 5 2 2" xfId="8536" xr:uid="{00000000-0005-0000-0000-0000B4130000}"/>
    <cellStyle name="Normal 4 2 4 4 5 2 2 2" xfId="27161" xr:uid="{9CF30704-1A48-40D4-854C-2BB4DD846069}"/>
    <cellStyle name="Normal 4 2 4 4 5 2 2 3" xfId="17862" xr:uid="{599E1109-7DFC-471B-A14A-79489DC44417}"/>
    <cellStyle name="Normal 4 2 4 4 5 2 3" xfId="22944" xr:uid="{DB62DB4A-6EEB-4C53-AAC1-BDDECDD49BDB}"/>
    <cellStyle name="Normal 4 2 4 4 5 2 4" xfId="13645" xr:uid="{DA96DED2-3C36-44EB-840F-46D0D8FFCE33}"/>
    <cellStyle name="Normal 4 2 4 4 5 3" xfId="6391" xr:uid="{00000000-0005-0000-0000-0000B5130000}"/>
    <cellStyle name="Normal 4 2 4 4 5 3 2" xfId="25016" xr:uid="{345E2E79-17CE-4591-8E9A-89A57B73E9E2}"/>
    <cellStyle name="Normal 4 2 4 4 5 3 3" xfId="15717" xr:uid="{EA3E820C-4E0F-4045-8E6D-DC2BEE0E8E1D}"/>
    <cellStyle name="Normal 4 2 4 4 5 4" xfId="20799" xr:uid="{5EEC01A1-374D-4990-BA36-723631827EBA}"/>
    <cellStyle name="Normal 4 2 4 4 5 5" xfId="11500" xr:uid="{BADA9E96-A73F-4A41-8A12-C0B05252BC03}"/>
    <cellStyle name="Normal 4 2 4 4 6" xfId="2521" xr:uid="{00000000-0005-0000-0000-0000B6130000}"/>
    <cellStyle name="Normal 4 2 4 4 6 2" xfId="6804" xr:uid="{00000000-0005-0000-0000-0000B7130000}"/>
    <cellStyle name="Normal 4 2 4 4 6 2 2" xfId="25429" xr:uid="{1F636960-B98B-441F-9F19-1A2C35304DD2}"/>
    <cellStyle name="Normal 4 2 4 4 6 2 3" xfId="16130" xr:uid="{4515987F-042C-4144-8BE5-FBBE511971D5}"/>
    <cellStyle name="Normal 4 2 4 4 6 3" xfId="21212" xr:uid="{022327FF-8EB7-4815-B40D-C62B71FB6F20}"/>
    <cellStyle name="Normal 4 2 4 4 6 4" xfId="11913" xr:uid="{7936890A-7B4D-42B1-B38E-848A7A849CC1}"/>
    <cellStyle name="Normal 4 2 4 4 7" xfId="4739" xr:uid="{00000000-0005-0000-0000-0000B8130000}"/>
    <cellStyle name="Normal 4 2 4 4 7 2" xfId="23364" xr:uid="{A83B0BD4-5058-4AEE-8F95-130BA631F460}"/>
    <cellStyle name="Normal 4 2 4 4 7 3" xfId="14065" xr:uid="{4F0C89A0-94A6-4594-849F-6981A0CECD91}"/>
    <cellStyle name="Normal 4 2 4 4 8" xfId="8982" xr:uid="{4C273C9B-E12E-4EF2-812F-666600229207}"/>
    <cellStyle name="Normal 4 2 4 4 8 2" xfId="27605" xr:uid="{777B313B-990A-4687-AF76-996440A34C1C}"/>
    <cellStyle name="Normal 4 2 4 4 8 3" xfId="18306" xr:uid="{91AC8607-D205-429C-A829-BA0BC649A023}"/>
    <cellStyle name="Normal 4 2 4 4 9" xfId="19147" xr:uid="{20E4F218-CFAF-4A60-AD97-18CF8A28DAC6}"/>
    <cellStyle name="Normal 4 2 4 5" xfId="831" xr:uid="{00000000-0005-0000-0000-0000B9130000}"/>
    <cellStyle name="Normal 4 2 4 5 2" xfId="3068" xr:uid="{00000000-0005-0000-0000-0000BA130000}"/>
    <cellStyle name="Normal 4 2 4 5 2 2" xfId="7290" xr:uid="{00000000-0005-0000-0000-0000BB130000}"/>
    <cellStyle name="Normal 4 2 4 5 2 2 2" xfId="25915" xr:uid="{10522B50-CC9A-42F0-B348-BB32A446C9C4}"/>
    <cellStyle name="Normal 4 2 4 5 2 2 3" xfId="16616" xr:uid="{EA3CAC4B-D4D1-4BA7-9FA3-DF0171545623}"/>
    <cellStyle name="Normal 4 2 4 5 2 3" xfId="21698" xr:uid="{E43BAAE7-83C9-4347-AF91-82D78C3BDFBA}"/>
    <cellStyle name="Normal 4 2 4 5 2 4" xfId="12399" xr:uid="{39A61F7E-43A7-4320-B08E-3004D88AEC7F}"/>
    <cellStyle name="Normal 4 2 4 5 3" xfId="5145" xr:uid="{00000000-0005-0000-0000-0000BC130000}"/>
    <cellStyle name="Normal 4 2 4 5 3 2" xfId="23770" xr:uid="{BF113212-E16B-4B1D-8776-A7E03A77ADE4}"/>
    <cellStyle name="Normal 4 2 4 5 3 3" xfId="14471" xr:uid="{1FE4100A-CC9B-45A4-ABFC-356837B34440}"/>
    <cellStyle name="Normal 4 2 4 5 4" xfId="9199" xr:uid="{1A9A2DC3-2FEA-4A30-A92C-84708E9B2741}"/>
    <cellStyle name="Normal 4 2 4 5 4 2" xfId="27814" xr:uid="{57C0AA44-1F56-4F3C-9659-AB27BAEB2A6F}"/>
    <cellStyle name="Normal 4 2 4 5 4 3" xfId="18515" xr:uid="{2A850A6F-AB70-45E9-B383-39D87039B974}"/>
    <cellStyle name="Normal 4 2 4 5 5" xfId="19553" xr:uid="{E2FBA9CF-91F5-47C1-A956-E1B661A5F361}"/>
    <cellStyle name="Normal 4 2 4 5 6" xfId="10254" xr:uid="{0B664D23-9780-4635-953A-AF3DD4ABD4A8}"/>
    <cellStyle name="Normal 4 2 4 6" xfId="1251" xr:uid="{00000000-0005-0000-0000-0000BD130000}"/>
    <cellStyle name="Normal 4 2 4 6 2" xfId="3481" xr:uid="{00000000-0005-0000-0000-0000BE130000}"/>
    <cellStyle name="Normal 4 2 4 6 2 2" xfId="7703" xr:uid="{00000000-0005-0000-0000-0000BF130000}"/>
    <cellStyle name="Normal 4 2 4 6 2 2 2" xfId="26328" xr:uid="{4DA086A3-94CD-49EF-8867-C89E8F8E2A7D}"/>
    <cellStyle name="Normal 4 2 4 6 2 2 3" xfId="17029" xr:uid="{AA6178D6-9C98-4D8E-8350-95F31795E3DB}"/>
    <cellStyle name="Normal 4 2 4 6 2 3" xfId="22111" xr:uid="{8D2621E6-DEA7-4E93-A359-04AD6145FA39}"/>
    <cellStyle name="Normal 4 2 4 6 2 4" xfId="12812" xr:uid="{C34B7112-5B70-4686-AA38-28507F05F865}"/>
    <cellStyle name="Normal 4 2 4 6 3" xfId="5558" xr:uid="{00000000-0005-0000-0000-0000C0130000}"/>
    <cellStyle name="Normal 4 2 4 6 3 2" xfId="24183" xr:uid="{35BDD0F2-1DB4-447C-8AB5-08C4680B7073}"/>
    <cellStyle name="Normal 4 2 4 6 3 3" xfId="14884" xr:uid="{88C3ECF1-7F7F-478F-9D51-6C052F21E14B}"/>
    <cellStyle name="Normal 4 2 4 6 4" xfId="19966" xr:uid="{EA7C6FA7-A44B-4DCF-8E5A-E936BD681260}"/>
    <cellStyle name="Normal 4 2 4 6 5" xfId="10667" xr:uid="{37170BB5-EFE6-42EA-9D22-0673F68F2E03}"/>
    <cellStyle name="Normal 4 2 4 7" xfId="1664" xr:uid="{00000000-0005-0000-0000-0000C1130000}"/>
    <cellStyle name="Normal 4 2 4 7 2" xfId="3894" xr:uid="{00000000-0005-0000-0000-0000C2130000}"/>
    <cellStyle name="Normal 4 2 4 7 2 2" xfId="8116" xr:uid="{00000000-0005-0000-0000-0000C3130000}"/>
    <cellStyle name="Normal 4 2 4 7 2 2 2" xfId="26741" xr:uid="{A1660F96-45F1-4D86-AEAF-502890FF68F1}"/>
    <cellStyle name="Normal 4 2 4 7 2 2 3" xfId="17442" xr:uid="{97F8E917-93F8-4DD0-88E0-09DE030DDF47}"/>
    <cellStyle name="Normal 4 2 4 7 2 3" xfId="22524" xr:uid="{E6F935DB-E386-4B50-8723-7BD94F74AAD2}"/>
    <cellStyle name="Normal 4 2 4 7 2 4" xfId="13225" xr:uid="{2DA05983-6B5A-41EB-B9AE-727D25F716DD}"/>
    <cellStyle name="Normal 4 2 4 7 3" xfId="5971" xr:uid="{00000000-0005-0000-0000-0000C4130000}"/>
    <cellStyle name="Normal 4 2 4 7 3 2" xfId="24596" xr:uid="{8FD2047C-CC8F-459C-878A-7707D4EAC53D}"/>
    <cellStyle name="Normal 4 2 4 7 3 3" xfId="15297" xr:uid="{BD7BC685-E4A1-4EED-B2E7-3ACACD297579}"/>
    <cellStyle name="Normal 4 2 4 7 4" xfId="20379" xr:uid="{34D7329C-3606-4BDF-86DA-D6F53DFB1CB2}"/>
    <cellStyle name="Normal 4 2 4 7 5" xfId="11080" xr:uid="{2073889B-CE3F-45C9-96F6-1C50CFC6DE0F}"/>
    <cellStyle name="Normal 4 2 4 8" xfId="2078" xr:uid="{00000000-0005-0000-0000-0000C5130000}"/>
    <cellStyle name="Normal 4 2 4 8 2" xfId="4307" xr:uid="{00000000-0005-0000-0000-0000C6130000}"/>
    <cellStyle name="Normal 4 2 4 8 2 2" xfId="8529" xr:uid="{00000000-0005-0000-0000-0000C7130000}"/>
    <cellStyle name="Normal 4 2 4 8 2 2 2" xfId="27154" xr:uid="{B6AC4D31-3E92-4D6A-973C-7D5937E178BD}"/>
    <cellStyle name="Normal 4 2 4 8 2 2 3" xfId="17855" xr:uid="{AFC6C9BD-A0A8-4EAC-91A9-256E53B1D094}"/>
    <cellStyle name="Normal 4 2 4 8 2 3" xfId="22937" xr:uid="{1314386A-7528-4CA5-94E2-F6AAE2A83218}"/>
    <cellStyle name="Normal 4 2 4 8 2 4" xfId="13638" xr:uid="{6C7C1257-76EA-4D41-984E-401BCDCD31EA}"/>
    <cellStyle name="Normal 4 2 4 8 3" xfId="6384" xr:uid="{00000000-0005-0000-0000-0000C8130000}"/>
    <cellStyle name="Normal 4 2 4 8 3 2" xfId="25009" xr:uid="{613C6C82-2461-419F-95BF-B55DEA82E5EB}"/>
    <cellStyle name="Normal 4 2 4 8 3 3" xfId="15710" xr:uid="{97AE8619-B2CB-4AE1-83B2-D37D681E19AD}"/>
    <cellStyle name="Normal 4 2 4 8 4" xfId="20792" xr:uid="{46B5AFFC-5FB7-4D5A-AC43-69AB93DF07A0}"/>
    <cellStyle name="Normal 4 2 4 8 5" xfId="11493" xr:uid="{0BA53CA0-6D31-47EA-9E00-B6FE11D30802}"/>
    <cellStyle name="Normal 4 2 4 9" xfId="2514" xr:uid="{00000000-0005-0000-0000-0000C9130000}"/>
    <cellStyle name="Normal 4 2 4 9 2" xfId="6797" xr:uid="{00000000-0005-0000-0000-0000CA130000}"/>
    <cellStyle name="Normal 4 2 4 9 2 2" xfId="25422" xr:uid="{910896CF-CF78-4127-97E6-BB15D23B13CA}"/>
    <cellStyle name="Normal 4 2 4 9 2 3" xfId="16123" xr:uid="{B88D213E-2D34-4BAB-9828-45ADCDB90277}"/>
    <cellStyle name="Normal 4 2 4 9 3" xfId="21205" xr:uid="{85B04358-3315-42B9-9A65-BCEA0FF1BBF5}"/>
    <cellStyle name="Normal 4 2 4 9 4" xfId="11906" xr:uid="{E357814C-A97D-46BF-A4C4-CF109158FBD6}"/>
    <cellStyle name="Normal 4 2 5" xfId="363" xr:uid="{00000000-0005-0000-0000-0000CB130000}"/>
    <cellStyle name="Normal 4 2 5 10" xfId="19148" xr:uid="{43F0DB8E-125F-475C-8299-64AC8A29142D}"/>
    <cellStyle name="Normal 4 2 5 11" xfId="9849" xr:uid="{6860FC55-62BC-4271-8494-A7ACF1B5B3B3}"/>
    <cellStyle name="Normal 4 2 5 2" xfId="364" xr:uid="{00000000-0005-0000-0000-0000CC130000}"/>
    <cellStyle name="Normal 4 2 5 2 10" xfId="9850" xr:uid="{85B4BDE4-4CB2-473A-AC5A-1941BB245648}"/>
    <cellStyle name="Normal 4 2 5 2 2" xfId="840" xr:uid="{00000000-0005-0000-0000-0000CD130000}"/>
    <cellStyle name="Normal 4 2 5 2 2 2" xfId="3077" xr:uid="{00000000-0005-0000-0000-0000CE130000}"/>
    <cellStyle name="Normal 4 2 5 2 2 2 2" xfId="7299" xr:uid="{00000000-0005-0000-0000-0000CF130000}"/>
    <cellStyle name="Normal 4 2 5 2 2 2 2 2" xfId="25924" xr:uid="{4EB18D13-16F2-4F46-A29B-2BF34127C058}"/>
    <cellStyle name="Normal 4 2 5 2 2 2 2 3" xfId="16625" xr:uid="{C6F50D01-8EC9-4364-BC31-73E6366C84E7}"/>
    <cellStyle name="Normal 4 2 5 2 2 2 3" xfId="21707" xr:uid="{F00411C3-784A-4827-A226-F330A7D65ACA}"/>
    <cellStyle name="Normal 4 2 5 2 2 2 4" xfId="12408" xr:uid="{332F4D68-EC5C-4D60-B753-CD98B209D9B7}"/>
    <cellStyle name="Normal 4 2 5 2 2 3" xfId="5154" xr:uid="{00000000-0005-0000-0000-0000D0130000}"/>
    <cellStyle name="Normal 4 2 5 2 2 3 2" xfId="23779" xr:uid="{99830C37-23DE-4408-B302-3343C7DD7694}"/>
    <cellStyle name="Normal 4 2 5 2 2 3 3" xfId="14480" xr:uid="{35F435F0-2D4B-459B-B2A2-77AC9FC0945A}"/>
    <cellStyle name="Normal 4 2 5 2 2 4" xfId="9478" xr:uid="{9FEAEEC2-067D-4244-BB0F-0858128140EB}"/>
    <cellStyle name="Normal 4 2 5 2 2 4 2" xfId="28092" xr:uid="{96ABE3B2-9E59-46C2-B7C8-5816F314837F}"/>
    <cellStyle name="Normal 4 2 5 2 2 4 3" xfId="18793" xr:uid="{23871EFF-70F3-450D-A202-CA4C41663AB2}"/>
    <cellStyle name="Normal 4 2 5 2 2 5" xfId="19562" xr:uid="{5FF55727-BB8D-4D7D-945A-6AA3BF042B7F}"/>
    <cellStyle name="Normal 4 2 5 2 2 6" xfId="10263" xr:uid="{52F2A989-F03F-485B-8C17-195EB1058C9D}"/>
    <cellStyle name="Normal 4 2 5 2 3" xfId="1260" xr:uid="{00000000-0005-0000-0000-0000D1130000}"/>
    <cellStyle name="Normal 4 2 5 2 3 2" xfId="3490" xr:uid="{00000000-0005-0000-0000-0000D2130000}"/>
    <cellStyle name="Normal 4 2 5 2 3 2 2" xfId="7712" xr:uid="{00000000-0005-0000-0000-0000D3130000}"/>
    <cellStyle name="Normal 4 2 5 2 3 2 2 2" xfId="26337" xr:uid="{35507727-A34F-4377-89B4-1FDC3C9540D0}"/>
    <cellStyle name="Normal 4 2 5 2 3 2 2 3" xfId="17038" xr:uid="{B96F616D-87B2-43B4-9E76-8DC0EAE1CC4B}"/>
    <cellStyle name="Normal 4 2 5 2 3 2 3" xfId="22120" xr:uid="{15FC17CB-447C-495E-994C-3F09763D44CF}"/>
    <cellStyle name="Normal 4 2 5 2 3 2 4" xfId="12821" xr:uid="{04908B47-CB4C-401A-9C97-C2B3F88C9D50}"/>
    <cellStyle name="Normal 4 2 5 2 3 3" xfId="5567" xr:uid="{00000000-0005-0000-0000-0000D4130000}"/>
    <cellStyle name="Normal 4 2 5 2 3 3 2" xfId="24192" xr:uid="{6F167688-6FCA-4D00-89DC-4156107F8AA8}"/>
    <cellStyle name="Normal 4 2 5 2 3 3 3" xfId="14893" xr:uid="{0897C933-12A8-4C82-A2ED-0785ACF519AA}"/>
    <cellStyle name="Normal 4 2 5 2 3 4" xfId="19975" xr:uid="{0FBA6D5E-A6CB-467A-8A42-B6B516C03D5F}"/>
    <cellStyle name="Normal 4 2 5 2 3 5" xfId="10676" xr:uid="{48C20E73-3C89-4DF7-94F6-D894380B69C0}"/>
    <cellStyle name="Normal 4 2 5 2 4" xfId="1673" xr:uid="{00000000-0005-0000-0000-0000D5130000}"/>
    <cellStyle name="Normal 4 2 5 2 4 2" xfId="3903" xr:uid="{00000000-0005-0000-0000-0000D6130000}"/>
    <cellStyle name="Normal 4 2 5 2 4 2 2" xfId="8125" xr:uid="{00000000-0005-0000-0000-0000D7130000}"/>
    <cellStyle name="Normal 4 2 5 2 4 2 2 2" xfId="26750" xr:uid="{B2BC1BCA-0459-4866-91CC-96B9FD448F56}"/>
    <cellStyle name="Normal 4 2 5 2 4 2 2 3" xfId="17451" xr:uid="{36E6CE5B-1402-4689-BB7D-B0EA85944CFD}"/>
    <cellStyle name="Normal 4 2 5 2 4 2 3" xfId="22533" xr:uid="{939576B5-974A-4C08-A91F-E4623A31BB89}"/>
    <cellStyle name="Normal 4 2 5 2 4 2 4" xfId="13234" xr:uid="{7C907496-8528-418E-8041-728BB9388B42}"/>
    <cellStyle name="Normal 4 2 5 2 4 3" xfId="5980" xr:uid="{00000000-0005-0000-0000-0000D8130000}"/>
    <cellStyle name="Normal 4 2 5 2 4 3 2" xfId="24605" xr:uid="{23AC8490-452F-4176-B6AB-EF3F15FFD745}"/>
    <cellStyle name="Normal 4 2 5 2 4 3 3" xfId="15306" xr:uid="{DC51491F-6C20-4506-A388-CA376FFA9031}"/>
    <cellStyle name="Normal 4 2 5 2 4 4" xfId="20388" xr:uid="{102D7D1F-A936-41A9-AD34-A9E4449F71AE}"/>
    <cellStyle name="Normal 4 2 5 2 4 5" xfId="11089" xr:uid="{FA2AB02C-4AFD-40E3-8DFD-FF4F688DA1EF}"/>
    <cellStyle name="Normal 4 2 5 2 5" xfId="2087" xr:uid="{00000000-0005-0000-0000-0000D9130000}"/>
    <cellStyle name="Normal 4 2 5 2 5 2" xfId="4316" xr:uid="{00000000-0005-0000-0000-0000DA130000}"/>
    <cellStyle name="Normal 4 2 5 2 5 2 2" xfId="8538" xr:uid="{00000000-0005-0000-0000-0000DB130000}"/>
    <cellStyle name="Normal 4 2 5 2 5 2 2 2" xfId="27163" xr:uid="{93777356-E9F0-43C1-987A-65C5A5003710}"/>
    <cellStyle name="Normal 4 2 5 2 5 2 2 3" xfId="17864" xr:uid="{F423A5D4-DA6B-4068-89EB-F2FE9894DCBD}"/>
    <cellStyle name="Normal 4 2 5 2 5 2 3" xfId="22946" xr:uid="{B44A9BF5-76F2-426A-AA40-8823EE3308B7}"/>
    <cellStyle name="Normal 4 2 5 2 5 2 4" xfId="13647" xr:uid="{72A69BEB-EC56-4AB5-B9A6-9B947C6244A6}"/>
    <cellStyle name="Normal 4 2 5 2 5 3" xfId="6393" xr:uid="{00000000-0005-0000-0000-0000DC130000}"/>
    <cellStyle name="Normal 4 2 5 2 5 3 2" xfId="25018" xr:uid="{CC56BF0E-AF6B-428F-BA46-9C542747A7D2}"/>
    <cellStyle name="Normal 4 2 5 2 5 3 3" xfId="15719" xr:uid="{DBDD7F9E-BF53-43F3-84D2-05D7A20B13CD}"/>
    <cellStyle name="Normal 4 2 5 2 5 4" xfId="20801" xr:uid="{41920F3D-AC1E-4D58-BCD4-FA41665CD296}"/>
    <cellStyle name="Normal 4 2 5 2 5 5" xfId="11502" xr:uid="{0A9DBF39-8A40-45B2-9315-2F43846A1758}"/>
    <cellStyle name="Normal 4 2 5 2 6" xfId="2523" xr:uid="{00000000-0005-0000-0000-0000DD130000}"/>
    <cellStyle name="Normal 4 2 5 2 6 2" xfId="6806" xr:uid="{00000000-0005-0000-0000-0000DE130000}"/>
    <cellStyle name="Normal 4 2 5 2 6 2 2" xfId="25431" xr:uid="{862A35E5-0B10-46AD-AF16-4E29F59291BB}"/>
    <cellStyle name="Normal 4 2 5 2 6 2 3" xfId="16132" xr:uid="{3A93AB0C-86BC-4C16-85D3-A509BB1486E3}"/>
    <cellStyle name="Normal 4 2 5 2 6 3" xfId="21214" xr:uid="{6E694416-91B0-44D2-A7A6-FCBBFF3EF382}"/>
    <cellStyle name="Normal 4 2 5 2 6 4" xfId="11915" xr:uid="{99DE58A5-F027-44D5-9B0D-2323E78A8414}"/>
    <cellStyle name="Normal 4 2 5 2 7" xfId="4741" xr:uid="{00000000-0005-0000-0000-0000DF130000}"/>
    <cellStyle name="Normal 4 2 5 2 7 2" xfId="23366" xr:uid="{215A47E8-FC9D-4A48-8EBF-593C1C2A6EF4}"/>
    <cellStyle name="Normal 4 2 5 2 7 3" xfId="14067" xr:uid="{F3F910DE-9CC8-48EC-8A2A-1DA0FA7AD54F}"/>
    <cellStyle name="Normal 4 2 5 2 8" xfId="9053" xr:uid="{0AE18A98-D9E6-47B9-86B0-DDAD3BC77B48}"/>
    <cellStyle name="Normal 4 2 5 2 8 2" xfId="27676" xr:uid="{A6EC8E5F-81BD-4C44-B1C0-2C152775C980}"/>
    <cellStyle name="Normal 4 2 5 2 8 3" xfId="18377" xr:uid="{00F07ACD-111C-4FF4-8D80-8685757AFDF8}"/>
    <cellStyle name="Normal 4 2 5 2 9" xfId="19149" xr:uid="{6796D9CD-6164-4BEC-AA0D-08AC2B210E29}"/>
    <cellStyle name="Normal 4 2 5 3" xfId="839" xr:uid="{00000000-0005-0000-0000-0000E0130000}"/>
    <cellStyle name="Normal 4 2 5 3 2" xfId="3076" xr:uid="{00000000-0005-0000-0000-0000E1130000}"/>
    <cellStyle name="Normal 4 2 5 3 2 2" xfId="7298" xr:uid="{00000000-0005-0000-0000-0000E2130000}"/>
    <cellStyle name="Normal 4 2 5 3 2 2 2" xfId="25923" xr:uid="{67D41EF7-8EEA-47C8-A67A-E1BE76A953D4}"/>
    <cellStyle name="Normal 4 2 5 3 2 2 3" xfId="16624" xr:uid="{35403A34-DE16-4FDD-96FF-2469403C9496}"/>
    <cellStyle name="Normal 4 2 5 3 2 3" xfId="21706" xr:uid="{83584571-F0B2-4537-BF62-973AFB90D50F}"/>
    <cellStyle name="Normal 4 2 5 3 2 4" xfId="12407" xr:uid="{7DAD11B3-EEC7-4309-8C30-DF6C6DCC5AD6}"/>
    <cellStyle name="Normal 4 2 5 3 3" xfId="5153" xr:uid="{00000000-0005-0000-0000-0000E3130000}"/>
    <cellStyle name="Normal 4 2 5 3 3 2" xfId="23778" xr:uid="{5103D3DC-6ADF-400C-9ABB-CE0F58AE550F}"/>
    <cellStyle name="Normal 4 2 5 3 3 3" xfId="14479" xr:uid="{056456ED-430C-4811-98F6-59703A61E9C3}"/>
    <cellStyle name="Normal 4 2 5 3 4" xfId="9271" xr:uid="{41AE7BB1-E3C7-48BD-B24F-55AE39E68BB6}"/>
    <cellStyle name="Normal 4 2 5 3 4 2" xfId="27885" xr:uid="{AE5D96B5-24CF-469E-A1C5-5D3C134125BD}"/>
    <cellStyle name="Normal 4 2 5 3 4 3" xfId="18586" xr:uid="{CD6597E1-20E1-4BA2-A9D4-D85AB0BB0961}"/>
    <cellStyle name="Normal 4 2 5 3 5" xfId="19561" xr:uid="{0B160EA0-1BF1-42D7-AC54-108DC5ABFF61}"/>
    <cellStyle name="Normal 4 2 5 3 6" xfId="10262" xr:uid="{B849B753-8213-4457-976F-410327BD2323}"/>
    <cellStyle name="Normal 4 2 5 4" xfId="1259" xr:uid="{00000000-0005-0000-0000-0000E4130000}"/>
    <cellStyle name="Normal 4 2 5 4 2" xfId="3489" xr:uid="{00000000-0005-0000-0000-0000E5130000}"/>
    <cellStyle name="Normal 4 2 5 4 2 2" xfId="7711" xr:uid="{00000000-0005-0000-0000-0000E6130000}"/>
    <cellStyle name="Normal 4 2 5 4 2 2 2" xfId="26336" xr:uid="{07497AB1-41EF-478C-8EAF-C36EA3B5523F}"/>
    <cellStyle name="Normal 4 2 5 4 2 2 3" xfId="17037" xr:uid="{1D8ECF5E-4E45-4DAB-9CBE-9A726241A384}"/>
    <cellStyle name="Normal 4 2 5 4 2 3" xfId="22119" xr:uid="{4482FF3B-A4D3-440A-8821-85DCF8F9DE72}"/>
    <cellStyle name="Normal 4 2 5 4 2 4" xfId="12820" xr:uid="{EBBC1190-784D-408B-BEF8-411BDE459508}"/>
    <cellStyle name="Normal 4 2 5 4 3" xfId="5566" xr:uid="{00000000-0005-0000-0000-0000E7130000}"/>
    <cellStyle name="Normal 4 2 5 4 3 2" xfId="24191" xr:uid="{CFF40C52-8965-4EDE-84B5-FF9DFFF339BD}"/>
    <cellStyle name="Normal 4 2 5 4 3 3" xfId="14892" xr:uid="{46F47CA1-39DF-435E-9143-FDA0AA098324}"/>
    <cellStyle name="Normal 4 2 5 4 4" xfId="19974" xr:uid="{6D9052B4-81EC-4BA9-883B-834E20436E72}"/>
    <cellStyle name="Normal 4 2 5 4 5" xfId="10675" xr:uid="{7D0C5DE6-3E8C-46C8-BBE4-2E847C79AE6C}"/>
    <cellStyle name="Normal 4 2 5 5" xfId="1672" xr:uid="{00000000-0005-0000-0000-0000E8130000}"/>
    <cellStyle name="Normal 4 2 5 5 2" xfId="3902" xr:uid="{00000000-0005-0000-0000-0000E9130000}"/>
    <cellStyle name="Normal 4 2 5 5 2 2" xfId="8124" xr:uid="{00000000-0005-0000-0000-0000EA130000}"/>
    <cellStyle name="Normal 4 2 5 5 2 2 2" xfId="26749" xr:uid="{23B90F95-B016-46AD-B1A2-3227161B4F48}"/>
    <cellStyle name="Normal 4 2 5 5 2 2 3" xfId="17450" xr:uid="{6BDE6D44-B583-471A-B4C0-5F9692F6AB55}"/>
    <cellStyle name="Normal 4 2 5 5 2 3" xfId="22532" xr:uid="{869B9345-FE68-4E71-818A-A242B6E46FEC}"/>
    <cellStyle name="Normal 4 2 5 5 2 4" xfId="13233" xr:uid="{91FB965D-0FE3-4C9C-BCB0-CCFC38756978}"/>
    <cellStyle name="Normal 4 2 5 5 3" xfId="5979" xr:uid="{00000000-0005-0000-0000-0000EB130000}"/>
    <cellStyle name="Normal 4 2 5 5 3 2" xfId="24604" xr:uid="{78A3ECD6-846A-4026-AACB-713ED2E9EB4B}"/>
    <cellStyle name="Normal 4 2 5 5 3 3" xfId="15305" xr:uid="{354C506B-5F2D-4213-84A6-2D8A685532E1}"/>
    <cellStyle name="Normal 4 2 5 5 4" xfId="20387" xr:uid="{6459F133-5835-4B02-80A4-D3C96B8547B0}"/>
    <cellStyle name="Normal 4 2 5 5 5" xfId="11088" xr:uid="{8F75466F-EDB0-42C4-BE64-F74CC7471CEE}"/>
    <cellStyle name="Normal 4 2 5 6" xfId="2086" xr:uid="{00000000-0005-0000-0000-0000EC130000}"/>
    <cellStyle name="Normal 4 2 5 6 2" xfId="4315" xr:uid="{00000000-0005-0000-0000-0000ED130000}"/>
    <cellStyle name="Normal 4 2 5 6 2 2" xfId="8537" xr:uid="{00000000-0005-0000-0000-0000EE130000}"/>
    <cellStyle name="Normal 4 2 5 6 2 2 2" xfId="27162" xr:uid="{B5DD96FE-3748-407E-B926-A4530E5E352C}"/>
    <cellStyle name="Normal 4 2 5 6 2 2 3" xfId="17863" xr:uid="{62C0896F-C270-41FF-8698-05EC1BD5C474}"/>
    <cellStyle name="Normal 4 2 5 6 2 3" xfId="22945" xr:uid="{B03928C1-45CB-4913-9947-E6E94EA97A6D}"/>
    <cellStyle name="Normal 4 2 5 6 2 4" xfId="13646" xr:uid="{28EE8276-CA32-4BF1-8591-5F0B8562990E}"/>
    <cellStyle name="Normal 4 2 5 6 3" xfId="6392" xr:uid="{00000000-0005-0000-0000-0000EF130000}"/>
    <cellStyle name="Normal 4 2 5 6 3 2" xfId="25017" xr:uid="{53FE6A3E-D102-4141-9245-A33CB27092F3}"/>
    <cellStyle name="Normal 4 2 5 6 3 3" xfId="15718" xr:uid="{BDD67897-945F-4E8C-BA84-9A5CA2631098}"/>
    <cellStyle name="Normal 4 2 5 6 4" xfId="20800" xr:uid="{1BB35279-EC69-4437-8D5B-9F5695EA88B4}"/>
    <cellStyle name="Normal 4 2 5 6 5" xfId="11501" xr:uid="{FAFFE8F0-BD33-4CD8-A8EA-26D53610AE99}"/>
    <cellStyle name="Normal 4 2 5 7" xfId="2522" xr:uid="{00000000-0005-0000-0000-0000F0130000}"/>
    <cellStyle name="Normal 4 2 5 7 2" xfId="6805" xr:uid="{00000000-0005-0000-0000-0000F1130000}"/>
    <cellStyle name="Normal 4 2 5 7 2 2" xfId="25430" xr:uid="{B20B5267-8143-42E2-8817-0C398A69E983}"/>
    <cellStyle name="Normal 4 2 5 7 2 3" xfId="16131" xr:uid="{472FA2AB-E758-495C-AF7D-4EF8A21CA40D}"/>
    <cellStyle name="Normal 4 2 5 7 3" xfId="21213" xr:uid="{B765BC52-B6CD-493F-A9C9-9803F5D34815}"/>
    <cellStyle name="Normal 4 2 5 7 4" xfId="11914" xr:uid="{DB27E020-84B9-4C07-972A-5CAD2AA6B304}"/>
    <cellStyle name="Normal 4 2 5 8" xfId="4740" xr:uid="{00000000-0005-0000-0000-0000F2130000}"/>
    <cellStyle name="Normal 4 2 5 8 2" xfId="23365" xr:uid="{16DF2EF0-696D-48E5-B840-233CD977CA1D}"/>
    <cellStyle name="Normal 4 2 5 8 3" xfId="14066" xr:uid="{EBE7674D-DD66-47B7-B84F-00421D6E681D}"/>
    <cellStyle name="Normal 4 2 5 9" xfId="8846" xr:uid="{C69C7E2D-02E8-4C87-9C63-A39D0E37A062}"/>
    <cellStyle name="Normal 4 2 5 9 2" xfId="27469" xr:uid="{3F180284-F69D-4E16-A61D-0130E5C90E86}"/>
    <cellStyle name="Normal 4 2 5 9 3" xfId="18170" xr:uid="{BEE28D3A-3709-478C-AB7C-CB2FDDD6C0B9}"/>
    <cellStyle name="Normal 4 2 6" xfId="365" xr:uid="{00000000-0005-0000-0000-0000F3130000}"/>
    <cellStyle name="Normal 4 2 6 10" xfId="9851" xr:uid="{53985792-299B-44F6-84F7-CB863FF00130}"/>
    <cellStyle name="Normal 4 2 6 2" xfId="841" xr:uid="{00000000-0005-0000-0000-0000F4130000}"/>
    <cellStyle name="Normal 4 2 6 2 2" xfId="3078" xr:uid="{00000000-0005-0000-0000-0000F5130000}"/>
    <cellStyle name="Normal 4 2 6 2 2 2" xfId="7300" xr:uid="{00000000-0005-0000-0000-0000F6130000}"/>
    <cellStyle name="Normal 4 2 6 2 2 2 2" xfId="25925" xr:uid="{17102466-2428-47FA-B41E-AF237C8C1601}"/>
    <cellStyle name="Normal 4 2 6 2 2 2 3" xfId="16626" xr:uid="{AFB556F0-4B78-4E95-ADF1-57412C40A97B}"/>
    <cellStyle name="Normal 4 2 6 2 2 3" xfId="21708" xr:uid="{59BB2077-8699-42B7-B184-5593C3A27C70}"/>
    <cellStyle name="Normal 4 2 6 2 2 4" xfId="12409" xr:uid="{7FFAD7C8-29D5-4E6B-811D-BAE83F81E6CF}"/>
    <cellStyle name="Normal 4 2 6 2 3" xfId="5155" xr:uid="{00000000-0005-0000-0000-0000F7130000}"/>
    <cellStyle name="Normal 4 2 6 2 3 2" xfId="23780" xr:uid="{980CC8EA-2B9D-4549-9B48-CE315698C440}"/>
    <cellStyle name="Normal 4 2 6 2 3 3" xfId="14481" xr:uid="{3BA8551E-278A-48F9-8816-DE31097C0CEC}"/>
    <cellStyle name="Normal 4 2 6 2 4" xfId="9387" xr:uid="{933EA8C7-37F7-4AF2-922A-47A5CB1A47BC}"/>
    <cellStyle name="Normal 4 2 6 2 4 2" xfId="28001" xr:uid="{524B4F04-4ACA-46DD-B572-38F3FD86F41C}"/>
    <cellStyle name="Normal 4 2 6 2 4 3" xfId="18702" xr:uid="{7D6FBA9E-1790-4931-8AD5-4B335BA829E9}"/>
    <cellStyle name="Normal 4 2 6 2 5" xfId="19563" xr:uid="{63D8D249-DF58-4E35-93E1-A056F2AD6DCD}"/>
    <cellStyle name="Normal 4 2 6 2 6" xfId="10264" xr:uid="{8587D5D7-B8C0-4723-9A2A-24BCF27CCFB9}"/>
    <cellStyle name="Normal 4 2 6 3" xfId="1261" xr:uid="{00000000-0005-0000-0000-0000F8130000}"/>
    <cellStyle name="Normal 4 2 6 3 2" xfId="3491" xr:uid="{00000000-0005-0000-0000-0000F9130000}"/>
    <cellStyle name="Normal 4 2 6 3 2 2" xfId="7713" xr:uid="{00000000-0005-0000-0000-0000FA130000}"/>
    <cellStyle name="Normal 4 2 6 3 2 2 2" xfId="26338" xr:uid="{2A8E6366-6D9D-4B79-9596-248462C6414F}"/>
    <cellStyle name="Normal 4 2 6 3 2 2 3" xfId="17039" xr:uid="{87F07E33-1BEA-47CE-A9C0-7CBFE9A9E377}"/>
    <cellStyle name="Normal 4 2 6 3 2 3" xfId="22121" xr:uid="{9B615B18-446A-4771-A5CB-6235624F6AEC}"/>
    <cellStyle name="Normal 4 2 6 3 2 4" xfId="12822" xr:uid="{ABC55301-0E6F-409E-9B1B-0681773FB519}"/>
    <cellStyle name="Normal 4 2 6 3 3" xfId="5568" xr:uid="{00000000-0005-0000-0000-0000FB130000}"/>
    <cellStyle name="Normal 4 2 6 3 3 2" xfId="24193" xr:uid="{96340801-3F50-4506-B83A-480E53DF068D}"/>
    <cellStyle name="Normal 4 2 6 3 3 3" xfId="14894" xr:uid="{2EC59113-77F6-4F42-8A9D-FC56A973D21C}"/>
    <cellStyle name="Normal 4 2 6 3 4" xfId="19976" xr:uid="{F8E2B1E1-4F17-4CD0-9C59-309186B5968D}"/>
    <cellStyle name="Normal 4 2 6 3 5" xfId="10677" xr:uid="{08AE152C-3EAC-41D8-AF8D-E8E30E463B7A}"/>
    <cellStyle name="Normal 4 2 6 4" xfId="1674" xr:uid="{00000000-0005-0000-0000-0000FC130000}"/>
    <cellStyle name="Normal 4 2 6 4 2" xfId="3904" xr:uid="{00000000-0005-0000-0000-0000FD130000}"/>
    <cellStyle name="Normal 4 2 6 4 2 2" xfId="8126" xr:uid="{00000000-0005-0000-0000-0000FE130000}"/>
    <cellStyle name="Normal 4 2 6 4 2 2 2" xfId="26751" xr:uid="{37311A3C-032D-4899-B632-1F0DFCC62690}"/>
    <cellStyle name="Normal 4 2 6 4 2 2 3" xfId="17452" xr:uid="{B6691139-3DE1-4DF5-ADD2-6C46EE1C80FC}"/>
    <cellStyle name="Normal 4 2 6 4 2 3" xfId="22534" xr:uid="{C35957BF-354B-4BC9-9E8A-E52EB28362AC}"/>
    <cellStyle name="Normal 4 2 6 4 2 4" xfId="13235" xr:uid="{AC9C9067-3C58-49E0-9576-D2DAFC74ACC8}"/>
    <cellStyle name="Normal 4 2 6 4 3" xfId="5981" xr:uid="{00000000-0005-0000-0000-0000FF130000}"/>
    <cellStyle name="Normal 4 2 6 4 3 2" xfId="24606" xr:uid="{7451C5D6-3844-4BC5-9DF1-1C8D75F0557A}"/>
    <cellStyle name="Normal 4 2 6 4 3 3" xfId="15307" xr:uid="{0696D2AE-7D82-4366-988C-0201146D10E4}"/>
    <cellStyle name="Normal 4 2 6 4 4" xfId="20389" xr:uid="{1D409519-D34F-4D41-A6B5-A9BA9C323EDC}"/>
    <cellStyle name="Normal 4 2 6 4 5" xfId="11090" xr:uid="{7908FA58-9F20-45AD-AEA9-6F2D69484AA9}"/>
    <cellStyle name="Normal 4 2 6 5" xfId="2088" xr:uid="{00000000-0005-0000-0000-000000140000}"/>
    <cellStyle name="Normal 4 2 6 5 2" xfId="4317" xr:uid="{00000000-0005-0000-0000-000001140000}"/>
    <cellStyle name="Normal 4 2 6 5 2 2" xfId="8539" xr:uid="{00000000-0005-0000-0000-000002140000}"/>
    <cellStyle name="Normal 4 2 6 5 2 2 2" xfId="27164" xr:uid="{AF87332F-6F76-4CB3-9460-DEFBBF9F4AAF}"/>
    <cellStyle name="Normal 4 2 6 5 2 2 3" xfId="17865" xr:uid="{3C1EAE5A-94B2-4EB9-894C-B293B9908138}"/>
    <cellStyle name="Normal 4 2 6 5 2 3" xfId="22947" xr:uid="{263AB2AF-9AB9-4C84-B6E5-855FD1F24230}"/>
    <cellStyle name="Normal 4 2 6 5 2 4" xfId="13648" xr:uid="{518F6F79-EE69-497E-9A82-A0A2C57EB705}"/>
    <cellStyle name="Normal 4 2 6 5 3" xfId="6394" xr:uid="{00000000-0005-0000-0000-000003140000}"/>
    <cellStyle name="Normal 4 2 6 5 3 2" xfId="25019" xr:uid="{9FAB136C-2132-4247-98C8-3D0CAF9F9D1D}"/>
    <cellStyle name="Normal 4 2 6 5 3 3" xfId="15720" xr:uid="{EFEEDD5F-A388-4E0B-B46F-3E672AEFA94D}"/>
    <cellStyle name="Normal 4 2 6 5 4" xfId="20802" xr:uid="{27D8A5D5-6837-4F01-8E04-18290E7AAFF4}"/>
    <cellStyle name="Normal 4 2 6 5 5" xfId="11503" xr:uid="{C1912BC3-B122-4D61-B1F2-96EB8319FEBD}"/>
    <cellStyle name="Normal 4 2 6 6" xfId="2524" xr:uid="{00000000-0005-0000-0000-000004140000}"/>
    <cellStyle name="Normal 4 2 6 6 2" xfId="6807" xr:uid="{00000000-0005-0000-0000-000005140000}"/>
    <cellStyle name="Normal 4 2 6 6 2 2" xfId="25432" xr:uid="{4815E74C-40D6-4DAB-9B27-48A72390146B}"/>
    <cellStyle name="Normal 4 2 6 6 2 3" xfId="16133" xr:uid="{56F0154B-8DE8-4B42-83B6-949B782EA3BA}"/>
    <cellStyle name="Normal 4 2 6 6 3" xfId="21215" xr:uid="{8F0BA7DA-9F33-4701-95D9-DE963D43B04A}"/>
    <cellStyle name="Normal 4 2 6 6 4" xfId="11916" xr:uid="{85295908-254D-4189-8680-E69CDDE208C0}"/>
    <cellStyle name="Normal 4 2 6 7" xfId="4742" xr:uid="{00000000-0005-0000-0000-000006140000}"/>
    <cellStyle name="Normal 4 2 6 7 2" xfId="23367" xr:uid="{9CD65D76-43E4-4F37-932D-638F5B8D0A4F}"/>
    <cellStyle name="Normal 4 2 6 7 3" xfId="14068" xr:uid="{D61A6D98-69AE-4DCE-8B0C-AE4BBF46DBE8}"/>
    <cellStyle name="Normal 4 2 6 8" xfId="8962" xr:uid="{1A1596D6-3914-4465-A638-E540359059D2}"/>
    <cellStyle name="Normal 4 2 6 8 2" xfId="27585" xr:uid="{7BFAB691-3B02-4210-96DB-85D8BA6FD5B8}"/>
    <cellStyle name="Normal 4 2 6 8 3" xfId="18286" xr:uid="{B7C2DE09-BB44-47F3-B010-B0890CDBCC2E}"/>
    <cellStyle name="Normal 4 2 6 9" xfId="19150" xr:uid="{F37E2860-2A3F-4D97-A2A3-454005791594}"/>
    <cellStyle name="Normal 4 2 7" xfId="9165" xr:uid="{6363F967-7399-442D-B2CE-00085FF7F1E8}"/>
    <cellStyle name="Normal 4 2 7 2" xfId="27782" xr:uid="{1A5BC037-22B5-4040-BB81-57C0850F514B}"/>
    <cellStyle name="Normal 4 2 7 3" xfId="18483" xr:uid="{CCE085C8-FC86-48A8-9717-2095E7E561F3}"/>
    <cellStyle name="Normal 4 2 8" xfId="8743" xr:uid="{E2B8331F-47F9-4829-99C7-E05840A106B9}"/>
    <cellStyle name="Normal 4 2 8 2" xfId="27366" xr:uid="{C01764C9-FC6E-44D5-BC01-11B228FC1224}"/>
    <cellStyle name="Normal 4 2 8 3" xfId="18067" xr:uid="{D0C1DA63-619A-4A91-BCB4-908BE79F95AB}"/>
    <cellStyle name="Normal 4 3" xfId="366" xr:uid="{00000000-0005-0000-0000-000007140000}"/>
    <cellStyle name="Normal 4 3 10" xfId="19151" xr:uid="{4D4FBFAD-9C41-43FE-A0CC-1E31B4C9319C}"/>
    <cellStyle name="Normal 4 3 11" xfId="9852" xr:uid="{C35A5949-C39F-43CC-AB9C-3E951F666AEB}"/>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10 2" xfId="27445" xr:uid="{D9594734-DD6E-4DB0-8854-D567D1DA9596}"/>
    <cellStyle name="Normal 4 3 2 2 2 10 3" xfId="18146" xr:uid="{28A8E250-A6ED-4465-BB93-8B2FD61AA6F8}"/>
    <cellStyle name="Normal 4 3 2 2 2 11" xfId="19152" xr:uid="{F3F1DAD8-6A4F-47B3-B278-C9B4505F21F1}"/>
    <cellStyle name="Normal 4 3 2 2 2 12" xfId="9853" xr:uid="{A62C665D-4562-4ADD-89B6-D93A4528B559}"/>
    <cellStyle name="Normal 4 3 2 2 2 2" xfId="370" xr:uid="{00000000-0005-0000-0000-00000B140000}"/>
    <cellStyle name="Normal 4 3 2 2 2 2 10" xfId="19153" xr:uid="{787CC02B-8CE8-4D40-B6CA-EE9C4D40B2C1}"/>
    <cellStyle name="Normal 4 3 2 2 2 2 11" xfId="9854" xr:uid="{7948E0D5-A0FF-459D-BE14-209177BDB17D}"/>
    <cellStyle name="Normal 4 3 2 2 2 2 2" xfId="371" xr:uid="{00000000-0005-0000-0000-00000C140000}"/>
    <cellStyle name="Normal 4 3 2 2 2 2 2 10" xfId="9855" xr:uid="{5CD9B13C-3DA2-42AA-8035-9495480B8022}"/>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2 2 2" xfId="25929" xr:uid="{403BF443-B17D-45AE-BB31-3F59CFBDAFBD}"/>
    <cellStyle name="Normal 4 3 2 2 2 2 2 2 2 2 3" xfId="16630" xr:uid="{29AE4A6F-8D42-44E9-812D-06B70788D369}"/>
    <cellStyle name="Normal 4 3 2 2 2 2 2 2 2 3" xfId="21712" xr:uid="{214EBA67-10F9-49A0-999B-3220D57DC06D}"/>
    <cellStyle name="Normal 4 3 2 2 2 2 2 2 2 4" xfId="12413" xr:uid="{31D51FE6-6046-4811-8F79-E0410BF0CA8E}"/>
    <cellStyle name="Normal 4 3 2 2 2 2 2 2 3" xfId="5159" xr:uid="{00000000-0005-0000-0000-000010140000}"/>
    <cellStyle name="Normal 4 3 2 2 2 2 2 2 3 2" xfId="23784" xr:uid="{AA11FEE8-2839-4A8D-8457-F517549E4126}"/>
    <cellStyle name="Normal 4 3 2 2 2 2 2 2 3 3" xfId="14485" xr:uid="{E5E100FC-4F5B-4323-BCEE-BC05B205102D}"/>
    <cellStyle name="Normal 4 3 2 2 2 2 2 2 4" xfId="9557" xr:uid="{4F6BDD99-7BF1-4D2F-9EDC-4F75F1942DB4}"/>
    <cellStyle name="Normal 4 3 2 2 2 2 2 2 4 2" xfId="28171" xr:uid="{DD947583-19E4-42FA-9671-4F4933437752}"/>
    <cellStyle name="Normal 4 3 2 2 2 2 2 2 4 3" xfId="18872" xr:uid="{F3F3B9BB-211C-4485-A4F6-AD81D2BE1E32}"/>
    <cellStyle name="Normal 4 3 2 2 2 2 2 2 5" xfId="19567" xr:uid="{CB0D021E-B061-46BC-9740-B38651D8ED28}"/>
    <cellStyle name="Normal 4 3 2 2 2 2 2 2 6" xfId="10268" xr:uid="{8224FEC7-4320-482C-AF46-EF3E656C8449}"/>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2 2 2" xfId="26342" xr:uid="{2D2391E7-E232-4F8C-9DD9-DA866AD25A09}"/>
    <cellStyle name="Normal 4 3 2 2 2 2 2 3 2 2 3" xfId="17043" xr:uid="{B475F7B7-6DB7-4627-BC8F-F81C3E6089DE}"/>
    <cellStyle name="Normal 4 3 2 2 2 2 2 3 2 3" xfId="22125" xr:uid="{73AB8997-2E4C-48CE-BA36-25D36974B4E2}"/>
    <cellStyle name="Normal 4 3 2 2 2 2 2 3 2 4" xfId="12826" xr:uid="{91EF18F8-7526-4905-9230-47D833983133}"/>
    <cellStyle name="Normal 4 3 2 2 2 2 2 3 3" xfId="5572" xr:uid="{00000000-0005-0000-0000-000014140000}"/>
    <cellStyle name="Normal 4 3 2 2 2 2 2 3 3 2" xfId="24197" xr:uid="{67A9701E-EBD3-452D-AD27-BF878C3099E0}"/>
    <cellStyle name="Normal 4 3 2 2 2 2 2 3 3 3" xfId="14898" xr:uid="{3DF8A996-D410-46FD-B8C8-4D7D8E398E78}"/>
    <cellStyle name="Normal 4 3 2 2 2 2 2 3 4" xfId="19980" xr:uid="{D5A1FCC7-444D-48D5-9A46-827808927779}"/>
    <cellStyle name="Normal 4 3 2 2 2 2 2 3 5" xfId="10681" xr:uid="{77970793-0CDB-4AB2-AB25-6554FB8D0C44}"/>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2 2 2" xfId="26755" xr:uid="{167A753B-3DC8-42CA-B93F-2E8BFCD6104B}"/>
    <cellStyle name="Normal 4 3 2 2 2 2 2 4 2 2 3" xfId="17456" xr:uid="{BE828743-A298-402F-A364-01CD497D8B07}"/>
    <cellStyle name="Normal 4 3 2 2 2 2 2 4 2 3" xfId="22538" xr:uid="{B2267012-EEF1-4D62-8993-99F7402301EA}"/>
    <cellStyle name="Normal 4 3 2 2 2 2 2 4 2 4" xfId="13239" xr:uid="{D5DFA956-52F8-41E8-BE1E-C2B692D239AB}"/>
    <cellStyle name="Normal 4 3 2 2 2 2 2 4 3" xfId="5985" xr:uid="{00000000-0005-0000-0000-000018140000}"/>
    <cellStyle name="Normal 4 3 2 2 2 2 2 4 3 2" xfId="24610" xr:uid="{05DD11E6-ADDE-47AF-866D-B969A58A728C}"/>
    <cellStyle name="Normal 4 3 2 2 2 2 2 4 3 3" xfId="15311" xr:uid="{17E22288-35E6-4225-9BE1-B4C5DF204AF1}"/>
    <cellStyle name="Normal 4 3 2 2 2 2 2 4 4" xfId="20393" xr:uid="{D1ED22F9-96E3-4944-B646-AEC9872C1A31}"/>
    <cellStyle name="Normal 4 3 2 2 2 2 2 4 5" xfId="11094" xr:uid="{51E6F7F0-6E53-479B-B7D8-4D5873C27E91}"/>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2 2 2" xfId="27168" xr:uid="{F8A2E40F-F939-4EBF-9AE0-D3A690617677}"/>
    <cellStyle name="Normal 4 3 2 2 2 2 2 5 2 2 3" xfId="17869" xr:uid="{351852C1-6DA4-489B-A06F-367BC3F4DB3B}"/>
    <cellStyle name="Normal 4 3 2 2 2 2 2 5 2 3" xfId="22951" xr:uid="{553C110C-2B99-44DC-9B86-77105C87CB6F}"/>
    <cellStyle name="Normal 4 3 2 2 2 2 2 5 2 4" xfId="13652" xr:uid="{0D8E85E4-73AE-4E81-BC0C-8D7E4EAF1A69}"/>
    <cellStyle name="Normal 4 3 2 2 2 2 2 5 3" xfId="6398" xr:uid="{00000000-0005-0000-0000-00001C140000}"/>
    <cellStyle name="Normal 4 3 2 2 2 2 2 5 3 2" xfId="25023" xr:uid="{831E5616-D54F-441C-BFD9-35B42A168580}"/>
    <cellStyle name="Normal 4 3 2 2 2 2 2 5 3 3" xfId="15724" xr:uid="{1F325C79-7E68-4417-B7BA-82CDED3F3592}"/>
    <cellStyle name="Normal 4 3 2 2 2 2 2 5 4" xfId="20806" xr:uid="{8DEE3876-9F86-4DC9-B3EE-C26E1C8A8B25}"/>
    <cellStyle name="Normal 4 3 2 2 2 2 2 5 5" xfId="11507" xr:uid="{FA5EF0BA-1262-4CA6-BF9C-EFD5B7B15793}"/>
    <cellStyle name="Normal 4 3 2 2 2 2 2 6" xfId="2528" xr:uid="{00000000-0005-0000-0000-00001D140000}"/>
    <cellStyle name="Normal 4 3 2 2 2 2 2 6 2" xfId="6811" xr:uid="{00000000-0005-0000-0000-00001E140000}"/>
    <cellStyle name="Normal 4 3 2 2 2 2 2 6 2 2" xfId="25436" xr:uid="{C54B9EB5-F165-4CEB-9497-54529F7E2AAE}"/>
    <cellStyle name="Normal 4 3 2 2 2 2 2 6 2 3" xfId="16137" xr:uid="{36D7E571-55D8-4F3A-A154-1B9A638FFEC7}"/>
    <cellStyle name="Normal 4 3 2 2 2 2 2 6 3" xfId="21219" xr:uid="{5DE3A812-D2DA-4F54-B274-6DDB1ECFE187}"/>
    <cellStyle name="Normal 4 3 2 2 2 2 2 6 4" xfId="11920" xr:uid="{2A876EA9-8B72-46CD-BF7D-4867CA9D6B10}"/>
    <cellStyle name="Normal 4 3 2 2 2 2 2 7" xfId="4746" xr:uid="{00000000-0005-0000-0000-00001F140000}"/>
    <cellStyle name="Normal 4 3 2 2 2 2 2 7 2" xfId="23371" xr:uid="{7B30FBBD-A8F1-4CA1-A187-6AE049831B14}"/>
    <cellStyle name="Normal 4 3 2 2 2 2 2 7 3" xfId="14072" xr:uid="{15D94E2F-089E-4846-93FE-E073FCA96ABE}"/>
    <cellStyle name="Normal 4 3 2 2 2 2 2 8" xfId="9132" xr:uid="{14F6ED12-EABF-4C82-AD59-55D351026913}"/>
    <cellStyle name="Normal 4 3 2 2 2 2 2 8 2" xfId="27755" xr:uid="{48EBA2AB-13BC-4577-8FE4-C7D1D9D1D19C}"/>
    <cellStyle name="Normal 4 3 2 2 2 2 2 8 3" xfId="18456" xr:uid="{6B1722D9-7E00-404E-AABB-E78C25D24C0C}"/>
    <cellStyle name="Normal 4 3 2 2 2 2 2 9" xfId="19154" xr:uid="{0368E413-2A69-4F36-883A-7C16F9B93129}"/>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2 2 2" xfId="25928" xr:uid="{F30FF45E-4A7C-42B8-BD23-0B56A7C64803}"/>
    <cellStyle name="Normal 4 3 2 2 2 2 3 2 2 3" xfId="16629" xr:uid="{356D66F0-CC1E-4893-B078-FD94A46AFC7F}"/>
    <cellStyle name="Normal 4 3 2 2 2 2 3 2 3" xfId="21711" xr:uid="{B425FC41-271B-4C60-BAFA-A1129E58BD48}"/>
    <cellStyle name="Normal 4 3 2 2 2 2 3 2 4" xfId="12412" xr:uid="{41781961-40C0-466A-B203-821E70754B9A}"/>
    <cellStyle name="Normal 4 3 2 2 2 2 3 3" xfId="5158" xr:uid="{00000000-0005-0000-0000-000023140000}"/>
    <cellStyle name="Normal 4 3 2 2 2 2 3 3 2" xfId="23783" xr:uid="{7CB9B3CB-6902-4E9D-B46B-AE6BC4C0EDE6}"/>
    <cellStyle name="Normal 4 3 2 2 2 2 3 3 3" xfId="14484" xr:uid="{7E279354-00CD-41BA-82DB-DBCF201A0270}"/>
    <cellStyle name="Normal 4 3 2 2 2 2 3 4" xfId="9350" xr:uid="{DFFEAFB7-A284-4FD9-B115-C19DA011CCC7}"/>
    <cellStyle name="Normal 4 3 2 2 2 2 3 4 2" xfId="27964" xr:uid="{54B6702A-63B0-469C-BBA2-67B935EC100D}"/>
    <cellStyle name="Normal 4 3 2 2 2 2 3 4 3" xfId="18665" xr:uid="{A0FC6C46-8AB0-427D-930A-B1F352AABC71}"/>
    <cellStyle name="Normal 4 3 2 2 2 2 3 5" xfId="19566" xr:uid="{133C4E85-6991-4A36-A34C-969094322E9D}"/>
    <cellStyle name="Normal 4 3 2 2 2 2 3 6" xfId="10267" xr:uid="{586E2DE1-2C5D-46A3-9A8F-5EE2D9D532B6}"/>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2 2 2" xfId="26341" xr:uid="{781DFA8F-051C-4ADC-94FD-BD293421B3DA}"/>
    <cellStyle name="Normal 4 3 2 2 2 2 4 2 2 3" xfId="17042" xr:uid="{36F02050-6521-48E3-95BD-90C2FDB6BDBC}"/>
    <cellStyle name="Normal 4 3 2 2 2 2 4 2 3" xfId="22124" xr:uid="{0798A8EF-66B1-4226-BE6A-F93624E6791D}"/>
    <cellStyle name="Normal 4 3 2 2 2 2 4 2 4" xfId="12825" xr:uid="{3B1E2ED4-892C-48DF-86B9-7BA3880513A6}"/>
    <cellStyle name="Normal 4 3 2 2 2 2 4 3" xfId="5571" xr:uid="{00000000-0005-0000-0000-000027140000}"/>
    <cellStyle name="Normal 4 3 2 2 2 2 4 3 2" xfId="24196" xr:uid="{955513E4-5649-407C-B54B-211922D7DAA5}"/>
    <cellStyle name="Normal 4 3 2 2 2 2 4 3 3" xfId="14897" xr:uid="{9AF61945-9257-4602-B9A4-40E099DDBD3C}"/>
    <cellStyle name="Normal 4 3 2 2 2 2 4 4" xfId="19979" xr:uid="{9661CE2B-DAF5-4CB0-9C05-4599A149B6DB}"/>
    <cellStyle name="Normal 4 3 2 2 2 2 4 5" xfId="10680" xr:uid="{6B6A3F51-2C0F-4EB0-97AA-4F81230F6A7E}"/>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2 2 2" xfId="26754" xr:uid="{5C76D427-DE33-4AC6-9DDA-7FAC0769D87F}"/>
    <cellStyle name="Normal 4 3 2 2 2 2 5 2 2 3" xfId="17455" xr:uid="{781CCA30-6B24-4525-8297-EF2D351DE403}"/>
    <cellStyle name="Normal 4 3 2 2 2 2 5 2 3" xfId="22537" xr:uid="{0BCBF41D-D99D-48F5-BA4B-D193E5548803}"/>
    <cellStyle name="Normal 4 3 2 2 2 2 5 2 4" xfId="13238" xr:uid="{5412872F-6743-479D-8E8D-F04C3DE6C566}"/>
    <cellStyle name="Normal 4 3 2 2 2 2 5 3" xfId="5984" xr:uid="{00000000-0005-0000-0000-00002B140000}"/>
    <cellStyle name="Normal 4 3 2 2 2 2 5 3 2" xfId="24609" xr:uid="{594AB3B9-AE8F-48D8-A2AE-C9C0019425A8}"/>
    <cellStyle name="Normal 4 3 2 2 2 2 5 3 3" xfId="15310" xr:uid="{2B4DA2D9-9A70-4326-B058-972EF3DAD422}"/>
    <cellStyle name="Normal 4 3 2 2 2 2 5 4" xfId="20392" xr:uid="{83C003BB-B7A6-4DE3-A4D8-04C5EA61E5E5}"/>
    <cellStyle name="Normal 4 3 2 2 2 2 5 5" xfId="11093" xr:uid="{561B3E68-B526-472A-A3AD-0E9D05F8BD5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2 2 2" xfId="27167" xr:uid="{D81B0FC0-C874-4A6A-8FE6-7A24BAAC1B5E}"/>
    <cellStyle name="Normal 4 3 2 2 2 2 6 2 2 3" xfId="17868" xr:uid="{6835CE61-CCAB-4612-8E02-A80EB65DE485}"/>
    <cellStyle name="Normal 4 3 2 2 2 2 6 2 3" xfId="22950" xr:uid="{D0BAF35C-1766-4346-B8B0-81BCE1C37856}"/>
    <cellStyle name="Normal 4 3 2 2 2 2 6 2 4" xfId="13651" xr:uid="{3016A78E-3D22-400C-B236-9A8121CB9CBC}"/>
    <cellStyle name="Normal 4 3 2 2 2 2 6 3" xfId="6397" xr:uid="{00000000-0005-0000-0000-00002F140000}"/>
    <cellStyle name="Normal 4 3 2 2 2 2 6 3 2" xfId="25022" xr:uid="{AEA32A8C-1742-4853-AEDD-3BD712E950AC}"/>
    <cellStyle name="Normal 4 3 2 2 2 2 6 3 3" xfId="15723" xr:uid="{B5A6AD31-6031-4603-8F6D-0D98D9B717D3}"/>
    <cellStyle name="Normal 4 3 2 2 2 2 6 4" xfId="20805" xr:uid="{8A0D9CDC-AC21-41DB-A241-A8A95C01E8B4}"/>
    <cellStyle name="Normal 4 3 2 2 2 2 6 5" xfId="11506" xr:uid="{EA5CF514-133B-4EF4-9701-ACC1CAEE00B1}"/>
    <cellStyle name="Normal 4 3 2 2 2 2 7" xfId="2527" xr:uid="{00000000-0005-0000-0000-000030140000}"/>
    <cellStyle name="Normal 4 3 2 2 2 2 7 2" xfId="6810" xr:uid="{00000000-0005-0000-0000-000031140000}"/>
    <cellStyle name="Normal 4 3 2 2 2 2 7 2 2" xfId="25435" xr:uid="{5EDABC78-67B2-4F0E-B510-329D390043EB}"/>
    <cellStyle name="Normal 4 3 2 2 2 2 7 2 3" xfId="16136" xr:uid="{4CCD5D05-3EAD-4451-9CD7-01F93AB88AD7}"/>
    <cellStyle name="Normal 4 3 2 2 2 2 7 3" xfId="21218" xr:uid="{A663F2DD-71D6-4526-B03E-4D74E86AAF9A}"/>
    <cellStyle name="Normal 4 3 2 2 2 2 7 4" xfId="11919" xr:uid="{978EF803-1DE8-41AF-99D5-1004933FF7AB}"/>
    <cellStyle name="Normal 4 3 2 2 2 2 8" xfId="4745" xr:uid="{00000000-0005-0000-0000-000032140000}"/>
    <cellStyle name="Normal 4 3 2 2 2 2 8 2" xfId="23370" xr:uid="{A1238DDB-CC3F-4CFC-BB0A-5F0FE4F5560F}"/>
    <cellStyle name="Normal 4 3 2 2 2 2 8 3" xfId="14071" xr:uid="{4951568D-1104-48C3-AF98-603466327547}"/>
    <cellStyle name="Normal 4 3 2 2 2 2 9" xfId="8925" xr:uid="{71BB8AFA-37D7-474D-A12B-C284DDE23CE9}"/>
    <cellStyle name="Normal 4 3 2 2 2 2 9 2" xfId="27548" xr:uid="{A3ABDBF8-97AB-409D-8430-B4ACBBFFCF6A}"/>
    <cellStyle name="Normal 4 3 2 2 2 2 9 3" xfId="18249" xr:uid="{18C8C1C2-8629-4ADA-8DCE-7A2F6B777397}"/>
    <cellStyle name="Normal 4 3 2 2 2 3" xfId="372" xr:uid="{00000000-0005-0000-0000-000033140000}"/>
    <cellStyle name="Normal 4 3 2 2 2 3 10" xfId="9856" xr:uid="{9844AFE9-763E-49E7-98C0-6BAE2A3AAF68}"/>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2 2 2" xfId="25930" xr:uid="{DB6C2B8A-8CEE-47C3-AB5E-2987BD5B877D}"/>
    <cellStyle name="Normal 4 3 2 2 2 3 2 2 2 3" xfId="16631" xr:uid="{25BA8895-BA97-4E65-9030-710517416D82}"/>
    <cellStyle name="Normal 4 3 2 2 2 3 2 2 3" xfId="21713" xr:uid="{053707FA-39FA-43DE-9194-D84699E28640}"/>
    <cellStyle name="Normal 4 3 2 2 2 3 2 2 4" xfId="12414" xr:uid="{976721BE-260E-4CE0-9DBF-277BC331BFE4}"/>
    <cellStyle name="Normal 4 3 2 2 2 3 2 3" xfId="5160" xr:uid="{00000000-0005-0000-0000-000037140000}"/>
    <cellStyle name="Normal 4 3 2 2 2 3 2 3 2" xfId="23785" xr:uid="{B637262B-E3D3-4322-BA9E-84768E888192}"/>
    <cellStyle name="Normal 4 3 2 2 2 3 2 3 3" xfId="14486" xr:uid="{F2A958B9-7E45-4AD2-8969-7131C6BAD340}"/>
    <cellStyle name="Normal 4 3 2 2 2 3 2 4" xfId="9454" xr:uid="{B81F5EAA-7D8E-43B5-94D7-313E66088BA5}"/>
    <cellStyle name="Normal 4 3 2 2 2 3 2 4 2" xfId="28068" xr:uid="{E642424C-1A2F-4BBB-B504-857B021D531A}"/>
    <cellStyle name="Normal 4 3 2 2 2 3 2 4 3" xfId="18769" xr:uid="{8E084069-E27F-430D-9A4B-D718FB7976EE}"/>
    <cellStyle name="Normal 4 3 2 2 2 3 2 5" xfId="19568" xr:uid="{14A5E3DF-0E48-42F7-AD69-360A58CD7BE4}"/>
    <cellStyle name="Normal 4 3 2 2 2 3 2 6" xfId="10269" xr:uid="{F502140F-A440-4EBD-937C-C38FB048BB66}"/>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2 2 2" xfId="26343" xr:uid="{61475149-7DB5-470B-A30A-9D9B1B8126F1}"/>
    <cellStyle name="Normal 4 3 2 2 2 3 3 2 2 3" xfId="17044" xr:uid="{443795F7-CB2A-4061-8FB7-D792069A0FDD}"/>
    <cellStyle name="Normal 4 3 2 2 2 3 3 2 3" xfId="22126" xr:uid="{2B8F8AAF-A888-447D-BF48-F928BE4C6E71}"/>
    <cellStyle name="Normal 4 3 2 2 2 3 3 2 4" xfId="12827" xr:uid="{BB281635-2428-456B-A167-0A3D41EA9F5C}"/>
    <cellStyle name="Normal 4 3 2 2 2 3 3 3" xfId="5573" xr:uid="{00000000-0005-0000-0000-00003B140000}"/>
    <cellStyle name="Normal 4 3 2 2 2 3 3 3 2" xfId="24198" xr:uid="{02E301EC-08ED-4BF2-8080-8C2A658283C2}"/>
    <cellStyle name="Normal 4 3 2 2 2 3 3 3 3" xfId="14899" xr:uid="{677DCB0B-8878-4FF6-AC7E-47411D697A5D}"/>
    <cellStyle name="Normal 4 3 2 2 2 3 3 4" xfId="19981" xr:uid="{FD36EF79-959A-4BB1-A36D-452C3FAA0CF7}"/>
    <cellStyle name="Normal 4 3 2 2 2 3 3 5" xfId="10682" xr:uid="{DD09691D-20A3-4547-9BE9-9B8B319C228A}"/>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2 2 2" xfId="26756" xr:uid="{B7280025-4480-4030-9C98-14A5B128DF28}"/>
    <cellStyle name="Normal 4 3 2 2 2 3 4 2 2 3" xfId="17457" xr:uid="{6D60C267-1ECC-461D-A986-8DA7A8942691}"/>
    <cellStyle name="Normal 4 3 2 2 2 3 4 2 3" xfId="22539" xr:uid="{AEBDB1CB-2F81-40E3-A090-F0EADD25FA08}"/>
    <cellStyle name="Normal 4 3 2 2 2 3 4 2 4" xfId="13240" xr:uid="{E96AA1F1-32B3-4DA1-8146-25561A4884E0}"/>
    <cellStyle name="Normal 4 3 2 2 2 3 4 3" xfId="5986" xr:uid="{00000000-0005-0000-0000-00003F140000}"/>
    <cellStyle name="Normal 4 3 2 2 2 3 4 3 2" xfId="24611" xr:uid="{8FF10890-65FA-4979-8515-2C45A37A4BC0}"/>
    <cellStyle name="Normal 4 3 2 2 2 3 4 3 3" xfId="15312" xr:uid="{015728E1-4CD6-4D94-97EA-33F5821483F6}"/>
    <cellStyle name="Normal 4 3 2 2 2 3 4 4" xfId="20394" xr:uid="{9D1DF457-745C-4D70-8F91-0A8921AC0D1E}"/>
    <cellStyle name="Normal 4 3 2 2 2 3 4 5" xfId="11095" xr:uid="{411E16E8-9C9F-4AE3-91AD-E5CDD1FBB4E6}"/>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2 2 2" xfId="27169" xr:uid="{FB6E9293-BA96-476F-8552-3D90F3005332}"/>
    <cellStyle name="Normal 4 3 2 2 2 3 5 2 2 3" xfId="17870" xr:uid="{43021079-3D69-4B37-AF83-9CDBCDF55D9E}"/>
    <cellStyle name="Normal 4 3 2 2 2 3 5 2 3" xfId="22952" xr:uid="{B43F8B54-7F6C-4D14-AFD5-A71DEAF24132}"/>
    <cellStyle name="Normal 4 3 2 2 2 3 5 2 4" xfId="13653" xr:uid="{9F8B6CBE-2B71-43E6-942D-8607815CBBF2}"/>
    <cellStyle name="Normal 4 3 2 2 2 3 5 3" xfId="6399" xr:uid="{00000000-0005-0000-0000-000043140000}"/>
    <cellStyle name="Normal 4 3 2 2 2 3 5 3 2" xfId="25024" xr:uid="{448844B4-F648-4CF0-A123-2CE8A7930BA9}"/>
    <cellStyle name="Normal 4 3 2 2 2 3 5 3 3" xfId="15725" xr:uid="{F204F5D2-242B-4077-9046-38FC9FAD4A7A}"/>
    <cellStyle name="Normal 4 3 2 2 2 3 5 4" xfId="20807" xr:uid="{BAB67941-372B-497B-A89C-5CD9F420E49C}"/>
    <cellStyle name="Normal 4 3 2 2 2 3 5 5" xfId="11508" xr:uid="{FC3C9201-AAA7-4A9A-8794-95231EE7CCF1}"/>
    <cellStyle name="Normal 4 3 2 2 2 3 6" xfId="2529" xr:uid="{00000000-0005-0000-0000-000044140000}"/>
    <cellStyle name="Normal 4 3 2 2 2 3 6 2" xfId="6812" xr:uid="{00000000-0005-0000-0000-000045140000}"/>
    <cellStyle name="Normal 4 3 2 2 2 3 6 2 2" xfId="25437" xr:uid="{21FF2AE8-E3E6-4045-96F7-8143FEF09068}"/>
    <cellStyle name="Normal 4 3 2 2 2 3 6 2 3" xfId="16138" xr:uid="{01585666-069A-4F77-B5BE-52D7BC3795FE}"/>
    <cellStyle name="Normal 4 3 2 2 2 3 6 3" xfId="21220" xr:uid="{6C54A6D1-8361-41E3-BD75-D853DC9C94E1}"/>
    <cellStyle name="Normal 4 3 2 2 2 3 6 4" xfId="11921" xr:uid="{416FBCA2-DC9C-4BAF-9815-0F9968C05A02}"/>
    <cellStyle name="Normal 4 3 2 2 2 3 7" xfId="4747" xr:uid="{00000000-0005-0000-0000-000046140000}"/>
    <cellStyle name="Normal 4 3 2 2 2 3 7 2" xfId="23372" xr:uid="{7E633C84-174F-4063-8390-9E3556D8B99B}"/>
    <cellStyle name="Normal 4 3 2 2 2 3 7 3" xfId="14073" xr:uid="{6A4659FF-2756-4DAA-9908-F97885DE48D4}"/>
    <cellStyle name="Normal 4 3 2 2 2 3 8" xfId="9029" xr:uid="{CC421D7E-69EF-4D96-A95C-E67F046F8D14}"/>
    <cellStyle name="Normal 4 3 2 2 2 3 8 2" xfId="27652" xr:uid="{24EEB63B-D08B-4946-AD79-5A2E5D9530AF}"/>
    <cellStyle name="Normal 4 3 2 2 2 3 8 3" xfId="18353" xr:uid="{602B3127-4968-45D6-A2F8-55A1C20963B2}"/>
    <cellStyle name="Normal 4 3 2 2 2 3 9" xfId="19155" xr:uid="{C3E8340C-BBC2-4542-AE9F-6A0E2A2AE5AF}"/>
    <cellStyle name="Normal 4 3 2 2 2 4" xfId="844" xr:uid="{00000000-0005-0000-0000-000047140000}"/>
    <cellStyle name="Normal 4 3 2 2 2 4 2" xfId="3080" xr:uid="{00000000-0005-0000-0000-000048140000}"/>
    <cellStyle name="Normal 4 3 2 2 2 4 2 2" xfId="7302" xr:uid="{00000000-0005-0000-0000-000049140000}"/>
    <cellStyle name="Normal 4 3 2 2 2 4 2 2 2" xfId="25927" xr:uid="{14725706-002D-4A22-867A-C004EDAFAE3A}"/>
    <cellStyle name="Normal 4 3 2 2 2 4 2 2 3" xfId="16628" xr:uid="{3A9A156E-F4CB-4FCD-99CC-A030B83B68D4}"/>
    <cellStyle name="Normal 4 3 2 2 2 4 2 3" xfId="21710" xr:uid="{6CE57C03-5E19-482F-9003-0ADF318BA26C}"/>
    <cellStyle name="Normal 4 3 2 2 2 4 2 4" xfId="12411" xr:uid="{6671B7DA-F5FE-4AFA-AB57-800B3C8A86F1}"/>
    <cellStyle name="Normal 4 3 2 2 2 4 3" xfId="5157" xr:uid="{00000000-0005-0000-0000-00004A140000}"/>
    <cellStyle name="Normal 4 3 2 2 2 4 3 2" xfId="23782" xr:uid="{79B7A160-EBE1-462C-82F5-D8E7E92317C3}"/>
    <cellStyle name="Normal 4 3 2 2 2 4 3 3" xfId="14483" xr:uid="{6F698CFD-5628-4A4F-8DE2-821A6AF4499B}"/>
    <cellStyle name="Normal 4 3 2 2 2 4 4" xfId="9247" xr:uid="{70D9D224-DB0B-42B4-B4A9-BC88F455C395}"/>
    <cellStyle name="Normal 4 3 2 2 2 4 4 2" xfId="27861" xr:uid="{E9BE0909-07CD-4727-A1DC-21F7DB15551C}"/>
    <cellStyle name="Normal 4 3 2 2 2 4 4 3" xfId="18562" xr:uid="{EA3CFA0A-D825-43DA-8B1E-B39B3FA097D5}"/>
    <cellStyle name="Normal 4 3 2 2 2 4 5" xfId="19565" xr:uid="{1F9F5673-6205-4FDA-9410-1CDC4EDAC078}"/>
    <cellStyle name="Normal 4 3 2 2 2 4 6" xfId="10266" xr:uid="{1864769E-D270-4FDC-938C-184EE0683DA0}"/>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2 2 2" xfId="26340" xr:uid="{80BD8DCA-8666-4E71-AD8D-C346C7342CFD}"/>
    <cellStyle name="Normal 4 3 2 2 2 5 2 2 3" xfId="17041" xr:uid="{CA56B9CF-A83C-46B1-9F2B-46744197F801}"/>
    <cellStyle name="Normal 4 3 2 2 2 5 2 3" xfId="22123" xr:uid="{200A5DE1-FDC4-4C2C-8FD4-5CA6A83986B6}"/>
    <cellStyle name="Normal 4 3 2 2 2 5 2 4" xfId="12824" xr:uid="{10766AB3-B587-4508-B40B-1A9872A6C14E}"/>
    <cellStyle name="Normal 4 3 2 2 2 5 3" xfId="5570" xr:uid="{00000000-0005-0000-0000-00004E140000}"/>
    <cellStyle name="Normal 4 3 2 2 2 5 3 2" xfId="24195" xr:uid="{77ECA4AF-A785-46DF-BE2F-8981A9F380D3}"/>
    <cellStyle name="Normal 4 3 2 2 2 5 3 3" xfId="14896" xr:uid="{EC26A23B-F75A-439A-940A-D5FAD3639DE0}"/>
    <cellStyle name="Normal 4 3 2 2 2 5 4" xfId="19978" xr:uid="{BAF2E3EE-EB76-4526-BBAF-762652C7A171}"/>
    <cellStyle name="Normal 4 3 2 2 2 5 5" xfId="10679" xr:uid="{A3BF3A9B-FCDB-4D44-B03A-2A1C73A38741}"/>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2 2 2" xfId="26753" xr:uid="{63952EB2-9ECE-49EC-A6E5-FEBE9CB3892F}"/>
    <cellStyle name="Normal 4 3 2 2 2 6 2 2 3" xfId="17454" xr:uid="{94CDC753-27EF-4F07-A178-7BB219A0680E}"/>
    <cellStyle name="Normal 4 3 2 2 2 6 2 3" xfId="22536" xr:uid="{95DE9C02-B68D-4292-BC39-1369DECB9524}"/>
    <cellStyle name="Normal 4 3 2 2 2 6 2 4" xfId="13237" xr:uid="{547C7C61-4C54-4789-A00D-A83B25321BBD}"/>
    <cellStyle name="Normal 4 3 2 2 2 6 3" xfId="5983" xr:uid="{00000000-0005-0000-0000-000052140000}"/>
    <cellStyle name="Normal 4 3 2 2 2 6 3 2" xfId="24608" xr:uid="{F7C1E2A4-431E-4CE1-AA4F-0800A4DEC84F}"/>
    <cellStyle name="Normal 4 3 2 2 2 6 3 3" xfId="15309" xr:uid="{3DF3AB35-2AEB-439C-A38F-855B7820FEFF}"/>
    <cellStyle name="Normal 4 3 2 2 2 6 4" xfId="20391" xr:uid="{1D2BD587-3281-4597-955F-C56035A72AA9}"/>
    <cellStyle name="Normal 4 3 2 2 2 6 5" xfId="11092" xr:uid="{790D79FE-9B90-428C-868A-7D6F65BC6184}"/>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2 2 2" xfId="27166" xr:uid="{5A336727-D0B1-4883-B79F-2AA56B7D87FA}"/>
    <cellStyle name="Normal 4 3 2 2 2 7 2 2 3" xfId="17867" xr:uid="{D3AB4A84-863E-4A80-A893-4E44B2BB3230}"/>
    <cellStyle name="Normal 4 3 2 2 2 7 2 3" xfId="22949" xr:uid="{4F7E53C5-AF81-412D-BB59-C011DE3E05B3}"/>
    <cellStyle name="Normal 4 3 2 2 2 7 2 4" xfId="13650" xr:uid="{95FB0BEA-4C92-4567-9A90-E5AC01C41861}"/>
    <cellStyle name="Normal 4 3 2 2 2 7 3" xfId="6396" xr:uid="{00000000-0005-0000-0000-000056140000}"/>
    <cellStyle name="Normal 4 3 2 2 2 7 3 2" xfId="25021" xr:uid="{AD1C7D81-308A-4577-BCAA-4B336CE8D134}"/>
    <cellStyle name="Normal 4 3 2 2 2 7 3 3" xfId="15722" xr:uid="{E9C9A292-7780-420B-ACCB-8AB157CCEBE9}"/>
    <cellStyle name="Normal 4 3 2 2 2 7 4" xfId="20804" xr:uid="{C6CB9B55-CECD-49FB-9EA0-BA53A016D1B5}"/>
    <cellStyle name="Normal 4 3 2 2 2 7 5" xfId="11505" xr:uid="{7A81ACDB-821F-4EEE-A053-5FFEAC70F86F}"/>
    <cellStyle name="Normal 4 3 2 2 2 8" xfId="2526" xr:uid="{00000000-0005-0000-0000-000057140000}"/>
    <cellStyle name="Normal 4 3 2 2 2 8 2" xfId="6809" xr:uid="{00000000-0005-0000-0000-000058140000}"/>
    <cellStyle name="Normal 4 3 2 2 2 8 2 2" xfId="25434" xr:uid="{CD7D0576-9E07-4B64-8A9A-612458E13D3B}"/>
    <cellStyle name="Normal 4 3 2 2 2 8 2 3" xfId="16135" xr:uid="{941A071B-5751-448F-8294-8B48944C3BAD}"/>
    <cellStyle name="Normal 4 3 2 2 2 8 3" xfId="21217" xr:uid="{DA2B6400-5C9E-4D82-A420-EB8C48ADF604}"/>
    <cellStyle name="Normal 4 3 2 2 2 8 4" xfId="11918" xr:uid="{6756A5DC-C20C-4AFB-AB87-9D60CA87861B}"/>
    <cellStyle name="Normal 4 3 2 2 2 9" xfId="4744" xr:uid="{00000000-0005-0000-0000-000059140000}"/>
    <cellStyle name="Normal 4 3 2 2 2 9 2" xfId="23369" xr:uid="{E7040760-CA2F-4CFD-BF2F-426F799938E8}"/>
    <cellStyle name="Normal 4 3 2 2 2 9 3" xfId="14070" xr:uid="{91CB333D-3893-4688-B7F5-BBD099C5B653}"/>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10 2" xfId="27444" xr:uid="{10CE5315-ED7A-462A-AFFB-E34E95C4D886}"/>
    <cellStyle name="Normal 4 3 3 10 3" xfId="18145" xr:uid="{656E3A41-8210-470B-B448-2922A6B81B4E}"/>
    <cellStyle name="Normal 4 3 3 11" xfId="19156" xr:uid="{B5518B33-6EC7-408A-8E1F-2B58A1DD2224}"/>
    <cellStyle name="Normal 4 3 3 12" xfId="9857" xr:uid="{9203F476-ED32-49A4-AC97-3F76C8F5477D}"/>
    <cellStyle name="Normal 4 3 3 2" xfId="375" xr:uid="{00000000-0005-0000-0000-00005E140000}"/>
    <cellStyle name="Normal 4 3 3 2 10" xfId="19157" xr:uid="{B703D825-D4AB-4DA9-BD5B-3B252B66F40F}"/>
    <cellStyle name="Normal 4 3 3 2 11" xfId="9858" xr:uid="{75F1784E-DBAC-4FF3-AD6F-38A30A9D61A3}"/>
    <cellStyle name="Normal 4 3 3 2 2" xfId="376" xr:uid="{00000000-0005-0000-0000-00005F140000}"/>
    <cellStyle name="Normal 4 3 3 2 2 10" xfId="9859" xr:uid="{2AE37548-AF58-4CCE-B9EA-719B3B944BD9}"/>
    <cellStyle name="Normal 4 3 3 2 2 2" xfId="851" xr:uid="{00000000-0005-0000-0000-000060140000}"/>
    <cellStyle name="Normal 4 3 3 2 2 2 2" xfId="3086" xr:uid="{00000000-0005-0000-0000-000061140000}"/>
    <cellStyle name="Normal 4 3 3 2 2 2 2 2" xfId="7308" xr:uid="{00000000-0005-0000-0000-000062140000}"/>
    <cellStyle name="Normal 4 3 3 2 2 2 2 2 2" xfId="25933" xr:uid="{201D9731-1FE3-4B26-8CD8-E60E33EBFBF4}"/>
    <cellStyle name="Normal 4 3 3 2 2 2 2 2 3" xfId="16634" xr:uid="{C59A3472-894A-464F-B08C-078F5462AE73}"/>
    <cellStyle name="Normal 4 3 3 2 2 2 2 3" xfId="21716" xr:uid="{68FE97E4-55A1-4E12-9A4B-4B1FFB1724C8}"/>
    <cellStyle name="Normal 4 3 3 2 2 2 2 4" xfId="12417" xr:uid="{18CF8968-E872-4C1B-8D4F-FB675BE0B057}"/>
    <cellStyle name="Normal 4 3 3 2 2 2 3" xfId="5163" xr:uid="{00000000-0005-0000-0000-000063140000}"/>
    <cellStyle name="Normal 4 3 3 2 2 2 3 2" xfId="23788" xr:uid="{EE77157D-DC13-4E91-B50B-31B9186D2D40}"/>
    <cellStyle name="Normal 4 3 3 2 2 2 3 3" xfId="14489" xr:uid="{892A3D20-0B43-41A6-8431-2D3AFAB04948}"/>
    <cellStyle name="Normal 4 3 3 2 2 2 4" xfId="9556" xr:uid="{7233D5E9-9F1E-43FF-8391-DCCFDF8A705D}"/>
    <cellStyle name="Normal 4 3 3 2 2 2 4 2" xfId="28170" xr:uid="{B3CF3315-B4E1-49AE-A564-08D9356A62AA}"/>
    <cellStyle name="Normal 4 3 3 2 2 2 4 3" xfId="18871" xr:uid="{D78AFD22-E559-4E63-8A5D-CD5418C53D60}"/>
    <cellStyle name="Normal 4 3 3 2 2 2 5" xfId="19571" xr:uid="{625F96C7-D9B7-4977-85C7-0BF4924EB745}"/>
    <cellStyle name="Normal 4 3 3 2 2 2 6" xfId="10272" xr:uid="{75E0563A-71F0-46F3-97E5-5ABB219A4D2E}"/>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2 2 2" xfId="26346" xr:uid="{52D2ABD2-E6D9-41BE-BCD3-C864CC094FE0}"/>
    <cellStyle name="Normal 4 3 3 2 2 3 2 2 3" xfId="17047" xr:uid="{4BC3AC1B-4D19-4B9C-944E-8E34E500E812}"/>
    <cellStyle name="Normal 4 3 3 2 2 3 2 3" xfId="22129" xr:uid="{403C7042-2C31-4AA0-AEA0-481D16212597}"/>
    <cellStyle name="Normal 4 3 3 2 2 3 2 4" xfId="12830" xr:uid="{1E6FC35A-DFF0-436C-AEEC-B2089B3A931E}"/>
    <cellStyle name="Normal 4 3 3 2 2 3 3" xfId="5576" xr:uid="{00000000-0005-0000-0000-000067140000}"/>
    <cellStyle name="Normal 4 3 3 2 2 3 3 2" xfId="24201" xr:uid="{0D9351B5-F56F-4614-A3E9-8270691A307D}"/>
    <cellStyle name="Normal 4 3 3 2 2 3 3 3" xfId="14902" xr:uid="{4D26D115-9EF6-41B7-9F01-AC7CCBD46E74}"/>
    <cellStyle name="Normal 4 3 3 2 2 3 4" xfId="19984" xr:uid="{629C0413-D0D9-4764-97A1-58DE685AF7D1}"/>
    <cellStyle name="Normal 4 3 3 2 2 3 5" xfId="10685" xr:uid="{34B663CD-E42D-4E6D-A6FF-61952282358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2 2 2" xfId="26759" xr:uid="{7FB4053C-C30A-4841-88C1-6B3D004A1F48}"/>
    <cellStyle name="Normal 4 3 3 2 2 4 2 2 3" xfId="17460" xr:uid="{BEFB968E-6737-4E1E-81B4-2AB4EF4F2DBE}"/>
    <cellStyle name="Normal 4 3 3 2 2 4 2 3" xfId="22542" xr:uid="{CBF4D120-5685-49DA-BFF7-BA3E061EEAD1}"/>
    <cellStyle name="Normal 4 3 3 2 2 4 2 4" xfId="13243" xr:uid="{B88A0D9C-2AE6-4BC8-B94E-92CCDE8DA189}"/>
    <cellStyle name="Normal 4 3 3 2 2 4 3" xfId="5989" xr:uid="{00000000-0005-0000-0000-00006B140000}"/>
    <cellStyle name="Normal 4 3 3 2 2 4 3 2" xfId="24614" xr:uid="{690BB03D-8166-4DBF-96DF-5D361EA65E09}"/>
    <cellStyle name="Normal 4 3 3 2 2 4 3 3" xfId="15315" xr:uid="{D5116573-2804-4E34-93C0-7F24ECA18842}"/>
    <cellStyle name="Normal 4 3 3 2 2 4 4" xfId="20397" xr:uid="{F553E868-9808-4D3F-943B-971835D2BB01}"/>
    <cellStyle name="Normal 4 3 3 2 2 4 5" xfId="11098" xr:uid="{7A094E17-FBBE-49C8-AFE7-BA6DD1C6D77B}"/>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2 2 2" xfId="27172" xr:uid="{F7A358C4-7EB7-4DB4-92D1-C308E0BA1090}"/>
    <cellStyle name="Normal 4 3 3 2 2 5 2 2 3" xfId="17873" xr:uid="{425DA2BE-8723-4E0C-88C7-87A4917024C1}"/>
    <cellStyle name="Normal 4 3 3 2 2 5 2 3" xfId="22955" xr:uid="{15807F29-02A5-4FB3-8214-0D310C76A7AB}"/>
    <cellStyle name="Normal 4 3 3 2 2 5 2 4" xfId="13656" xr:uid="{C3D113F4-70BD-4FE0-805E-A1EBF07641AC}"/>
    <cellStyle name="Normal 4 3 3 2 2 5 3" xfId="6402" xr:uid="{00000000-0005-0000-0000-00006F140000}"/>
    <cellStyle name="Normal 4 3 3 2 2 5 3 2" xfId="25027" xr:uid="{A1ADCC66-0F53-4532-9118-FC2FFE9CE1FA}"/>
    <cellStyle name="Normal 4 3 3 2 2 5 3 3" xfId="15728" xr:uid="{FF62392E-7EE2-4A91-BAE5-84FEF54F09CE}"/>
    <cellStyle name="Normal 4 3 3 2 2 5 4" xfId="20810" xr:uid="{2180E776-961A-448D-916B-70B889BBF7E3}"/>
    <cellStyle name="Normal 4 3 3 2 2 5 5" xfId="11511" xr:uid="{54C0A23B-5030-47F0-BB73-91F0F08E82A3}"/>
    <cellStyle name="Normal 4 3 3 2 2 6" xfId="2532" xr:uid="{00000000-0005-0000-0000-000070140000}"/>
    <cellStyle name="Normal 4 3 3 2 2 6 2" xfId="6815" xr:uid="{00000000-0005-0000-0000-000071140000}"/>
    <cellStyle name="Normal 4 3 3 2 2 6 2 2" xfId="25440" xr:uid="{F1D4FCF9-66CE-4729-8143-42754B415AED}"/>
    <cellStyle name="Normal 4 3 3 2 2 6 2 3" xfId="16141" xr:uid="{25113AD7-8EAC-4FB7-9E51-56C8178DD0A6}"/>
    <cellStyle name="Normal 4 3 3 2 2 6 3" xfId="21223" xr:uid="{D1D9B065-7342-47B4-AB59-879324C60326}"/>
    <cellStyle name="Normal 4 3 3 2 2 6 4" xfId="11924" xr:uid="{DB2EC9F4-F2DA-4435-8FCB-1A5326FF6F6E}"/>
    <cellStyle name="Normal 4 3 3 2 2 7" xfId="4750" xr:uid="{00000000-0005-0000-0000-000072140000}"/>
    <cellStyle name="Normal 4 3 3 2 2 7 2" xfId="23375" xr:uid="{1EF2E3F1-A2DB-4D5E-BEDC-2BE7E5732FE9}"/>
    <cellStyle name="Normal 4 3 3 2 2 7 3" xfId="14076" xr:uid="{04CF9BE4-2510-436F-8EEB-2079E5895F83}"/>
    <cellStyle name="Normal 4 3 3 2 2 8" xfId="9131" xr:uid="{D7BA3B10-6765-4B57-99D1-3AF7343772F8}"/>
    <cellStyle name="Normal 4 3 3 2 2 8 2" xfId="27754" xr:uid="{D9050941-C750-45C1-BB1B-FE7012D75DA5}"/>
    <cellStyle name="Normal 4 3 3 2 2 8 3" xfId="18455" xr:uid="{86D583A3-DF23-4ACE-A555-41C93BB903C9}"/>
    <cellStyle name="Normal 4 3 3 2 2 9" xfId="19158" xr:uid="{7C3146FB-D40B-4D1D-A8C7-6F1BE97ADED5}"/>
    <cellStyle name="Normal 4 3 3 2 3" xfId="850" xr:uid="{00000000-0005-0000-0000-000073140000}"/>
    <cellStyle name="Normal 4 3 3 2 3 2" xfId="3085" xr:uid="{00000000-0005-0000-0000-000074140000}"/>
    <cellStyle name="Normal 4 3 3 2 3 2 2" xfId="7307" xr:uid="{00000000-0005-0000-0000-000075140000}"/>
    <cellStyle name="Normal 4 3 3 2 3 2 2 2" xfId="25932" xr:uid="{F3243714-91A8-4A37-9C8B-FE09F50D6ACE}"/>
    <cellStyle name="Normal 4 3 3 2 3 2 2 3" xfId="16633" xr:uid="{38B26292-06EF-492E-9F8B-4F7DCAA6F0A4}"/>
    <cellStyle name="Normal 4 3 3 2 3 2 3" xfId="21715" xr:uid="{329D3BF8-46C0-4EB9-8F65-6C33369E33A6}"/>
    <cellStyle name="Normal 4 3 3 2 3 2 4" xfId="12416" xr:uid="{14FFA0DF-DCB8-4122-A4B6-66304158E673}"/>
    <cellStyle name="Normal 4 3 3 2 3 3" xfId="5162" xr:uid="{00000000-0005-0000-0000-000076140000}"/>
    <cellStyle name="Normal 4 3 3 2 3 3 2" xfId="23787" xr:uid="{7B7F007E-6A55-4E47-848F-35174626E03D}"/>
    <cellStyle name="Normal 4 3 3 2 3 3 3" xfId="14488" xr:uid="{B1D25B92-D27A-4769-9864-358DA715FC9C}"/>
    <cellStyle name="Normal 4 3 3 2 3 4" xfId="9349" xr:uid="{E498700C-D7AE-42FC-8EB1-59BA2C1BA6B9}"/>
    <cellStyle name="Normal 4 3 3 2 3 4 2" xfId="27963" xr:uid="{9D082F4E-F9D2-4833-A2FF-D62CAA022F10}"/>
    <cellStyle name="Normal 4 3 3 2 3 4 3" xfId="18664" xr:uid="{2A66C85A-BB80-43A4-99CB-4DC5B82D95E9}"/>
    <cellStyle name="Normal 4 3 3 2 3 5" xfId="19570" xr:uid="{BF7878E9-323E-4148-B00D-55E110A808C2}"/>
    <cellStyle name="Normal 4 3 3 2 3 6" xfId="10271" xr:uid="{8A263F1F-29EB-4DD0-93BC-95AC85804E14}"/>
    <cellStyle name="Normal 4 3 3 2 4" xfId="1268" xr:uid="{00000000-0005-0000-0000-000077140000}"/>
    <cellStyle name="Normal 4 3 3 2 4 2" xfId="3498" xr:uid="{00000000-0005-0000-0000-000078140000}"/>
    <cellStyle name="Normal 4 3 3 2 4 2 2" xfId="7720" xr:uid="{00000000-0005-0000-0000-000079140000}"/>
    <cellStyle name="Normal 4 3 3 2 4 2 2 2" xfId="26345" xr:uid="{4347D69F-9169-4F10-9BFC-715126B88C5C}"/>
    <cellStyle name="Normal 4 3 3 2 4 2 2 3" xfId="17046" xr:uid="{440FB770-DE6F-4000-AAE9-448A01046EF2}"/>
    <cellStyle name="Normal 4 3 3 2 4 2 3" xfId="22128" xr:uid="{FD87585D-D67A-407D-AEFC-9400A5C22B99}"/>
    <cellStyle name="Normal 4 3 3 2 4 2 4" xfId="12829" xr:uid="{2508A932-2A47-4A19-B025-C83C0506B714}"/>
    <cellStyle name="Normal 4 3 3 2 4 3" xfId="5575" xr:uid="{00000000-0005-0000-0000-00007A140000}"/>
    <cellStyle name="Normal 4 3 3 2 4 3 2" xfId="24200" xr:uid="{D8CF0518-28A7-4815-A01E-B4952D382612}"/>
    <cellStyle name="Normal 4 3 3 2 4 3 3" xfId="14901" xr:uid="{5D6E2E7D-6CD5-4CA6-BBAC-2C08E85791AB}"/>
    <cellStyle name="Normal 4 3 3 2 4 4" xfId="19983" xr:uid="{F3CEACFF-EAA4-40E7-B003-26F70B2B05C2}"/>
    <cellStyle name="Normal 4 3 3 2 4 5" xfId="10684" xr:uid="{EDF92108-1DCB-4D9A-BA21-D56081B929D9}"/>
    <cellStyle name="Normal 4 3 3 2 5" xfId="1681" xr:uid="{00000000-0005-0000-0000-00007B140000}"/>
    <cellStyle name="Normal 4 3 3 2 5 2" xfId="3911" xr:uid="{00000000-0005-0000-0000-00007C140000}"/>
    <cellStyle name="Normal 4 3 3 2 5 2 2" xfId="8133" xr:uid="{00000000-0005-0000-0000-00007D140000}"/>
    <cellStyle name="Normal 4 3 3 2 5 2 2 2" xfId="26758" xr:uid="{3426857C-C5CD-4ACE-96EC-8759F27430E6}"/>
    <cellStyle name="Normal 4 3 3 2 5 2 2 3" xfId="17459" xr:uid="{AB50A91F-D268-4A07-BC91-E704B4166F8B}"/>
    <cellStyle name="Normal 4 3 3 2 5 2 3" xfId="22541" xr:uid="{2FB5628B-0918-4584-9523-A60CB57DA8D9}"/>
    <cellStyle name="Normal 4 3 3 2 5 2 4" xfId="13242" xr:uid="{842B2377-9CED-49A3-A81C-4C5E7FA2CC9A}"/>
    <cellStyle name="Normal 4 3 3 2 5 3" xfId="5988" xr:uid="{00000000-0005-0000-0000-00007E140000}"/>
    <cellStyle name="Normal 4 3 3 2 5 3 2" xfId="24613" xr:uid="{ED443697-EA51-428D-BA19-A412C8083D8F}"/>
    <cellStyle name="Normal 4 3 3 2 5 3 3" xfId="15314" xr:uid="{8038BF63-08C3-4C70-98AB-1CE995CF7D16}"/>
    <cellStyle name="Normal 4 3 3 2 5 4" xfId="20396" xr:uid="{43F0F57A-164D-4ACA-818B-A266C174BDF6}"/>
    <cellStyle name="Normal 4 3 3 2 5 5" xfId="11097" xr:uid="{33EF0E07-08AC-423D-A4CF-A1DD5343353F}"/>
    <cellStyle name="Normal 4 3 3 2 6" xfId="2095" xr:uid="{00000000-0005-0000-0000-00007F140000}"/>
    <cellStyle name="Normal 4 3 3 2 6 2" xfId="4324" xr:uid="{00000000-0005-0000-0000-000080140000}"/>
    <cellStyle name="Normal 4 3 3 2 6 2 2" xfId="8546" xr:uid="{00000000-0005-0000-0000-000081140000}"/>
    <cellStyle name="Normal 4 3 3 2 6 2 2 2" xfId="27171" xr:uid="{6625A494-B374-40BC-BB0D-352CDFF637A8}"/>
    <cellStyle name="Normal 4 3 3 2 6 2 2 3" xfId="17872" xr:uid="{4BAA18AC-8908-4CF7-A627-3EBFA08A00F4}"/>
    <cellStyle name="Normal 4 3 3 2 6 2 3" xfId="22954" xr:uid="{76641BDA-A9C6-4306-BC3F-06A4A687C545}"/>
    <cellStyle name="Normal 4 3 3 2 6 2 4" xfId="13655" xr:uid="{3B75F428-CEF7-4F88-BA69-A74D7823E701}"/>
    <cellStyle name="Normal 4 3 3 2 6 3" xfId="6401" xr:uid="{00000000-0005-0000-0000-000082140000}"/>
    <cellStyle name="Normal 4 3 3 2 6 3 2" xfId="25026" xr:uid="{36D74688-0124-4313-9444-47DA0679CF63}"/>
    <cellStyle name="Normal 4 3 3 2 6 3 3" xfId="15727" xr:uid="{288E418B-7F46-4384-A2A1-33010F66F6FC}"/>
    <cellStyle name="Normal 4 3 3 2 6 4" xfId="20809" xr:uid="{6915EA4C-F864-47E1-92AA-CD13B3F72F57}"/>
    <cellStyle name="Normal 4 3 3 2 6 5" xfId="11510" xr:uid="{BEE713F3-FD4F-4922-83E7-FBA222797FA4}"/>
    <cellStyle name="Normal 4 3 3 2 7" xfId="2531" xr:uid="{00000000-0005-0000-0000-000083140000}"/>
    <cellStyle name="Normal 4 3 3 2 7 2" xfId="6814" xr:uid="{00000000-0005-0000-0000-000084140000}"/>
    <cellStyle name="Normal 4 3 3 2 7 2 2" xfId="25439" xr:uid="{DF34CBCC-C66F-4693-89CF-CE0B5A383258}"/>
    <cellStyle name="Normal 4 3 3 2 7 2 3" xfId="16140" xr:uid="{DF02DB59-3E0D-45F8-9DCC-882D0AB90A6C}"/>
    <cellStyle name="Normal 4 3 3 2 7 3" xfId="21222" xr:uid="{2DE848C2-89BB-4F31-8D25-881E14C6794D}"/>
    <cellStyle name="Normal 4 3 3 2 7 4" xfId="11923" xr:uid="{E4F83469-358B-486E-91FB-E41811B77208}"/>
    <cellStyle name="Normal 4 3 3 2 8" xfId="4749" xr:uid="{00000000-0005-0000-0000-000085140000}"/>
    <cellStyle name="Normal 4 3 3 2 8 2" xfId="23374" xr:uid="{98AAD4F6-0D91-4303-ABFA-8CF5303A7845}"/>
    <cellStyle name="Normal 4 3 3 2 8 3" xfId="14075" xr:uid="{16D8DA9D-6E6A-475B-BE2E-E3110FF4E52C}"/>
    <cellStyle name="Normal 4 3 3 2 9" xfId="8924" xr:uid="{F9E914C5-63E8-4CB8-8EA1-7427CE35C4AA}"/>
    <cellStyle name="Normal 4 3 3 2 9 2" xfId="27547" xr:uid="{113F2E0D-8323-4431-B007-4ED5B6735228}"/>
    <cellStyle name="Normal 4 3 3 2 9 3" xfId="18248" xr:uid="{E8AF85A2-BF0C-4CE6-803A-042B1DA2C5AF}"/>
    <cellStyle name="Normal 4 3 3 3" xfId="377" xr:uid="{00000000-0005-0000-0000-000086140000}"/>
    <cellStyle name="Normal 4 3 3 3 10" xfId="9860" xr:uid="{22CE0401-FB67-4C18-80BC-6A412D26DD32}"/>
    <cellStyle name="Normal 4 3 3 3 2" xfId="852" xr:uid="{00000000-0005-0000-0000-000087140000}"/>
    <cellStyle name="Normal 4 3 3 3 2 2" xfId="3087" xr:uid="{00000000-0005-0000-0000-000088140000}"/>
    <cellStyle name="Normal 4 3 3 3 2 2 2" xfId="7309" xr:uid="{00000000-0005-0000-0000-000089140000}"/>
    <cellStyle name="Normal 4 3 3 3 2 2 2 2" xfId="25934" xr:uid="{955B82F9-9320-492B-8024-D5FC6B7E132C}"/>
    <cellStyle name="Normal 4 3 3 3 2 2 2 3" xfId="16635" xr:uid="{6FCFA7CA-AD57-4A64-989E-94A7D818F496}"/>
    <cellStyle name="Normal 4 3 3 3 2 2 3" xfId="21717" xr:uid="{B959B6B8-47BB-48EA-9238-D0D7E79C741C}"/>
    <cellStyle name="Normal 4 3 3 3 2 2 4" xfId="12418" xr:uid="{05C03F73-372F-4298-8967-2303C8EB2931}"/>
    <cellStyle name="Normal 4 3 3 3 2 3" xfId="5164" xr:uid="{00000000-0005-0000-0000-00008A140000}"/>
    <cellStyle name="Normal 4 3 3 3 2 3 2" xfId="23789" xr:uid="{44E0CC20-922E-42A2-AAC9-EC2FF11E4FAF}"/>
    <cellStyle name="Normal 4 3 3 3 2 3 3" xfId="14490" xr:uid="{1E01F7A2-C793-4202-B7D0-F17746664BEA}"/>
    <cellStyle name="Normal 4 3 3 3 2 4" xfId="9453" xr:uid="{18D68920-503C-42C1-A733-EBE17DC6D008}"/>
    <cellStyle name="Normal 4 3 3 3 2 4 2" xfId="28067" xr:uid="{3968A817-1085-464A-9EDC-7896F4EE52E4}"/>
    <cellStyle name="Normal 4 3 3 3 2 4 3" xfId="18768" xr:uid="{A682B388-C8C9-4AA7-B817-42D1610F7869}"/>
    <cellStyle name="Normal 4 3 3 3 2 5" xfId="19572" xr:uid="{91267AFA-8580-46CC-B1B5-2934E1AD02E2}"/>
    <cellStyle name="Normal 4 3 3 3 2 6" xfId="10273" xr:uid="{D3BB50B6-FD72-4E84-A59B-AE4BC6B635EE}"/>
    <cellStyle name="Normal 4 3 3 3 3" xfId="1270" xr:uid="{00000000-0005-0000-0000-00008B140000}"/>
    <cellStyle name="Normal 4 3 3 3 3 2" xfId="3500" xr:uid="{00000000-0005-0000-0000-00008C140000}"/>
    <cellStyle name="Normal 4 3 3 3 3 2 2" xfId="7722" xr:uid="{00000000-0005-0000-0000-00008D140000}"/>
    <cellStyle name="Normal 4 3 3 3 3 2 2 2" xfId="26347" xr:uid="{91F3186A-4D10-4556-BCCD-F41C15180F35}"/>
    <cellStyle name="Normal 4 3 3 3 3 2 2 3" xfId="17048" xr:uid="{39C9A921-52DB-4A3A-9E7C-753DF2B8692B}"/>
    <cellStyle name="Normal 4 3 3 3 3 2 3" xfId="22130" xr:uid="{F96AB853-07F8-44EC-898A-90CE8C775EAB}"/>
    <cellStyle name="Normal 4 3 3 3 3 2 4" xfId="12831" xr:uid="{2000F6C5-6402-4B91-9658-D932E48BECB3}"/>
    <cellStyle name="Normal 4 3 3 3 3 3" xfId="5577" xr:uid="{00000000-0005-0000-0000-00008E140000}"/>
    <cellStyle name="Normal 4 3 3 3 3 3 2" xfId="24202" xr:uid="{4328C2B5-193A-47B7-9F1B-F36AB5265D02}"/>
    <cellStyle name="Normal 4 3 3 3 3 3 3" xfId="14903" xr:uid="{A4031C7A-34C0-434F-B4AD-8C08921EA46F}"/>
    <cellStyle name="Normal 4 3 3 3 3 4" xfId="19985" xr:uid="{12B7EBAF-6C53-4342-93B1-617E20609F84}"/>
    <cellStyle name="Normal 4 3 3 3 3 5" xfId="10686" xr:uid="{4E877549-5B62-4DE4-9C6F-A976CDB6D969}"/>
    <cellStyle name="Normal 4 3 3 3 4" xfId="1683" xr:uid="{00000000-0005-0000-0000-00008F140000}"/>
    <cellStyle name="Normal 4 3 3 3 4 2" xfId="3913" xr:uid="{00000000-0005-0000-0000-000090140000}"/>
    <cellStyle name="Normal 4 3 3 3 4 2 2" xfId="8135" xr:uid="{00000000-0005-0000-0000-000091140000}"/>
    <cellStyle name="Normal 4 3 3 3 4 2 2 2" xfId="26760" xr:uid="{8CC23890-A668-4CE8-9611-77C3AB067E9C}"/>
    <cellStyle name="Normal 4 3 3 3 4 2 2 3" xfId="17461" xr:uid="{2129A1AB-9915-44DF-97CD-5FB82BB6B286}"/>
    <cellStyle name="Normal 4 3 3 3 4 2 3" xfId="22543" xr:uid="{B60F281C-A005-4FAE-AC1C-A4A9E9F6FC1F}"/>
    <cellStyle name="Normal 4 3 3 3 4 2 4" xfId="13244" xr:uid="{9E2E55A3-A45D-48AF-B0A7-1DAC9F12224B}"/>
    <cellStyle name="Normal 4 3 3 3 4 3" xfId="5990" xr:uid="{00000000-0005-0000-0000-000092140000}"/>
    <cellStyle name="Normal 4 3 3 3 4 3 2" xfId="24615" xr:uid="{A11940E5-ABBE-4219-9BEE-3FF946B05FAE}"/>
    <cellStyle name="Normal 4 3 3 3 4 3 3" xfId="15316" xr:uid="{AD0BC2F6-4302-4166-9F30-E78AA27D8F3B}"/>
    <cellStyle name="Normal 4 3 3 3 4 4" xfId="20398" xr:uid="{91A1C431-4BCA-406F-A993-3F9D4D01710A}"/>
    <cellStyle name="Normal 4 3 3 3 4 5" xfId="11099" xr:uid="{05F7E447-8039-4CB8-B395-68124A488A82}"/>
    <cellStyle name="Normal 4 3 3 3 5" xfId="2097" xr:uid="{00000000-0005-0000-0000-000093140000}"/>
    <cellStyle name="Normal 4 3 3 3 5 2" xfId="4326" xr:uid="{00000000-0005-0000-0000-000094140000}"/>
    <cellStyle name="Normal 4 3 3 3 5 2 2" xfId="8548" xr:uid="{00000000-0005-0000-0000-000095140000}"/>
    <cellStyle name="Normal 4 3 3 3 5 2 2 2" xfId="27173" xr:uid="{D7D3A54D-A81C-4809-8BC0-B2BF356F285B}"/>
    <cellStyle name="Normal 4 3 3 3 5 2 2 3" xfId="17874" xr:uid="{087EC72F-1862-4E65-A91A-E4EC5920D375}"/>
    <cellStyle name="Normal 4 3 3 3 5 2 3" xfId="22956" xr:uid="{3C1E3E07-BB2A-40E5-BD6B-49B6D8D708BD}"/>
    <cellStyle name="Normal 4 3 3 3 5 2 4" xfId="13657" xr:uid="{92AF0F25-525B-4331-A7CD-214C1B2A06B3}"/>
    <cellStyle name="Normal 4 3 3 3 5 3" xfId="6403" xr:uid="{00000000-0005-0000-0000-000096140000}"/>
    <cellStyle name="Normal 4 3 3 3 5 3 2" xfId="25028" xr:uid="{42C51C18-5111-46C1-8A29-5D19152982A2}"/>
    <cellStyle name="Normal 4 3 3 3 5 3 3" xfId="15729" xr:uid="{E30E2A49-4631-477B-9753-7D23CAB3D074}"/>
    <cellStyle name="Normal 4 3 3 3 5 4" xfId="20811" xr:uid="{DAA10F26-4687-4431-BE13-41E743FA9054}"/>
    <cellStyle name="Normal 4 3 3 3 5 5" xfId="11512" xr:uid="{12C6C4B1-D943-489F-9675-D2B1B71F07B1}"/>
    <cellStyle name="Normal 4 3 3 3 6" xfId="2533" xr:uid="{00000000-0005-0000-0000-000097140000}"/>
    <cellStyle name="Normal 4 3 3 3 6 2" xfId="6816" xr:uid="{00000000-0005-0000-0000-000098140000}"/>
    <cellStyle name="Normal 4 3 3 3 6 2 2" xfId="25441" xr:uid="{46111192-E7A2-4E36-81F9-73198FF8D1CF}"/>
    <cellStyle name="Normal 4 3 3 3 6 2 3" xfId="16142" xr:uid="{DD1FAC9C-8DEC-4B26-9818-D092E155CE42}"/>
    <cellStyle name="Normal 4 3 3 3 6 3" xfId="21224" xr:uid="{F9932F16-4E35-41F8-AD86-A42B6E460E95}"/>
    <cellStyle name="Normal 4 3 3 3 6 4" xfId="11925" xr:uid="{6FA19AA4-6FA2-4E14-90B3-58A6136219C3}"/>
    <cellStyle name="Normal 4 3 3 3 7" xfId="4751" xr:uid="{00000000-0005-0000-0000-000099140000}"/>
    <cellStyle name="Normal 4 3 3 3 7 2" xfId="23376" xr:uid="{597E0A6A-D223-477A-AF3A-2FCE408D5150}"/>
    <cellStyle name="Normal 4 3 3 3 7 3" xfId="14077" xr:uid="{979DD566-AA87-4B2E-9E8E-3317C0F17D10}"/>
    <cellStyle name="Normal 4 3 3 3 8" xfId="9028" xr:uid="{A0BD85BE-0D8B-455E-B326-708B8FF8A8C8}"/>
    <cellStyle name="Normal 4 3 3 3 8 2" xfId="27651" xr:uid="{CF406ACB-07F7-4EAC-9CD1-FE9C9F425821}"/>
    <cellStyle name="Normal 4 3 3 3 8 3" xfId="18352" xr:uid="{7D960919-081E-4BDB-A467-7712FA4A2017}"/>
    <cellStyle name="Normal 4 3 3 3 9" xfId="19159" xr:uid="{143123E3-3541-4F1E-89D8-37EF30A0E5F4}"/>
    <cellStyle name="Normal 4 3 3 4" xfId="849" xr:uid="{00000000-0005-0000-0000-00009A140000}"/>
    <cellStyle name="Normal 4 3 3 4 2" xfId="3084" xr:uid="{00000000-0005-0000-0000-00009B140000}"/>
    <cellStyle name="Normal 4 3 3 4 2 2" xfId="7306" xr:uid="{00000000-0005-0000-0000-00009C140000}"/>
    <cellStyle name="Normal 4 3 3 4 2 2 2" xfId="25931" xr:uid="{52001D47-A9CC-4ED6-888A-EFB87BE33DBB}"/>
    <cellStyle name="Normal 4 3 3 4 2 2 3" xfId="16632" xr:uid="{8E2E2A2A-8F8B-4FEE-8207-615656121A23}"/>
    <cellStyle name="Normal 4 3 3 4 2 3" xfId="21714" xr:uid="{49F2395D-2782-4949-B9AC-C740FEACA966}"/>
    <cellStyle name="Normal 4 3 3 4 2 4" xfId="12415" xr:uid="{C58B9F92-D07C-4649-82F1-64938B9C9B6D}"/>
    <cellStyle name="Normal 4 3 3 4 3" xfId="5161" xr:uid="{00000000-0005-0000-0000-00009D140000}"/>
    <cellStyle name="Normal 4 3 3 4 3 2" xfId="23786" xr:uid="{56E7E0C0-0EC7-4CC7-BFB7-B3DCBA287A37}"/>
    <cellStyle name="Normal 4 3 3 4 3 3" xfId="14487" xr:uid="{9C46FDE4-12BA-4215-95E5-C5064EB69B37}"/>
    <cellStyle name="Normal 4 3 3 4 4" xfId="9246" xr:uid="{E1107DA9-8F13-4216-80A2-CEA1D2EF57FC}"/>
    <cellStyle name="Normal 4 3 3 4 4 2" xfId="27860" xr:uid="{BD59511C-2F01-4C02-8934-1CBD2D5B24E6}"/>
    <cellStyle name="Normal 4 3 3 4 4 3" xfId="18561" xr:uid="{5CC4029F-64A8-4332-9465-0F9A8F663501}"/>
    <cellStyle name="Normal 4 3 3 4 5" xfId="19569" xr:uid="{C202679D-4DDF-49D4-8FEE-5A8C0C2268F7}"/>
    <cellStyle name="Normal 4 3 3 4 6" xfId="10270" xr:uid="{2C12D4AC-57B5-4B5F-B859-C6AF18533C21}"/>
    <cellStyle name="Normal 4 3 3 5" xfId="1267" xr:uid="{00000000-0005-0000-0000-00009E140000}"/>
    <cellStyle name="Normal 4 3 3 5 2" xfId="3497" xr:uid="{00000000-0005-0000-0000-00009F140000}"/>
    <cellStyle name="Normal 4 3 3 5 2 2" xfId="7719" xr:uid="{00000000-0005-0000-0000-0000A0140000}"/>
    <cellStyle name="Normal 4 3 3 5 2 2 2" xfId="26344" xr:uid="{FF10E501-2A80-45C0-8684-817BB4548417}"/>
    <cellStyle name="Normal 4 3 3 5 2 2 3" xfId="17045" xr:uid="{291FC2E7-6A88-455E-AF56-20CA9537F7FA}"/>
    <cellStyle name="Normal 4 3 3 5 2 3" xfId="22127" xr:uid="{BD230649-20C9-474C-89CA-3DF89C82E4D5}"/>
    <cellStyle name="Normal 4 3 3 5 2 4" xfId="12828" xr:uid="{4B874E35-44FA-4061-ABF0-5C11D66641FC}"/>
    <cellStyle name="Normal 4 3 3 5 3" xfId="5574" xr:uid="{00000000-0005-0000-0000-0000A1140000}"/>
    <cellStyle name="Normal 4 3 3 5 3 2" xfId="24199" xr:uid="{9F62775F-55EF-4DA9-9F98-5B01E328C58C}"/>
    <cellStyle name="Normal 4 3 3 5 3 3" xfId="14900" xr:uid="{6EF534D1-35B3-4443-93A3-5E4B509A8632}"/>
    <cellStyle name="Normal 4 3 3 5 4" xfId="19982" xr:uid="{67790009-6681-45E5-BEFD-910087FECBE8}"/>
    <cellStyle name="Normal 4 3 3 5 5" xfId="10683" xr:uid="{B8525F4F-78B6-4961-A438-00127823CC7D}"/>
    <cellStyle name="Normal 4 3 3 6" xfId="1680" xr:uid="{00000000-0005-0000-0000-0000A2140000}"/>
    <cellStyle name="Normal 4 3 3 6 2" xfId="3910" xr:uid="{00000000-0005-0000-0000-0000A3140000}"/>
    <cellStyle name="Normal 4 3 3 6 2 2" xfId="8132" xr:uid="{00000000-0005-0000-0000-0000A4140000}"/>
    <cellStyle name="Normal 4 3 3 6 2 2 2" xfId="26757" xr:uid="{639319F3-E0ED-4A75-8297-712B2E29145D}"/>
    <cellStyle name="Normal 4 3 3 6 2 2 3" xfId="17458" xr:uid="{BB5826C2-F38F-4E4B-A35D-C7F692C5B4AF}"/>
    <cellStyle name="Normal 4 3 3 6 2 3" xfId="22540" xr:uid="{105942D5-4D8F-44A3-A01A-3CE4799F3951}"/>
    <cellStyle name="Normal 4 3 3 6 2 4" xfId="13241" xr:uid="{434D8831-1B87-4B11-831E-23E2CDAA4457}"/>
    <cellStyle name="Normal 4 3 3 6 3" xfId="5987" xr:uid="{00000000-0005-0000-0000-0000A5140000}"/>
    <cellStyle name="Normal 4 3 3 6 3 2" xfId="24612" xr:uid="{6B9DEA90-F864-453D-806B-1D3D2008CDD1}"/>
    <cellStyle name="Normal 4 3 3 6 3 3" xfId="15313" xr:uid="{499A9660-2ADF-4394-B27E-AEB7DE7D293E}"/>
    <cellStyle name="Normal 4 3 3 6 4" xfId="20395" xr:uid="{47636477-D562-40FD-87D6-0382E44400DA}"/>
    <cellStyle name="Normal 4 3 3 6 5" xfId="11096" xr:uid="{C518B3FC-BCF2-4954-99D0-F448044CFDA3}"/>
    <cellStyle name="Normal 4 3 3 7" xfId="2094" xr:uid="{00000000-0005-0000-0000-0000A6140000}"/>
    <cellStyle name="Normal 4 3 3 7 2" xfId="4323" xr:uid="{00000000-0005-0000-0000-0000A7140000}"/>
    <cellStyle name="Normal 4 3 3 7 2 2" xfId="8545" xr:uid="{00000000-0005-0000-0000-0000A8140000}"/>
    <cellStyle name="Normal 4 3 3 7 2 2 2" xfId="27170" xr:uid="{3FFC32A0-71C4-41E3-8AE6-096FAEF58CDD}"/>
    <cellStyle name="Normal 4 3 3 7 2 2 3" xfId="17871" xr:uid="{EB9D3073-9599-4D1C-BCD5-ECF84A59A7CA}"/>
    <cellStyle name="Normal 4 3 3 7 2 3" xfId="22953" xr:uid="{AEEAD0E0-309A-4A53-8C97-9A3B95F89DF8}"/>
    <cellStyle name="Normal 4 3 3 7 2 4" xfId="13654" xr:uid="{2B0F37C2-8891-47D0-BD75-6AD2F67DF4AF}"/>
    <cellStyle name="Normal 4 3 3 7 3" xfId="6400" xr:uid="{00000000-0005-0000-0000-0000A9140000}"/>
    <cellStyle name="Normal 4 3 3 7 3 2" xfId="25025" xr:uid="{A993130F-E6C7-4FE2-ABC8-00F3860737A0}"/>
    <cellStyle name="Normal 4 3 3 7 3 3" xfId="15726" xr:uid="{854BFCEB-2F45-416E-B0C8-BD4CA02B0549}"/>
    <cellStyle name="Normal 4 3 3 7 4" xfId="20808" xr:uid="{A3B7B56F-0B32-469D-9196-1FA3F5A164E4}"/>
    <cellStyle name="Normal 4 3 3 7 5" xfId="11509" xr:uid="{61B6336D-E113-4E84-867D-045F6C751E02}"/>
    <cellStyle name="Normal 4 3 3 8" xfId="2530" xr:uid="{00000000-0005-0000-0000-0000AA140000}"/>
    <cellStyle name="Normal 4 3 3 8 2" xfId="6813" xr:uid="{00000000-0005-0000-0000-0000AB140000}"/>
    <cellStyle name="Normal 4 3 3 8 2 2" xfId="25438" xr:uid="{5E4CC242-888A-4DD5-BFD1-C6CAE0E4E996}"/>
    <cellStyle name="Normal 4 3 3 8 2 3" xfId="16139" xr:uid="{F62C1E82-8E14-4DFA-9EA7-1862E5BD5AB9}"/>
    <cellStyle name="Normal 4 3 3 8 3" xfId="21221" xr:uid="{74D900D9-2F8E-4CA5-9FB2-DC47944F6C1A}"/>
    <cellStyle name="Normal 4 3 3 8 4" xfId="11922" xr:uid="{FCDCB5C3-8B96-408F-9A36-6F5BC660EAA9}"/>
    <cellStyle name="Normal 4 3 3 9" xfId="4748" xr:uid="{00000000-0005-0000-0000-0000AC140000}"/>
    <cellStyle name="Normal 4 3 3 9 2" xfId="23373" xr:uid="{EC39060C-0611-4917-91C1-A50F93482E04}"/>
    <cellStyle name="Normal 4 3 3 9 3" xfId="14074" xr:uid="{ED12D329-D327-4416-855D-005AB02147A8}"/>
    <cellStyle name="Normal 4 3 4" xfId="842" xr:uid="{00000000-0005-0000-0000-0000AD140000}"/>
    <cellStyle name="Normal 4 3 4 2" xfId="3079" xr:uid="{00000000-0005-0000-0000-0000AE140000}"/>
    <cellStyle name="Normal 4 3 4 2 2" xfId="7301" xr:uid="{00000000-0005-0000-0000-0000AF140000}"/>
    <cellStyle name="Normal 4 3 4 2 2 2" xfId="25926" xr:uid="{F3A3585A-E123-4132-9E93-5ADF167ACC7F}"/>
    <cellStyle name="Normal 4 3 4 2 2 3" xfId="16627" xr:uid="{1782FA0E-0E98-4DA0-B3A3-F12DB92B29A5}"/>
    <cellStyle name="Normal 4 3 4 2 3" xfId="21709" xr:uid="{FC4C0653-A3CD-425B-AFD9-5C2CDE391AD1}"/>
    <cellStyle name="Normal 4 3 4 2 4" xfId="12410" xr:uid="{4728C0DE-724A-4CC9-92E6-68B26C7D834D}"/>
    <cellStyle name="Normal 4 3 4 3" xfId="5156" xr:uid="{00000000-0005-0000-0000-0000B0140000}"/>
    <cellStyle name="Normal 4 3 4 3 2" xfId="23781" xr:uid="{52C145F3-3381-4089-8DAD-1C82FC8E5A02}"/>
    <cellStyle name="Normal 4 3 4 3 3" xfId="14482" xr:uid="{744CDD92-5140-46A1-B799-4BCA6E34DCF8}"/>
    <cellStyle name="Normal 4 3 4 4" xfId="9608" xr:uid="{C2EFFD2B-01D5-4B2B-BD85-BB4245D6A35E}"/>
    <cellStyle name="Normal 4 3 4 4 2" xfId="28208" xr:uid="{F7C210A0-EF0D-442B-B8F6-153DC36B063F}"/>
    <cellStyle name="Normal 4 3 4 4 3" xfId="18909" xr:uid="{6470F24D-9227-44A1-A23C-83B345826C2E}"/>
    <cellStyle name="Normal 4 3 4 5" xfId="19564" xr:uid="{5B2C5410-3CC5-4579-9F1D-1245BC867DB2}"/>
    <cellStyle name="Normal 4 3 4 6" xfId="10265" xr:uid="{052DF525-6712-44F9-BE7F-CF8E33A1BD05}"/>
    <cellStyle name="Normal 4 3 5" xfId="1262" xr:uid="{00000000-0005-0000-0000-0000B1140000}"/>
    <cellStyle name="Normal 4 3 5 2" xfId="3492" xr:uid="{00000000-0005-0000-0000-0000B2140000}"/>
    <cellStyle name="Normal 4 3 5 2 2" xfId="7714" xr:uid="{00000000-0005-0000-0000-0000B3140000}"/>
    <cellStyle name="Normal 4 3 5 2 2 2" xfId="26339" xr:uid="{31CD8B4C-5A86-4198-8C0E-1A393BA9DED0}"/>
    <cellStyle name="Normal 4 3 5 2 2 3" xfId="17040" xr:uid="{1C8E2889-B7F4-413C-8487-C4E6CE13E8FC}"/>
    <cellStyle name="Normal 4 3 5 2 3" xfId="22122" xr:uid="{98AAFD1F-A074-42EE-BD2F-60E09ED90E8D}"/>
    <cellStyle name="Normal 4 3 5 2 4" xfId="12823" xr:uid="{E9AC9226-61E1-4CDF-A3A7-3DC6EF192118}"/>
    <cellStyle name="Normal 4 3 5 3" xfId="5569" xr:uid="{00000000-0005-0000-0000-0000B4140000}"/>
    <cellStyle name="Normal 4 3 5 3 2" xfId="24194" xr:uid="{E05FC903-A0B8-47FE-92A8-D69C43722150}"/>
    <cellStyle name="Normal 4 3 5 3 3" xfId="14895" xr:uid="{FB3F7469-7912-49B2-B2EE-C01EAF21318C}"/>
    <cellStyle name="Normal 4 3 5 4" xfId="19977" xr:uid="{5D2AF5CE-9DC7-4E90-A930-0801CB1E76AE}"/>
    <cellStyle name="Normal 4 3 5 5" xfId="10678" xr:uid="{948EE6DF-7751-4A5F-8543-726ED8FC6BC1}"/>
    <cellStyle name="Normal 4 3 6" xfId="1675" xr:uid="{00000000-0005-0000-0000-0000B5140000}"/>
    <cellStyle name="Normal 4 3 6 2" xfId="3905" xr:uid="{00000000-0005-0000-0000-0000B6140000}"/>
    <cellStyle name="Normal 4 3 6 2 2" xfId="8127" xr:uid="{00000000-0005-0000-0000-0000B7140000}"/>
    <cellStyle name="Normal 4 3 6 2 2 2" xfId="26752" xr:uid="{C32C2173-4F90-4A15-A62C-44E7E07CC863}"/>
    <cellStyle name="Normal 4 3 6 2 2 3" xfId="17453" xr:uid="{DA909569-59A9-45B7-B845-D16F5DF4FAB7}"/>
    <cellStyle name="Normal 4 3 6 2 3" xfId="22535" xr:uid="{61B4AE15-0E72-47A6-A2D9-4FB2019E7DEC}"/>
    <cellStyle name="Normal 4 3 6 2 4" xfId="13236" xr:uid="{9F857E8C-1E17-4E96-A291-85CFAE388DDC}"/>
    <cellStyle name="Normal 4 3 6 3" xfId="5982" xr:uid="{00000000-0005-0000-0000-0000B8140000}"/>
    <cellStyle name="Normal 4 3 6 3 2" xfId="24607" xr:uid="{4DCF92ED-D39F-480E-9AD9-A6C0A0DF9C9B}"/>
    <cellStyle name="Normal 4 3 6 3 3" xfId="15308" xr:uid="{8A998D46-05F7-4CF4-85C0-D0BD46544ACE}"/>
    <cellStyle name="Normal 4 3 6 4" xfId="20390" xr:uid="{26C1A72F-CDC5-476C-B67D-7AD6AF47145D}"/>
    <cellStyle name="Normal 4 3 6 5" xfId="11091" xr:uid="{BF1FDDAC-2E3E-4A0F-8899-2DEE55500A6E}"/>
    <cellStyle name="Normal 4 3 7" xfId="2089" xr:uid="{00000000-0005-0000-0000-0000B9140000}"/>
    <cellStyle name="Normal 4 3 7 2" xfId="4318" xr:uid="{00000000-0005-0000-0000-0000BA140000}"/>
    <cellStyle name="Normal 4 3 7 2 2" xfId="8540" xr:uid="{00000000-0005-0000-0000-0000BB140000}"/>
    <cellStyle name="Normal 4 3 7 2 2 2" xfId="27165" xr:uid="{25757069-59D0-4710-A9D6-81701BFC4DAE}"/>
    <cellStyle name="Normal 4 3 7 2 2 3" xfId="17866" xr:uid="{E95C955A-3AD5-4751-992E-8209296558A1}"/>
    <cellStyle name="Normal 4 3 7 2 3" xfId="22948" xr:uid="{B07CD830-BC2A-4033-BB1D-B9D130FF6400}"/>
    <cellStyle name="Normal 4 3 7 2 4" xfId="13649" xr:uid="{F61BC404-0A93-464E-B634-71F7C2A8D80A}"/>
    <cellStyle name="Normal 4 3 7 3" xfId="6395" xr:uid="{00000000-0005-0000-0000-0000BC140000}"/>
    <cellStyle name="Normal 4 3 7 3 2" xfId="25020" xr:uid="{9DE2C440-0FFB-469E-A2CA-4622D05B7C2E}"/>
    <cellStyle name="Normal 4 3 7 3 3" xfId="15721" xr:uid="{719D5746-452A-4876-8B8D-F84A4DFD06D6}"/>
    <cellStyle name="Normal 4 3 7 4" xfId="20803" xr:uid="{37520F02-8567-493E-B933-CA71B3889C58}"/>
    <cellStyle name="Normal 4 3 7 5" xfId="11504" xr:uid="{43E040D1-19F0-4AFD-8904-5B5C66461128}"/>
    <cellStyle name="Normal 4 3 8" xfId="2525" xr:uid="{00000000-0005-0000-0000-0000BD140000}"/>
    <cellStyle name="Normal 4 3 8 2" xfId="6808" xr:uid="{00000000-0005-0000-0000-0000BE140000}"/>
    <cellStyle name="Normal 4 3 8 2 2" xfId="25433" xr:uid="{BA181DF4-7526-4A3B-B9F1-8AF7BA87E390}"/>
    <cellStyle name="Normal 4 3 8 2 3" xfId="16134" xr:uid="{5FA583E1-40ED-4FD2-956A-5BDE3DA056BB}"/>
    <cellStyle name="Normal 4 3 8 3" xfId="21216" xr:uid="{D4464BAA-71BE-4CFE-813B-F6CB6BCFBE04}"/>
    <cellStyle name="Normal 4 3 8 4" xfId="11917" xr:uid="{4B4554A8-E8A7-4912-AF96-DA6D16406101}"/>
    <cellStyle name="Normal 4 3 9" xfId="4743" xr:uid="{00000000-0005-0000-0000-0000BF140000}"/>
    <cellStyle name="Normal 4 3 9 2" xfId="23368" xr:uid="{29759D03-75EA-40F4-B655-8E00FF9C068D}"/>
    <cellStyle name="Normal 4 3 9 3" xfId="14069" xr:uid="{58397DFD-9A2A-4324-A627-C94029C05B4B}"/>
    <cellStyle name="Normal 4 4" xfId="378" xr:uid="{00000000-0005-0000-0000-0000C0140000}"/>
    <cellStyle name="Normal 4 4 10" xfId="2534" xr:uid="{00000000-0005-0000-0000-0000C1140000}"/>
    <cellStyle name="Normal 4 4 10 2" xfId="6817" xr:uid="{00000000-0005-0000-0000-0000C2140000}"/>
    <cellStyle name="Normal 4 4 10 2 2" xfId="25442" xr:uid="{227647BF-9A14-404B-B6F2-682274D62839}"/>
    <cellStyle name="Normal 4 4 10 2 3" xfId="16143" xr:uid="{E5AE9FCD-4614-467A-902C-AF9BAF0CCDC7}"/>
    <cellStyle name="Normal 4 4 10 3" xfId="21225" xr:uid="{5A228C72-74A3-4DED-AAF0-31421E2354C4}"/>
    <cellStyle name="Normal 4 4 10 4" xfId="11926" xr:uid="{A0978859-3E0C-40DE-BE9B-8427848A2AF7}"/>
    <cellStyle name="Normal 4 4 11" xfId="4752" xr:uid="{00000000-0005-0000-0000-0000C3140000}"/>
    <cellStyle name="Normal 4 4 11 2" xfId="23377" xr:uid="{DBD358C3-57EA-4FF3-A7C1-34EF48BA8EA3}"/>
    <cellStyle name="Normal 4 4 11 3" xfId="14078" xr:uid="{4C4D64A4-5AD3-4B9C-B7A5-6F280F05E31E}"/>
    <cellStyle name="Normal 4 4 12" xfId="8749" xr:uid="{A91736B6-873D-4B1A-8B29-18DC69E5E65F}"/>
    <cellStyle name="Normal 4 4 12 2" xfId="27372" xr:uid="{A8EC5173-3D92-41B3-A1F2-CD395B895F1A}"/>
    <cellStyle name="Normal 4 4 12 3" xfId="18073" xr:uid="{4BE92DF8-8610-4581-A0FD-D4C73FFC28E2}"/>
    <cellStyle name="Normal 4 4 13" xfId="19160" xr:uid="{DB6F6FBC-FE02-4522-A209-4EBDBC044FAA}"/>
    <cellStyle name="Normal 4 4 14" xfId="9861" xr:uid="{21412BFE-A2FF-464E-86CE-441AEF5D1F85}"/>
    <cellStyle name="Normal 4 4 2" xfId="379" xr:uid="{00000000-0005-0000-0000-0000C4140000}"/>
    <cellStyle name="Normal 4 4 2 10" xfId="4753" xr:uid="{00000000-0005-0000-0000-0000C5140000}"/>
    <cellStyle name="Normal 4 4 2 10 2" xfId="23378" xr:uid="{3A80FF58-3B9E-4C80-B0F4-FC18047A6077}"/>
    <cellStyle name="Normal 4 4 2 10 3" xfId="14079" xr:uid="{8EFE1E37-4432-43B6-82F1-31C62DBC508E}"/>
    <cellStyle name="Normal 4 4 2 11" xfId="8781" xr:uid="{12B8F0AD-1EB8-4D0A-9CAD-21DEEFEDAE41}"/>
    <cellStyle name="Normal 4 4 2 11 2" xfId="27404" xr:uid="{8636F26E-CBB1-43C8-A373-4F8146AF713B}"/>
    <cellStyle name="Normal 4 4 2 11 3" xfId="18105" xr:uid="{A52D4D6F-B56E-41D2-919D-EA1665A8EE0B}"/>
    <cellStyle name="Normal 4 4 2 12" xfId="19161" xr:uid="{C3AE8F27-00EB-44FC-92CC-B5C729149DDC}"/>
    <cellStyle name="Normal 4 4 2 13" xfId="9862" xr:uid="{4C6D08C4-7514-4F44-9F19-DC918ADD81CD}"/>
    <cellStyle name="Normal 4 4 2 2" xfId="380" xr:uid="{00000000-0005-0000-0000-0000C6140000}"/>
    <cellStyle name="Normal 4 4 2 2 10" xfId="8824" xr:uid="{FF218EA8-00A9-476B-AA88-FBBBBED2D06B}"/>
    <cellStyle name="Normal 4 4 2 2 10 2" xfId="27447" xr:uid="{9FC14A3C-80FB-4354-A30D-36FAF30DA8BD}"/>
    <cellStyle name="Normal 4 4 2 2 10 3" xfId="18148" xr:uid="{84B3653C-4BD4-42C2-AC32-0822429D3AFC}"/>
    <cellStyle name="Normal 4 4 2 2 11" xfId="19162" xr:uid="{004A528F-1EDD-4C7E-A63D-D37F2DA8E469}"/>
    <cellStyle name="Normal 4 4 2 2 12" xfId="9863" xr:uid="{FE226793-60C8-440A-876E-9638F32AEF9A}"/>
    <cellStyle name="Normal 4 4 2 2 2" xfId="381" xr:uid="{00000000-0005-0000-0000-0000C7140000}"/>
    <cellStyle name="Normal 4 4 2 2 2 10" xfId="19163" xr:uid="{1B1E932F-CF1D-40D0-901E-C9068657773F}"/>
    <cellStyle name="Normal 4 4 2 2 2 11" xfId="9864" xr:uid="{3D1C6235-5332-443A-A024-DD95B56F5920}"/>
    <cellStyle name="Normal 4 4 2 2 2 2" xfId="382" xr:uid="{00000000-0005-0000-0000-0000C8140000}"/>
    <cellStyle name="Normal 4 4 2 2 2 2 10" xfId="9865" xr:uid="{51D96B4F-469D-4733-B86A-79452CF4E8B2}"/>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2 2 2" xfId="25939" xr:uid="{220C8E71-627E-4652-87C3-72715796AC1F}"/>
    <cellStyle name="Normal 4 4 2 2 2 2 2 2 2 3" xfId="16640" xr:uid="{6EF15D3B-19AC-48CD-B99D-8B32636169AB}"/>
    <cellStyle name="Normal 4 4 2 2 2 2 2 2 3" xfId="21722" xr:uid="{C844A262-13B7-4879-BC2C-DE65B80D120B}"/>
    <cellStyle name="Normal 4 4 2 2 2 2 2 2 4" xfId="12423" xr:uid="{9786F19D-D6FD-484E-8E7A-DEB6E56074CB}"/>
    <cellStyle name="Normal 4 4 2 2 2 2 2 3" xfId="5169" xr:uid="{00000000-0005-0000-0000-0000CC140000}"/>
    <cellStyle name="Normal 4 4 2 2 2 2 2 3 2" xfId="23794" xr:uid="{DB61D6A4-0002-47AD-8E1E-718265AC77F8}"/>
    <cellStyle name="Normal 4 4 2 2 2 2 2 3 3" xfId="14495" xr:uid="{1FCD0101-0CBA-4293-8C9A-25983671D718}"/>
    <cellStyle name="Normal 4 4 2 2 2 2 2 4" xfId="9559" xr:uid="{6E5E886C-D83F-47E6-AD2B-552CC2A98FD0}"/>
    <cellStyle name="Normal 4 4 2 2 2 2 2 4 2" xfId="28173" xr:uid="{44073FEB-EA3E-4615-A8EA-BA0CB179B235}"/>
    <cellStyle name="Normal 4 4 2 2 2 2 2 4 3" xfId="18874" xr:uid="{DB00DE11-DD6B-4398-BCCC-6EF65847EA34}"/>
    <cellStyle name="Normal 4 4 2 2 2 2 2 5" xfId="19577" xr:uid="{05AD8D53-9C1B-4DE4-95DF-F235C71A3126}"/>
    <cellStyle name="Normal 4 4 2 2 2 2 2 6" xfId="10278" xr:uid="{ABC71A71-4627-485B-820D-EE3F6CBD0037}"/>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2 2 2" xfId="26352" xr:uid="{4BC8EA3B-0E6C-4712-9474-9724900C0A52}"/>
    <cellStyle name="Normal 4 4 2 2 2 2 3 2 2 3" xfId="17053" xr:uid="{2BDFDE3A-A994-4EB9-AE70-6E7CC1FB5D7F}"/>
    <cellStyle name="Normal 4 4 2 2 2 2 3 2 3" xfId="22135" xr:uid="{81A3BAC8-7A7E-435D-B7A3-1729D4C9EB96}"/>
    <cellStyle name="Normal 4 4 2 2 2 2 3 2 4" xfId="12836" xr:uid="{F0D9471C-2C5E-48A4-834D-8ACAF65987C9}"/>
    <cellStyle name="Normal 4 4 2 2 2 2 3 3" xfId="5582" xr:uid="{00000000-0005-0000-0000-0000D0140000}"/>
    <cellStyle name="Normal 4 4 2 2 2 2 3 3 2" xfId="24207" xr:uid="{5987CF32-88EA-472D-B34F-A118F309E14E}"/>
    <cellStyle name="Normal 4 4 2 2 2 2 3 3 3" xfId="14908" xr:uid="{56CBCC64-2905-418F-89BD-C8DF86B55789}"/>
    <cellStyle name="Normal 4 4 2 2 2 2 3 4" xfId="19990" xr:uid="{B053138E-65DF-43B8-9F46-E13B97827AF3}"/>
    <cellStyle name="Normal 4 4 2 2 2 2 3 5" xfId="10691" xr:uid="{71BEA28B-C473-41F8-8790-C86F465FB0D6}"/>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2 2 2" xfId="26765" xr:uid="{2901B939-E3B9-476C-A3D2-1CE8F7E93998}"/>
    <cellStyle name="Normal 4 4 2 2 2 2 4 2 2 3" xfId="17466" xr:uid="{5D5C66AB-AF90-4EAC-87CE-B71A52D3669B}"/>
    <cellStyle name="Normal 4 4 2 2 2 2 4 2 3" xfId="22548" xr:uid="{CAC27A73-41BF-44A2-9BAF-D5A00FC7757C}"/>
    <cellStyle name="Normal 4 4 2 2 2 2 4 2 4" xfId="13249" xr:uid="{7DD273CE-FEE1-4C11-8156-1A0E475E02BB}"/>
    <cellStyle name="Normal 4 4 2 2 2 2 4 3" xfId="5995" xr:uid="{00000000-0005-0000-0000-0000D4140000}"/>
    <cellStyle name="Normal 4 4 2 2 2 2 4 3 2" xfId="24620" xr:uid="{66F58273-A917-47E1-9A4F-4FA73C6A643F}"/>
    <cellStyle name="Normal 4 4 2 2 2 2 4 3 3" xfId="15321" xr:uid="{B79A6B5F-4ECB-4D09-B07C-4039C8DC2149}"/>
    <cellStyle name="Normal 4 4 2 2 2 2 4 4" xfId="20403" xr:uid="{095FC85B-0F28-4F9B-B4A4-1304CE57A2B9}"/>
    <cellStyle name="Normal 4 4 2 2 2 2 4 5" xfId="11104" xr:uid="{4572E3EF-DAED-4365-943B-AB320527FF52}"/>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2 2 2" xfId="27178" xr:uid="{BD3D8998-230E-4EC9-829F-ABBB7E89827E}"/>
    <cellStyle name="Normal 4 4 2 2 2 2 5 2 2 3" xfId="17879" xr:uid="{E973F804-6B56-4F7B-938B-3621E587583B}"/>
    <cellStyle name="Normal 4 4 2 2 2 2 5 2 3" xfId="22961" xr:uid="{8FE8C015-3EA4-4FBA-AA15-857ED09A4FE0}"/>
    <cellStyle name="Normal 4 4 2 2 2 2 5 2 4" xfId="13662" xr:uid="{1E2B5C53-BBAA-42CA-9C1C-CA11609D320A}"/>
    <cellStyle name="Normal 4 4 2 2 2 2 5 3" xfId="6408" xr:uid="{00000000-0005-0000-0000-0000D8140000}"/>
    <cellStyle name="Normal 4 4 2 2 2 2 5 3 2" xfId="25033" xr:uid="{9FB847BC-60A8-452A-8142-90C40AABD869}"/>
    <cellStyle name="Normal 4 4 2 2 2 2 5 3 3" xfId="15734" xr:uid="{BC8CEE7A-17DB-4174-9553-8FEEFCA04BB8}"/>
    <cellStyle name="Normal 4 4 2 2 2 2 5 4" xfId="20816" xr:uid="{4C430ECA-97C4-4733-9BFF-89C4F94C569E}"/>
    <cellStyle name="Normal 4 4 2 2 2 2 5 5" xfId="11517" xr:uid="{C60953F1-270F-4C00-BF3D-D618F0D91DC6}"/>
    <cellStyle name="Normal 4 4 2 2 2 2 6" xfId="2538" xr:uid="{00000000-0005-0000-0000-0000D9140000}"/>
    <cellStyle name="Normal 4 4 2 2 2 2 6 2" xfId="6821" xr:uid="{00000000-0005-0000-0000-0000DA140000}"/>
    <cellStyle name="Normal 4 4 2 2 2 2 6 2 2" xfId="25446" xr:uid="{BF4E6344-9F2A-4F0D-8D0A-88949036E429}"/>
    <cellStyle name="Normal 4 4 2 2 2 2 6 2 3" xfId="16147" xr:uid="{59934546-1527-44E0-8DAA-6298B38D95E0}"/>
    <cellStyle name="Normal 4 4 2 2 2 2 6 3" xfId="21229" xr:uid="{F2EABE30-164B-48A8-A055-402D52440396}"/>
    <cellStyle name="Normal 4 4 2 2 2 2 6 4" xfId="11930" xr:uid="{61DEB0E8-314A-4817-A59F-739011EEDADA}"/>
    <cellStyle name="Normal 4 4 2 2 2 2 7" xfId="4756" xr:uid="{00000000-0005-0000-0000-0000DB140000}"/>
    <cellStyle name="Normal 4 4 2 2 2 2 7 2" xfId="23381" xr:uid="{864D3871-F78A-4093-A70C-DB17BEF5352F}"/>
    <cellStyle name="Normal 4 4 2 2 2 2 7 3" xfId="14082" xr:uid="{B72B174A-44F4-47CF-94D4-893E6A23E570}"/>
    <cellStyle name="Normal 4 4 2 2 2 2 8" xfId="9134" xr:uid="{B37D4C66-6754-4A5E-BFF7-77694E4355C2}"/>
    <cellStyle name="Normal 4 4 2 2 2 2 8 2" xfId="27757" xr:uid="{8F722913-A72B-4E02-B971-FCADB19810C9}"/>
    <cellStyle name="Normal 4 4 2 2 2 2 8 3" xfId="18458" xr:uid="{46DF2D8D-9159-48E4-97FB-FED2A3563325}"/>
    <cellStyle name="Normal 4 4 2 2 2 2 9" xfId="19164" xr:uid="{F64F6B5C-E38B-4B03-A954-84C373DE0026}"/>
    <cellStyle name="Normal 4 4 2 2 2 3" xfId="856" xr:uid="{00000000-0005-0000-0000-0000DC140000}"/>
    <cellStyle name="Normal 4 4 2 2 2 3 2" xfId="3091" xr:uid="{00000000-0005-0000-0000-0000DD140000}"/>
    <cellStyle name="Normal 4 4 2 2 2 3 2 2" xfId="7313" xr:uid="{00000000-0005-0000-0000-0000DE140000}"/>
    <cellStyle name="Normal 4 4 2 2 2 3 2 2 2" xfId="25938" xr:uid="{6E75B2FD-51FE-4F74-B715-48E23E1CCFAA}"/>
    <cellStyle name="Normal 4 4 2 2 2 3 2 2 3" xfId="16639" xr:uid="{3FC0FCC7-2F20-46B4-8F85-8275EEDB51DD}"/>
    <cellStyle name="Normal 4 4 2 2 2 3 2 3" xfId="21721" xr:uid="{11FB8AF1-1AB8-49E9-B4D1-3F9E008FCA47}"/>
    <cellStyle name="Normal 4 4 2 2 2 3 2 4" xfId="12422" xr:uid="{6E590D33-83EA-4066-BD13-7BF3888394A9}"/>
    <cellStyle name="Normal 4 4 2 2 2 3 3" xfId="5168" xr:uid="{00000000-0005-0000-0000-0000DF140000}"/>
    <cellStyle name="Normal 4 4 2 2 2 3 3 2" xfId="23793" xr:uid="{A22E804A-2395-45A6-ACA4-A2FC4C21FB61}"/>
    <cellStyle name="Normal 4 4 2 2 2 3 3 3" xfId="14494" xr:uid="{25DADB3F-ECD1-472B-AC68-186E3D811147}"/>
    <cellStyle name="Normal 4 4 2 2 2 3 4" xfId="9352" xr:uid="{76F31DA2-44D0-447F-BA9C-6271BA6AAE96}"/>
    <cellStyle name="Normal 4 4 2 2 2 3 4 2" xfId="27966" xr:uid="{BDCC4A69-3221-4F62-97F6-E0BD3832C473}"/>
    <cellStyle name="Normal 4 4 2 2 2 3 4 3" xfId="18667" xr:uid="{13C9EBEA-DD5D-47DE-B93B-ECFB5F6B161E}"/>
    <cellStyle name="Normal 4 4 2 2 2 3 5" xfId="19576" xr:uid="{76C95779-3AC9-42B4-98FD-18160ECB1A33}"/>
    <cellStyle name="Normal 4 4 2 2 2 3 6" xfId="10277" xr:uid="{3369DB12-8776-4F6A-8101-A404388420A1}"/>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2 2 2" xfId="26351" xr:uid="{9A48E93B-6DFE-4F4A-BC99-F77F9D154F6D}"/>
    <cellStyle name="Normal 4 4 2 2 2 4 2 2 3" xfId="17052" xr:uid="{41EDE535-AC97-4A92-B493-C672D97C6748}"/>
    <cellStyle name="Normal 4 4 2 2 2 4 2 3" xfId="22134" xr:uid="{811800D3-94B4-4635-BB61-D16ADA285DE8}"/>
    <cellStyle name="Normal 4 4 2 2 2 4 2 4" xfId="12835" xr:uid="{4847C8D4-1910-4C8F-B9C5-35456D4D8724}"/>
    <cellStyle name="Normal 4 4 2 2 2 4 3" xfId="5581" xr:uid="{00000000-0005-0000-0000-0000E3140000}"/>
    <cellStyle name="Normal 4 4 2 2 2 4 3 2" xfId="24206" xr:uid="{BBE18319-B4AB-43E7-A6E9-7778485A5067}"/>
    <cellStyle name="Normal 4 4 2 2 2 4 3 3" xfId="14907" xr:uid="{BA55DF32-03AC-45D4-A8EC-94FDECB2793A}"/>
    <cellStyle name="Normal 4 4 2 2 2 4 4" xfId="19989" xr:uid="{D70A3B6E-B486-4F01-95C3-EADEE5916B8E}"/>
    <cellStyle name="Normal 4 4 2 2 2 4 5" xfId="10690" xr:uid="{736322DB-E1EE-42AA-912B-FD0DFCB66F0C}"/>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2 2 2" xfId="26764" xr:uid="{FE1A6D70-8E93-46E7-BD32-880DEA137022}"/>
    <cellStyle name="Normal 4 4 2 2 2 5 2 2 3" xfId="17465" xr:uid="{898BB8A0-7731-4E99-8BC6-64264DB8F9A9}"/>
    <cellStyle name="Normal 4 4 2 2 2 5 2 3" xfId="22547" xr:uid="{5AC88195-4FE0-4FE2-A302-8891A4BE1791}"/>
    <cellStyle name="Normal 4 4 2 2 2 5 2 4" xfId="13248" xr:uid="{EFF7BC09-83E7-4BB8-8659-467D8E5D59E0}"/>
    <cellStyle name="Normal 4 4 2 2 2 5 3" xfId="5994" xr:uid="{00000000-0005-0000-0000-0000E7140000}"/>
    <cellStyle name="Normal 4 4 2 2 2 5 3 2" xfId="24619" xr:uid="{E1DF79B7-541B-4617-BA18-0310F2D4E0E7}"/>
    <cellStyle name="Normal 4 4 2 2 2 5 3 3" xfId="15320" xr:uid="{BD400039-F74B-4F3E-A83E-9511BCF7FEBB}"/>
    <cellStyle name="Normal 4 4 2 2 2 5 4" xfId="20402" xr:uid="{29D45EBA-8426-4952-BD68-5B09052EAC80}"/>
    <cellStyle name="Normal 4 4 2 2 2 5 5" xfId="11103" xr:uid="{37971290-03DE-4258-8202-ACE47E52428B}"/>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2 2 2" xfId="27177" xr:uid="{84DC77CD-529C-4952-B1D3-B09FCAEE4E7C}"/>
    <cellStyle name="Normal 4 4 2 2 2 6 2 2 3" xfId="17878" xr:uid="{B4DD7D9B-A736-4C23-B28B-54910802F871}"/>
    <cellStyle name="Normal 4 4 2 2 2 6 2 3" xfId="22960" xr:uid="{E535118F-A88F-4DB2-A504-AE0436FC5A9B}"/>
    <cellStyle name="Normal 4 4 2 2 2 6 2 4" xfId="13661" xr:uid="{C42372A8-E77F-489F-976F-05989F3043C1}"/>
    <cellStyle name="Normal 4 4 2 2 2 6 3" xfId="6407" xr:uid="{00000000-0005-0000-0000-0000EB140000}"/>
    <cellStyle name="Normal 4 4 2 2 2 6 3 2" xfId="25032" xr:uid="{078BF0B2-AF32-40F2-BBA5-6BAEA09D250F}"/>
    <cellStyle name="Normal 4 4 2 2 2 6 3 3" xfId="15733" xr:uid="{77C9005F-35A6-455D-936B-E6F334A5CB42}"/>
    <cellStyle name="Normal 4 4 2 2 2 6 4" xfId="20815" xr:uid="{A43C41F6-3AE4-41B7-AB9C-60E680C3C2CD}"/>
    <cellStyle name="Normal 4 4 2 2 2 6 5" xfId="11516" xr:uid="{880688CC-E4D4-481D-8343-EC44B1C55D49}"/>
    <cellStyle name="Normal 4 4 2 2 2 7" xfId="2537" xr:uid="{00000000-0005-0000-0000-0000EC140000}"/>
    <cellStyle name="Normal 4 4 2 2 2 7 2" xfId="6820" xr:uid="{00000000-0005-0000-0000-0000ED140000}"/>
    <cellStyle name="Normal 4 4 2 2 2 7 2 2" xfId="25445" xr:uid="{58049E3D-6749-4434-98E3-BB70DC566B75}"/>
    <cellStyle name="Normal 4 4 2 2 2 7 2 3" xfId="16146" xr:uid="{9DE039D1-4318-4157-9DE8-A2749EDC85FC}"/>
    <cellStyle name="Normal 4 4 2 2 2 7 3" xfId="21228" xr:uid="{18039981-26D1-4555-875B-06E20A03554F}"/>
    <cellStyle name="Normal 4 4 2 2 2 7 4" xfId="11929" xr:uid="{8D2E56BE-2186-4CE8-93AD-D298D024183E}"/>
    <cellStyle name="Normal 4 4 2 2 2 8" xfId="4755" xr:uid="{00000000-0005-0000-0000-0000EE140000}"/>
    <cellStyle name="Normal 4 4 2 2 2 8 2" xfId="23380" xr:uid="{1426C299-7A22-49CC-A908-192659C111B0}"/>
    <cellStyle name="Normal 4 4 2 2 2 8 3" xfId="14081" xr:uid="{9FDE1A7D-EDE4-4C78-ABFA-24435E3FD1AF}"/>
    <cellStyle name="Normal 4 4 2 2 2 9" xfId="8927" xr:uid="{195B9197-F273-4D3B-B7A6-9CBAA360D528}"/>
    <cellStyle name="Normal 4 4 2 2 2 9 2" xfId="27550" xr:uid="{A2D29D09-2926-4D5D-A751-DF311F11D26B}"/>
    <cellStyle name="Normal 4 4 2 2 2 9 3" xfId="18251" xr:uid="{048F0F8C-065A-47AF-9526-3F863E25C2C6}"/>
    <cellStyle name="Normal 4 4 2 2 3" xfId="383" xr:uid="{00000000-0005-0000-0000-0000EF140000}"/>
    <cellStyle name="Normal 4 4 2 2 3 10" xfId="9866" xr:uid="{DBFE89FD-5330-4789-94AE-592BE84E805E}"/>
    <cellStyle name="Normal 4 4 2 2 3 2" xfId="858" xr:uid="{00000000-0005-0000-0000-0000F0140000}"/>
    <cellStyle name="Normal 4 4 2 2 3 2 2" xfId="3093" xr:uid="{00000000-0005-0000-0000-0000F1140000}"/>
    <cellStyle name="Normal 4 4 2 2 3 2 2 2" xfId="7315" xr:uid="{00000000-0005-0000-0000-0000F2140000}"/>
    <cellStyle name="Normal 4 4 2 2 3 2 2 2 2" xfId="25940" xr:uid="{B2E58F58-A94B-407B-B7E2-A47660F9C99E}"/>
    <cellStyle name="Normal 4 4 2 2 3 2 2 2 3" xfId="16641" xr:uid="{0C87E88B-05C5-45E3-BA8E-4EF4C96A471A}"/>
    <cellStyle name="Normal 4 4 2 2 3 2 2 3" xfId="21723" xr:uid="{6845434B-5377-4480-A545-DD439938AD25}"/>
    <cellStyle name="Normal 4 4 2 2 3 2 2 4" xfId="12424" xr:uid="{C546034D-1F4A-4202-AE5C-99E40484DD4B}"/>
    <cellStyle name="Normal 4 4 2 2 3 2 3" xfId="5170" xr:uid="{00000000-0005-0000-0000-0000F3140000}"/>
    <cellStyle name="Normal 4 4 2 2 3 2 3 2" xfId="23795" xr:uid="{4CE5A32F-2F58-4A37-A21E-42834690C702}"/>
    <cellStyle name="Normal 4 4 2 2 3 2 3 3" xfId="14496" xr:uid="{5E1459FA-DFEB-4AA6-9E12-3CA5516C86F6}"/>
    <cellStyle name="Normal 4 4 2 2 3 2 4" xfId="9456" xr:uid="{7CB0B972-68D8-4A2C-A3A7-1D2BD109E44A}"/>
    <cellStyle name="Normal 4 4 2 2 3 2 4 2" xfId="28070" xr:uid="{C47DB465-326F-49C7-81AB-D686F49ADBA3}"/>
    <cellStyle name="Normal 4 4 2 2 3 2 4 3" xfId="18771" xr:uid="{46CF1F9E-3C84-4FB9-91E6-68CEF9F04641}"/>
    <cellStyle name="Normal 4 4 2 2 3 2 5" xfId="19578" xr:uid="{8441946F-E387-46EC-B7BD-81AEE9E3F568}"/>
    <cellStyle name="Normal 4 4 2 2 3 2 6" xfId="10279" xr:uid="{B3562FFC-BC8B-494A-8131-211A50B00506}"/>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2 2 2" xfId="26353" xr:uid="{9C15DAAE-6EA5-4348-A87E-8DE304D5EE82}"/>
    <cellStyle name="Normal 4 4 2 2 3 3 2 2 3" xfId="17054" xr:uid="{608EA9CB-EB9E-4FCE-9B07-2889EEAEB821}"/>
    <cellStyle name="Normal 4 4 2 2 3 3 2 3" xfId="22136" xr:uid="{F598F7CE-1EB8-428E-ABFC-CE4FCF730715}"/>
    <cellStyle name="Normal 4 4 2 2 3 3 2 4" xfId="12837" xr:uid="{59394DA9-F882-4DBB-BE55-57D706100BD5}"/>
    <cellStyle name="Normal 4 4 2 2 3 3 3" xfId="5583" xr:uid="{00000000-0005-0000-0000-0000F7140000}"/>
    <cellStyle name="Normal 4 4 2 2 3 3 3 2" xfId="24208" xr:uid="{8CF280BE-33CA-47C5-A15D-5DAD0F419648}"/>
    <cellStyle name="Normal 4 4 2 2 3 3 3 3" xfId="14909" xr:uid="{3A312A25-FC4B-4EF2-B4DD-F2CC805BDB4E}"/>
    <cellStyle name="Normal 4 4 2 2 3 3 4" xfId="19991" xr:uid="{F8785680-F74B-4AB7-B437-F98BE8684355}"/>
    <cellStyle name="Normal 4 4 2 2 3 3 5" xfId="10692" xr:uid="{10DCF77A-31B0-40F2-B420-E8C0B5AE3EC7}"/>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2 2 2" xfId="26766" xr:uid="{29B0CE76-1E0A-4263-B446-152049A349A8}"/>
    <cellStyle name="Normal 4 4 2 2 3 4 2 2 3" xfId="17467" xr:uid="{6BB1CFF9-39F8-4483-83D4-757B85C8CA54}"/>
    <cellStyle name="Normal 4 4 2 2 3 4 2 3" xfId="22549" xr:uid="{4E95D778-A5E6-4825-9784-C9B00598D723}"/>
    <cellStyle name="Normal 4 4 2 2 3 4 2 4" xfId="13250" xr:uid="{F5AD916C-36CC-4FE6-8E70-F3519B12BCC2}"/>
    <cellStyle name="Normal 4 4 2 2 3 4 3" xfId="5996" xr:uid="{00000000-0005-0000-0000-0000FB140000}"/>
    <cellStyle name="Normal 4 4 2 2 3 4 3 2" xfId="24621" xr:uid="{20752DBD-37D3-4E4A-8182-005EE13FF339}"/>
    <cellStyle name="Normal 4 4 2 2 3 4 3 3" xfId="15322" xr:uid="{B371E545-E98B-40C2-A338-064879B851EA}"/>
    <cellStyle name="Normal 4 4 2 2 3 4 4" xfId="20404" xr:uid="{9F3D441F-0695-49B9-B6D3-D7EA24BD0F13}"/>
    <cellStyle name="Normal 4 4 2 2 3 4 5" xfId="11105" xr:uid="{4F4E39C4-F01A-4035-A6E3-8E5CB58132EC}"/>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2 2 2" xfId="27179" xr:uid="{7556F641-E68C-48D5-904D-8A3BC061BC7F}"/>
    <cellStyle name="Normal 4 4 2 2 3 5 2 2 3" xfId="17880" xr:uid="{99B35305-9DC1-4249-9E77-0CBBDA2679E2}"/>
    <cellStyle name="Normal 4 4 2 2 3 5 2 3" xfId="22962" xr:uid="{61460591-EE82-4261-B153-CED55B251576}"/>
    <cellStyle name="Normal 4 4 2 2 3 5 2 4" xfId="13663" xr:uid="{F760F0D2-4B87-42C9-B24C-0ABDD435ED84}"/>
    <cellStyle name="Normal 4 4 2 2 3 5 3" xfId="6409" xr:uid="{00000000-0005-0000-0000-0000FF140000}"/>
    <cellStyle name="Normal 4 4 2 2 3 5 3 2" xfId="25034" xr:uid="{F4C72203-8AB6-49F5-B299-F2FD5B393B26}"/>
    <cellStyle name="Normal 4 4 2 2 3 5 3 3" xfId="15735" xr:uid="{22DEC35C-593A-412E-8EEA-944DC8F65EEB}"/>
    <cellStyle name="Normal 4 4 2 2 3 5 4" xfId="20817" xr:uid="{F7A34FB5-A46A-45F0-9745-477B1B3CC1F4}"/>
    <cellStyle name="Normal 4 4 2 2 3 5 5" xfId="11518" xr:uid="{DA19DA8A-4D18-487D-BE5B-38AAB029A76E}"/>
    <cellStyle name="Normal 4 4 2 2 3 6" xfId="2539" xr:uid="{00000000-0005-0000-0000-000000150000}"/>
    <cellStyle name="Normal 4 4 2 2 3 6 2" xfId="6822" xr:uid="{00000000-0005-0000-0000-000001150000}"/>
    <cellStyle name="Normal 4 4 2 2 3 6 2 2" xfId="25447" xr:uid="{F7C13010-D39B-49E2-B3EC-18893A2F8861}"/>
    <cellStyle name="Normal 4 4 2 2 3 6 2 3" xfId="16148" xr:uid="{80F6C442-DA9D-49BD-B80C-A942C46D31B0}"/>
    <cellStyle name="Normal 4 4 2 2 3 6 3" xfId="21230" xr:uid="{2BEA6355-D9C2-486C-9723-8B00BBDC1844}"/>
    <cellStyle name="Normal 4 4 2 2 3 6 4" xfId="11931" xr:uid="{C60B1E6A-64B5-4852-B609-B43E141982C5}"/>
    <cellStyle name="Normal 4 4 2 2 3 7" xfId="4757" xr:uid="{00000000-0005-0000-0000-000002150000}"/>
    <cellStyle name="Normal 4 4 2 2 3 7 2" xfId="23382" xr:uid="{2B6D79ED-AB99-4135-A61E-2A2ACBEA1872}"/>
    <cellStyle name="Normal 4 4 2 2 3 7 3" xfId="14083" xr:uid="{4F301C89-7B72-43D0-BCEE-01F2B8AE62FF}"/>
    <cellStyle name="Normal 4 4 2 2 3 8" xfId="9031" xr:uid="{F1B59444-328A-4279-8A0A-A9F7E26061D5}"/>
    <cellStyle name="Normal 4 4 2 2 3 8 2" xfId="27654" xr:uid="{82C48BB6-E747-4A98-9092-E059157197B9}"/>
    <cellStyle name="Normal 4 4 2 2 3 8 3" xfId="18355" xr:uid="{1276E7FD-1827-46D1-A375-99D2D2AE23C5}"/>
    <cellStyle name="Normal 4 4 2 2 3 9" xfId="19165" xr:uid="{E86DB1D9-483D-44CD-B507-A7E41004C232}"/>
    <cellStyle name="Normal 4 4 2 2 4" xfId="855" xr:uid="{00000000-0005-0000-0000-000003150000}"/>
    <cellStyle name="Normal 4 4 2 2 4 2" xfId="3090" xr:uid="{00000000-0005-0000-0000-000004150000}"/>
    <cellStyle name="Normal 4 4 2 2 4 2 2" xfId="7312" xr:uid="{00000000-0005-0000-0000-000005150000}"/>
    <cellStyle name="Normal 4 4 2 2 4 2 2 2" xfId="25937" xr:uid="{243262C8-E9A5-4790-A6C2-50B304D2A973}"/>
    <cellStyle name="Normal 4 4 2 2 4 2 2 3" xfId="16638" xr:uid="{4E05A588-069C-4C65-88FF-52FFBC9EC0B8}"/>
    <cellStyle name="Normal 4 4 2 2 4 2 3" xfId="21720" xr:uid="{4F1BA9D4-F61D-44E3-83B4-F0685998D189}"/>
    <cellStyle name="Normal 4 4 2 2 4 2 4" xfId="12421" xr:uid="{5CD4B24E-8E7F-4A09-960C-73805CDB4DB1}"/>
    <cellStyle name="Normal 4 4 2 2 4 3" xfId="5167" xr:uid="{00000000-0005-0000-0000-000006150000}"/>
    <cellStyle name="Normal 4 4 2 2 4 3 2" xfId="23792" xr:uid="{35ED746B-0CD5-4F6A-9CA4-C254F7E8A7A1}"/>
    <cellStyle name="Normal 4 4 2 2 4 3 3" xfId="14493" xr:uid="{4E057640-B1EA-463D-93BC-89D6E791D2BD}"/>
    <cellStyle name="Normal 4 4 2 2 4 4" xfId="9249" xr:uid="{7E4CA7C7-738D-4CFA-907A-40590344548A}"/>
    <cellStyle name="Normal 4 4 2 2 4 4 2" xfId="27863" xr:uid="{0390327E-5D1A-4B10-90CB-CC0CFA9A3140}"/>
    <cellStyle name="Normal 4 4 2 2 4 4 3" xfId="18564" xr:uid="{25627689-9E7C-4224-A478-507654FE7A78}"/>
    <cellStyle name="Normal 4 4 2 2 4 5" xfId="19575" xr:uid="{EFCF75BC-9499-448E-8AA7-691F60345963}"/>
    <cellStyle name="Normal 4 4 2 2 4 6" xfId="10276" xr:uid="{4CC77630-F733-4CFE-9800-FBDF0805C8E4}"/>
    <cellStyle name="Normal 4 4 2 2 5" xfId="1273" xr:uid="{00000000-0005-0000-0000-000007150000}"/>
    <cellStyle name="Normal 4 4 2 2 5 2" xfId="3503" xr:uid="{00000000-0005-0000-0000-000008150000}"/>
    <cellStyle name="Normal 4 4 2 2 5 2 2" xfId="7725" xr:uid="{00000000-0005-0000-0000-000009150000}"/>
    <cellStyle name="Normal 4 4 2 2 5 2 2 2" xfId="26350" xr:uid="{19201120-F7F6-41C8-8623-90C3064531D5}"/>
    <cellStyle name="Normal 4 4 2 2 5 2 2 3" xfId="17051" xr:uid="{31BAB5BF-9841-4023-9608-40B49E36BF63}"/>
    <cellStyle name="Normal 4 4 2 2 5 2 3" xfId="22133" xr:uid="{46A85DE6-D912-4093-95CA-C88415EE5BB5}"/>
    <cellStyle name="Normal 4 4 2 2 5 2 4" xfId="12834" xr:uid="{53DEB916-B359-42FD-B5C0-257CC4F7ECCB}"/>
    <cellStyle name="Normal 4 4 2 2 5 3" xfId="5580" xr:uid="{00000000-0005-0000-0000-00000A150000}"/>
    <cellStyle name="Normal 4 4 2 2 5 3 2" xfId="24205" xr:uid="{264AD200-A669-4A94-B0C5-6455073171A4}"/>
    <cellStyle name="Normal 4 4 2 2 5 3 3" xfId="14906" xr:uid="{DB2E2206-07AF-4B06-A86A-2A346F8BE17E}"/>
    <cellStyle name="Normal 4 4 2 2 5 4" xfId="19988" xr:uid="{F23DC0B1-D53A-419D-8DC1-DD76E7AEC68E}"/>
    <cellStyle name="Normal 4 4 2 2 5 5" xfId="10689" xr:uid="{2FCC20F5-0638-449F-917A-DE6CDCDC56F0}"/>
    <cellStyle name="Normal 4 4 2 2 6" xfId="1686" xr:uid="{00000000-0005-0000-0000-00000B150000}"/>
    <cellStyle name="Normal 4 4 2 2 6 2" xfId="3916" xr:uid="{00000000-0005-0000-0000-00000C150000}"/>
    <cellStyle name="Normal 4 4 2 2 6 2 2" xfId="8138" xr:uid="{00000000-0005-0000-0000-00000D150000}"/>
    <cellStyle name="Normal 4 4 2 2 6 2 2 2" xfId="26763" xr:uid="{1DD43201-6434-4AF4-BC6F-990D9503FB11}"/>
    <cellStyle name="Normal 4 4 2 2 6 2 2 3" xfId="17464" xr:uid="{5D675500-A69D-4F01-A3D2-6CE22B5D4AD5}"/>
    <cellStyle name="Normal 4 4 2 2 6 2 3" xfId="22546" xr:uid="{676EA602-5E3F-478C-A9FF-0E49827E3885}"/>
    <cellStyle name="Normal 4 4 2 2 6 2 4" xfId="13247" xr:uid="{BD698808-1673-425D-8E25-E7239AB37E7D}"/>
    <cellStyle name="Normal 4 4 2 2 6 3" xfId="5993" xr:uid="{00000000-0005-0000-0000-00000E150000}"/>
    <cellStyle name="Normal 4 4 2 2 6 3 2" xfId="24618" xr:uid="{64919C51-12A8-4CA4-B87B-F174A479287A}"/>
    <cellStyle name="Normal 4 4 2 2 6 3 3" xfId="15319" xr:uid="{5BFDEE8C-462C-4E89-8514-0B407CF93FF0}"/>
    <cellStyle name="Normal 4 4 2 2 6 4" xfId="20401" xr:uid="{52910A37-8436-49A0-A530-94C4ECFEAD0C}"/>
    <cellStyle name="Normal 4 4 2 2 6 5" xfId="11102" xr:uid="{16D04735-268D-41CC-8726-FE0EB2BC6C74}"/>
    <cellStyle name="Normal 4 4 2 2 7" xfId="2100" xr:uid="{00000000-0005-0000-0000-00000F150000}"/>
    <cellStyle name="Normal 4 4 2 2 7 2" xfId="4329" xr:uid="{00000000-0005-0000-0000-000010150000}"/>
    <cellStyle name="Normal 4 4 2 2 7 2 2" xfId="8551" xr:uid="{00000000-0005-0000-0000-000011150000}"/>
    <cellStyle name="Normal 4 4 2 2 7 2 2 2" xfId="27176" xr:uid="{95E880EB-82A1-4369-94B4-B32480DF7FB9}"/>
    <cellStyle name="Normal 4 4 2 2 7 2 2 3" xfId="17877" xr:uid="{DCEEC8A5-26BC-40D7-AF81-DCE8E55B7D88}"/>
    <cellStyle name="Normal 4 4 2 2 7 2 3" xfId="22959" xr:uid="{86F300B7-FACC-41F2-AFE2-ECE771270327}"/>
    <cellStyle name="Normal 4 4 2 2 7 2 4" xfId="13660" xr:uid="{1E22C71F-9934-4209-971F-44BD607FC08F}"/>
    <cellStyle name="Normal 4 4 2 2 7 3" xfId="6406" xr:uid="{00000000-0005-0000-0000-000012150000}"/>
    <cellStyle name="Normal 4 4 2 2 7 3 2" xfId="25031" xr:uid="{24D04445-FA4C-4B99-B1EA-52D946DC1D03}"/>
    <cellStyle name="Normal 4 4 2 2 7 3 3" xfId="15732" xr:uid="{F3C27762-AFE3-4A09-AC9E-879E98664477}"/>
    <cellStyle name="Normal 4 4 2 2 7 4" xfId="20814" xr:uid="{8538E157-789C-451B-8771-871A04ECD99F}"/>
    <cellStyle name="Normal 4 4 2 2 7 5" xfId="11515" xr:uid="{2544859B-6375-4ACF-AA16-13FF3FC0FB7F}"/>
    <cellStyle name="Normal 4 4 2 2 8" xfId="2536" xr:uid="{00000000-0005-0000-0000-000013150000}"/>
    <cellStyle name="Normal 4 4 2 2 8 2" xfId="6819" xr:uid="{00000000-0005-0000-0000-000014150000}"/>
    <cellStyle name="Normal 4 4 2 2 8 2 2" xfId="25444" xr:uid="{0B942FC6-6D10-4513-84A0-5A91277E75BC}"/>
    <cellStyle name="Normal 4 4 2 2 8 2 3" xfId="16145" xr:uid="{13B407F2-4345-40A7-B13A-163709579F64}"/>
    <cellStyle name="Normal 4 4 2 2 8 3" xfId="21227" xr:uid="{D0AA9EE0-470E-4A88-B887-C994D0706FDD}"/>
    <cellStyle name="Normal 4 4 2 2 8 4" xfId="11928" xr:uid="{2AAFC6BC-4C01-4F17-90D2-090F84E5C251}"/>
    <cellStyle name="Normal 4 4 2 2 9" xfId="4754" xr:uid="{00000000-0005-0000-0000-000015150000}"/>
    <cellStyle name="Normal 4 4 2 2 9 2" xfId="23379" xr:uid="{A6D8309A-494E-4663-BE0D-C4D273500F09}"/>
    <cellStyle name="Normal 4 4 2 2 9 3" xfId="14080" xr:uid="{50082AB1-017C-4B89-9297-E87A83060FB2}"/>
    <cellStyle name="Normal 4 4 2 3" xfId="384" xr:uid="{00000000-0005-0000-0000-000016150000}"/>
    <cellStyle name="Normal 4 4 2 3 10" xfId="19166" xr:uid="{58DD3763-B1D7-4CEC-B7D1-ECCBCE4A3C10}"/>
    <cellStyle name="Normal 4 4 2 3 11" xfId="9867" xr:uid="{8932213D-232B-438E-BE1E-D299BFEA2BD3}"/>
    <cellStyle name="Normal 4 4 2 3 2" xfId="385" xr:uid="{00000000-0005-0000-0000-000017150000}"/>
    <cellStyle name="Normal 4 4 2 3 2 10" xfId="9868" xr:uid="{6FD5006C-5F5B-4E46-9E3F-C4C7BA34678E}"/>
    <cellStyle name="Normal 4 4 2 3 2 2" xfId="860" xr:uid="{00000000-0005-0000-0000-000018150000}"/>
    <cellStyle name="Normal 4 4 2 3 2 2 2" xfId="3095" xr:uid="{00000000-0005-0000-0000-000019150000}"/>
    <cellStyle name="Normal 4 4 2 3 2 2 2 2" xfId="7317" xr:uid="{00000000-0005-0000-0000-00001A150000}"/>
    <cellStyle name="Normal 4 4 2 3 2 2 2 2 2" xfId="25942" xr:uid="{D56BDF90-8B45-4F29-A30B-A2BC0AEC63EC}"/>
    <cellStyle name="Normal 4 4 2 3 2 2 2 2 3" xfId="16643" xr:uid="{50FAB4B3-3580-46DB-85DC-783BA0E3A288}"/>
    <cellStyle name="Normal 4 4 2 3 2 2 2 3" xfId="21725" xr:uid="{84972D4D-28FD-4F30-80C0-6C3F61B22A66}"/>
    <cellStyle name="Normal 4 4 2 3 2 2 2 4" xfId="12426" xr:uid="{BA500C9B-8D01-4387-B0CD-FC001D085805}"/>
    <cellStyle name="Normal 4 4 2 3 2 2 3" xfId="5172" xr:uid="{00000000-0005-0000-0000-00001B150000}"/>
    <cellStyle name="Normal 4 4 2 3 2 2 3 2" xfId="23797" xr:uid="{4952D50C-5A45-43F9-8D30-163214526877}"/>
    <cellStyle name="Normal 4 4 2 3 2 2 3 3" xfId="14498" xr:uid="{57F63B0E-20E3-444B-B08C-EF29570A6E28}"/>
    <cellStyle name="Normal 4 4 2 3 2 2 4" xfId="9516" xr:uid="{93008D3B-5827-4778-B167-5B518B5BF56F}"/>
    <cellStyle name="Normal 4 4 2 3 2 2 4 2" xfId="28130" xr:uid="{B88504D8-ABA8-4695-B885-B906B4C51386}"/>
    <cellStyle name="Normal 4 4 2 3 2 2 4 3" xfId="18831" xr:uid="{9344736E-C868-4636-A1D5-2E480F350871}"/>
    <cellStyle name="Normal 4 4 2 3 2 2 5" xfId="19580" xr:uid="{779DF7D2-86EB-42D4-8252-1EDA4237242F}"/>
    <cellStyle name="Normal 4 4 2 3 2 2 6" xfId="10281" xr:uid="{BB9B3943-475A-4879-A120-7159E68A55DA}"/>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2 2 2" xfId="26355" xr:uid="{FA90D447-0C45-4546-A0A6-530E12C17333}"/>
    <cellStyle name="Normal 4 4 2 3 2 3 2 2 3" xfId="17056" xr:uid="{2CDBF116-7A83-48EF-A4F5-A353B1042A78}"/>
    <cellStyle name="Normal 4 4 2 3 2 3 2 3" xfId="22138" xr:uid="{5443D579-E3F4-40CE-8A2D-A6D509482779}"/>
    <cellStyle name="Normal 4 4 2 3 2 3 2 4" xfId="12839" xr:uid="{D902781C-2A12-48DA-AD7F-F525641EFC80}"/>
    <cellStyle name="Normal 4 4 2 3 2 3 3" xfId="5585" xr:uid="{00000000-0005-0000-0000-00001F150000}"/>
    <cellStyle name="Normal 4 4 2 3 2 3 3 2" xfId="24210" xr:uid="{976E146A-4C30-4FB2-8367-6BB1EB97DC42}"/>
    <cellStyle name="Normal 4 4 2 3 2 3 3 3" xfId="14911" xr:uid="{45743D86-FED0-4054-8E3D-D2F914B1F097}"/>
    <cellStyle name="Normal 4 4 2 3 2 3 4" xfId="19993" xr:uid="{EB0AD1FB-23FB-4783-8752-55E69679ACF7}"/>
    <cellStyle name="Normal 4 4 2 3 2 3 5" xfId="10694" xr:uid="{29ED0CD6-015D-4275-B2F7-03B55B5BBE8A}"/>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2 2 2" xfId="26768" xr:uid="{2EC29848-BE50-4DD9-8809-16534389B0C3}"/>
    <cellStyle name="Normal 4 4 2 3 2 4 2 2 3" xfId="17469" xr:uid="{D8E8AB96-567D-4414-A689-00173908106E}"/>
    <cellStyle name="Normal 4 4 2 3 2 4 2 3" xfId="22551" xr:uid="{DE9CFC5E-8DB4-45C6-89EC-9C871889234F}"/>
    <cellStyle name="Normal 4 4 2 3 2 4 2 4" xfId="13252" xr:uid="{8D7C39D4-F58D-4560-B4C3-5BB59F60FC92}"/>
    <cellStyle name="Normal 4 4 2 3 2 4 3" xfId="5998" xr:uid="{00000000-0005-0000-0000-000023150000}"/>
    <cellStyle name="Normal 4 4 2 3 2 4 3 2" xfId="24623" xr:uid="{AF2C2C4A-2F58-405F-9FAA-7C19B18F1777}"/>
    <cellStyle name="Normal 4 4 2 3 2 4 3 3" xfId="15324" xr:uid="{95FF9CE1-7C91-49F6-B706-BF59CCC5B557}"/>
    <cellStyle name="Normal 4 4 2 3 2 4 4" xfId="20406" xr:uid="{A1949603-F132-4029-B9D9-3932A8ECBFE7}"/>
    <cellStyle name="Normal 4 4 2 3 2 4 5" xfId="11107" xr:uid="{D36CFAC6-7184-4AC1-B117-8782EBEBBC77}"/>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2 2 2" xfId="27181" xr:uid="{5E68E9A3-D642-4423-AA80-EC16A6142244}"/>
    <cellStyle name="Normal 4 4 2 3 2 5 2 2 3" xfId="17882" xr:uid="{8AB42674-B1AB-4203-9B4F-D826FE38221A}"/>
    <cellStyle name="Normal 4 4 2 3 2 5 2 3" xfId="22964" xr:uid="{07F6DB9E-85DB-4E33-A4FD-C8D7684675A1}"/>
    <cellStyle name="Normal 4 4 2 3 2 5 2 4" xfId="13665" xr:uid="{C7AE7083-33C3-4D78-B1CA-BE1784F1AD11}"/>
    <cellStyle name="Normal 4 4 2 3 2 5 3" xfId="6411" xr:uid="{00000000-0005-0000-0000-000027150000}"/>
    <cellStyle name="Normal 4 4 2 3 2 5 3 2" xfId="25036" xr:uid="{CDD73CAD-AFD2-4B84-9092-9C5A4CBD4A30}"/>
    <cellStyle name="Normal 4 4 2 3 2 5 3 3" xfId="15737" xr:uid="{A04041D3-9C14-44DA-8CE3-7C25A1A9589A}"/>
    <cellStyle name="Normal 4 4 2 3 2 5 4" xfId="20819" xr:uid="{84A6D185-763F-492F-8429-D93082FB928C}"/>
    <cellStyle name="Normal 4 4 2 3 2 5 5" xfId="11520" xr:uid="{B0AE6598-6134-4094-A3B5-43BDBE13BE4C}"/>
    <cellStyle name="Normal 4 4 2 3 2 6" xfId="2541" xr:uid="{00000000-0005-0000-0000-000028150000}"/>
    <cellStyle name="Normal 4 4 2 3 2 6 2" xfId="6824" xr:uid="{00000000-0005-0000-0000-000029150000}"/>
    <cellStyle name="Normal 4 4 2 3 2 6 2 2" xfId="25449" xr:uid="{E4D2E8DD-C5F2-4BA3-947D-7DADC0C150D7}"/>
    <cellStyle name="Normal 4 4 2 3 2 6 2 3" xfId="16150" xr:uid="{6F6A0860-4CD4-43E5-8D83-8128C68E4155}"/>
    <cellStyle name="Normal 4 4 2 3 2 6 3" xfId="21232" xr:uid="{9D98165D-26FB-4B2F-821D-BFCF00F92289}"/>
    <cellStyle name="Normal 4 4 2 3 2 6 4" xfId="11933" xr:uid="{4F60BB5B-1605-49A6-BE5E-4860805C4307}"/>
    <cellStyle name="Normal 4 4 2 3 2 7" xfId="4759" xr:uid="{00000000-0005-0000-0000-00002A150000}"/>
    <cellStyle name="Normal 4 4 2 3 2 7 2" xfId="23384" xr:uid="{1739B392-CE1B-4322-A7BF-C27FC07EE117}"/>
    <cellStyle name="Normal 4 4 2 3 2 7 3" xfId="14085" xr:uid="{76C098D1-9500-4DB0-8D30-A44C3FECFD57}"/>
    <cellStyle name="Normal 4 4 2 3 2 8" xfId="9091" xr:uid="{9DBAED0A-05EE-4674-B1B7-8D03DBB53301}"/>
    <cellStyle name="Normal 4 4 2 3 2 8 2" xfId="27714" xr:uid="{5F2A9B0F-FD08-43B3-AF1F-4989E544FC60}"/>
    <cellStyle name="Normal 4 4 2 3 2 8 3" xfId="18415" xr:uid="{587DD541-FFF5-4DE3-AA92-7AA398798234}"/>
    <cellStyle name="Normal 4 4 2 3 2 9" xfId="19167" xr:uid="{AE3761DE-509A-4BC8-822E-D8F435734A42}"/>
    <cellStyle name="Normal 4 4 2 3 3" xfId="859" xr:uid="{00000000-0005-0000-0000-00002B150000}"/>
    <cellStyle name="Normal 4 4 2 3 3 2" xfId="3094" xr:uid="{00000000-0005-0000-0000-00002C150000}"/>
    <cellStyle name="Normal 4 4 2 3 3 2 2" xfId="7316" xr:uid="{00000000-0005-0000-0000-00002D150000}"/>
    <cellStyle name="Normal 4 4 2 3 3 2 2 2" xfId="25941" xr:uid="{CE8BBA75-9033-48A8-B6B1-174907E4CD03}"/>
    <cellStyle name="Normal 4 4 2 3 3 2 2 3" xfId="16642" xr:uid="{0F736281-0A61-4C73-9FFE-981FA856A281}"/>
    <cellStyle name="Normal 4 4 2 3 3 2 3" xfId="21724" xr:uid="{7806EF58-AAAF-41C0-A21A-2C56201C147B}"/>
    <cellStyle name="Normal 4 4 2 3 3 2 4" xfId="12425" xr:uid="{29D8F97A-FF0F-468B-B05F-9EE500F2F696}"/>
    <cellStyle name="Normal 4 4 2 3 3 3" xfId="5171" xr:uid="{00000000-0005-0000-0000-00002E150000}"/>
    <cellStyle name="Normal 4 4 2 3 3 3 2" xfId="23796" xr:uid="{9B26BBF3-3C47-4B78-9887-F4B739EC64DF}"/>
    <cellStyle name="Normal 4 4 2 3 3 3 3" xfId="14497" xr:uid="{EF3D65CD-A937-4206-808F-335E9C940792}"/>
    <cellStyle name="Normal 4 4 2 3 3 4" xfId="9309" xr:uid="{73E912F6-92AF-449E-AE53-1DEDEF686C0F}"/>
    <cellStyle name="Normal 4 4 2 3 3 4 2" xfId="27923" xr:uid="{4BACEEB3-16C1-4F42-B966-311EBD55E4DF}"/>
    <cellStyle name="Normal 4 4 2 3 3 4 3" xfId="18624" xr:uid="{2AFAB239-9798-44A7-96DD-A95F2D02820B}"/>
    <cellStyle name="Normal 4 4 2 3 3 5" xfId="19579" xr:uid="{E4014F93-7D44-4937-BF28-50691AF52652}"/>
    <cellStyle name="Normal 4 4 2 3 3 6" xfId="10280" xr:uid="{42CEE84E-4DBB-4BB6-8C38-0774779685D8}"/>
    <cellStyle name="Normal 4 4 2 3 4" xfId="1277" xr:uid="{00000000-0005-0000-0000-00002F150000}"/>
    <cellStyle name="Normal 4 4 2 3 4 2" xfId="3507" xr:uid="{00000000-0005-0000-0000-000030150000}"/>
    <cellStyle name="Normal 4 4 2 3 4 2 2" xfId="7729" xr:uid="{00000000-0005-0000-0000-000031150000}"/>
    <cellStyle name="Normal 4 4 2 3 4 2 2 2" xfId="26354" xr:uid="{92991A51-B594-4628-A747-6393C7FEA996}"/>
    <cellStyle name="Normal 4 4 2 3 4 2 2 3" xfId="17055" xr:uid="{47BC6D61-58DC-494F-84C9-1F183643E1EB}"/>
    <cellStyle name="Normal 4 4 2 3 4 2 3" xfId="22137" xr:uid="{E42810B8-98E9-4B59-9474-835741D5AFE6}"/>
    <cellStyle name="Normal 4 4 2 3 4 2 4" xfId="12838" xr:uid="{BA08E8B6-95D5-455D-BEA9-1FDF1EF10D7C}"/>
    <cellStyle name="Normal 4 4 2 3 4 3" xfId="5584" xr:uid="{00000000-0005-0000-0000-000032150000}"/>
    <cellStyle name="Normal 4 4 2 3 4 3 2" xfId="24209" xr:uid="{C486D976-8190-43D7-8438-D204FBBB7EFD}"/>
    <cellStyle name="Normal 4 4 2 3 4 3 3" xfId="14910" xr:uid="{A426610A-8323-423E-95BF-86E054AF0381}"/>
    <cellStyle name="Normal 4 4 2 3 4 4" xfId="19992" xr:uid="{4389C646-E2E5-4722-B91C-87780EBCEBED}"/>
    <cellStyle name="Normal 4 4 2 3 4 5" xfId="10693" xr:uid="{434CA2CB-02EF-4314-BC73-9148A841B333}"/>
    <cellStyle name="Normal 4 4 2 3 5" xfId="1690" xr:uid="{00000000-0005-0000-0000-000033150000}"/>
    <cellStyle name="Normal 4 4 2 3 5 2" xfId="3920" xr:uid="{00000000-0005-0000-0000-000034150000}"/>
    <cellStyle name="Normal 4 4 2 3 5 2 2" xfId="8142" xr:uid="{00000000-0005-0000-0000-000035150000}"/>
    <cellStyle name="Normal 4 4 2 3 5 2 2 2" xfId="26767" xr:uid="{B127EC70-D165-4FBD-AC1B-C0B495C470E2}"/>
    <cellStyle name="Normal 4 4 2 3 5 2 2 3" xfId="17468" xr:uid="{B99168F1-799C-4B36-AF5E-1169F4D7713D}"/>
    <cellStyle name="Normal 4 4 2 3 5 2 3" xfId="22550" xr:uid="{862F89CD-C8F2-4EEB-9227-CF6DADC6060E}"/>
    <cellStyle name="Normal 4 4 2 3 5 2 4" xfId="13251" xr:uid="{AA9E9989-DADF-41A9-A3C1-2D7738E843F1}"/>
    <cellStyle name="Normal 4 4 2 3 5 3" xfId="5997" xr:uid="{00000000-0005-0000-0000-000036150000}"/>
    <cellStyle name="Normal 4 4 2 3 5 3 2" xfId="24622" xr:uid="{4AAB15D2-B5B8-49C1-9ECA-D3A5D1E0572B}"/>
    <cellStyle name="Normal 4 4 2 3 5 3 3" xfId="15323" xr:uid="{9BEDBFE8-014A-4EAC-8C61-35178E8848B2}"/>
    <cellStyle name="Normal 4 4 2 3 5 4" xfId="20405" xr:uid="{F53AAE32-A32E-4F3B-937F-CAE8E13B8B92}"/>
    <cellStyle name="Normal 4 4 2 3 5 5" xfId="11106" xr:uid="{41D095EA-89B5-44DB-86B6-3998DFB9543A}"/>
    <cellStyle name="Normal 4 4 2 3 6" xfId="2104" xr:uid="{00000000-0005-0000-0000-000037150000}"/>
    <cellStyle name="Normal 4 4 2 3 6 2" xfId="4333" xr:uid="{00000000-0005-0000-0000-000038150000}"/>
    <cellStyle name="Normal 4 4 2 3 6 2 2" xfId="8555" xr:uid="{00000000-0005-0000-0000-000039150000}"/>
    <cellStyle name="Normal 4 4 2 3 6 2 2 2" xfId="27180" xr:uid="{2C42ADEA-5025-46CA-885F-1DCEA2B990FE}"/>
    <cellStyle name="Normal 4 4 2 3 6 2 2 3" xfId="17881" xr:uid="{BC6372A6-BF38-4E98-83D0-7ED9EA6C3D7E}"/>
    <cellStyle name="Normal 4 4 2 3 6 2 3" xfId="22963" xr:uid="{A5BFE009-E007-4BDF-9264-05E7834A682B}"/>
    <cellStyle name="Normal 4 4 2 3 6 2 4" xfId="13664" xr:uid="{BCB97AB0-C0E8-4FBA-B0D7-D518DA7D3F0F}"/>
    <cellStyle name="Normal 4 4 2 3 6 3" xfId="6410" xr:uid="{00000000-0005-0000-0000-00003A150000}"/>
    <cellStyle name="Normal 4 4 2 3 6 3 2" xfId="25035" xr:uid="{3ADD1912-2742-42D4-82DA-E6D21C730771}"/>
    <cellStyle name="Normal 4 4 2 3 6 3 3" xfId="15736" xr:uid="{4477D621-704B-42B8-852F-60B45826A351}"/>
    <cellStyle name="Normal 4 4 2 3 6 4" xfId="20818" xr:uid="{0812F567-EAB5-4A9E-9B84-889A24CC039B}"/>
    <cellStyle name="Normal 4 4 2 3 6 5" xfId="11519" xr:uid="{CAA38569-83C9-4266-80C2-6204885C7CE5}"/>
    <cellStyle name="Normal 4 4 2 3 7" xfId="2540" xr:uid="{00000000-0005-0000-0000-00003B150000}"/>
    <cellStyle name="Normal 4 4 2 3 7 2" xfId="6823" xr:uid="{00000000-0005-0000-0000-00003C150000}"/>
    <cellStyle name="Normal 4 4 2 3 7 2 2" xfId="25448" xr:uid="{93A60808-9489-474D-9D79-30E2F3C4E4D7}"/>
    <cellStyle name="Normal 4 4 2 3 7 2 3" xfId="16149" xr:uid="{3E12B2DD-AC83-4391-B3E3-40254CADC9C7}"/>
    <cellStyle name="Normal 4 4 2 3 7 3" xfId="21231" xr:uid="{99F2CB63-3E73-4094-8A39-E4B4040D8C86}"/>
    <cellStyle name="Normal 4 4 2 3 7 4" xfId="11932" xr:uid="{DF391E6D-B488-4450-8EAA-E1F3F7D4F618}"/>
    <cellStyle name="Normal 4 4 2 3 8" xfId="4758" xr:uid="{00000000-0005-0000-0000-00003D150000}"/>
    <cellStyle name="Normal 4 4 2 3 8 2" xfId="23383" xr:uid="{F6842283-0B73-4851-8112-8A2634EC3070}"/>
    <cellStyle name="Normal 4 4 2 3 8 3" xfId="14084" xr:uid="{2C819C36-9BEE-420F-B4A6-E9C7D204DB73}"/>
    <cellStyle name="Normal 4 4 2 3 9" xfId="8884" xr:uid="{CBA8CCC0-D2E2-46C8-AC83-39734599F615}"/>
    <cellStyle name="Normal 4 4 2 3 9 2" xfId="27507" xr:uid="{D9B09157-C59C-4144-AC0B-ECE8C4CF6970}"/>
    <cellStyle name="Normal 4 4 2 3 9 3" xfId="18208" xr:uid="{D125DAA9-A7AE-4C6E-AEB0-C6E446A784BE}"/>
    <cellStyle name="Normal 4 4 2 4" xfId="386" xr:uid="{00000000-0005-0000-0000-00003E150000}"/>
    <cellStyle name="Normal 4 4 2 4 10" xfId="9869" xr:uid="{001B4F7C-A0B1-4883-9AD3-CC166BC07DCF}"/>
    <cellStyle name="Normal 4 4 2 4 2" xfId="861" xr:uid="{00000000-0005-0000-0000-00003F150000}"/>
    <cellStyle name="Normal 4 4 2 4 2 2" xfId="3096" xr:uid="{00000000-0005-0000-0000-000040150000}"/>
    <cellStyle name="Normal 4 4 2 4 2 2 2" xfId="7318" xr:uid="{00000000-0005-0000-0000-000041150000}"/>
    <cellStyle name="Normal 4 4 2 4 2 2 2 2" xfId="25943" xr:uid="{1BB44858-B87A-4ED8-8563-F98631330C92}"/>
    <cellStyle name="Normal 4 4 2 4 2 2 2 3" xfId="16644" xr:uid="{2A552B43-1F63-4795-98CA-C1533F813F88}"/>
    <cellStyle name="Normal 4 4 2 4 2 2 3" xfId="21726" xr:uid="{FD148B55-2D97-480E-AF63-AC2EE39B72C5}"/>
    <cellStyle name="Normal 4 4 2 4 2 2 4" xfId="12427" xr:uid="{357CF19F-B209-4B79-BCED-96CAF192E7C6}"/>
    <cellStyle name="Normal 4 4 2 4 2 3" xfId="5173" xr:uid="{00000000-0005-0000-0000-000042150000}"/>
    <cellStyle name="Normal 4 4 2 4 2 3 2" xfId="23798" xr:uid="{45FB6644-2426-4D9A-BB9E-F39F392D6493}"/>
    <cellStyle name="Normal 4 4 2 4 2 3 3" xfId="14499" xr:uid="{F471AF7B-B0D4-443F-A162-D3A1F0652A18}"/>
    <cellStyle name="Normal 4 4 2 4 2 4" xfId="9413" xr:uid="{4DC092EA-7C69-4E02-9FE8-33F62D070F54}"/>
    <cellStyle name="Normal 4 4 2 4 2 4 2" xfId="28027" xr:uid="{991017BE-9EA5-4BC2-B444-1D87D9BA603F}"/>
    <cellStyle name="Normal 4 4 2 4 2 4 3" xfId="18728" xr:uid="{232CC12C-2D3B-41CC-9A39-0070E8213386}"/>
    <cellStyle name="Normal 4 4 2 4 2 5" xfId="19581" xr:uid="{31A2193D-5FAD-4D52-BECF-38D81521447D}"/>
    <cellStyle name="Normal 4 4 2 4 2 6" xfId="10282" xr:uid="{70506BAB-B84E-4F6E-8F7D-1C4DC30EFD63}"/>
    <cellStyle name="Normal 4 4 2 4 3" xfId="1279" xr:uid="{00000000-0005-0000-0000-000043150000}"/>
    <cellStyle name="Normal 4 4 2 4 3 2" xfId="3509" xr:uid="{00000000-0005-0000-0000-000044150000}"/>
    <cellStyle name="Normal 4 4 2 4 3 2 2" xfId="7731" xr:uid="{00000000-0005-0000-0000-000045150000}"/>
    <cellStyle name="Normal 4 4 2 4 3 2 2 2" xfId="26356" xr:uid="{4BFC6308-7BFC-4852-BB0D-943CAF62D796}"/>
    <cellStyle name="Normal 4 4 2 4 3 2 2 3" xfId="17057" xr:uid="{BD920315-2C82-4FBE-94A5-030107520B5D}"/>
    <cellStyle name="Normal 4 4 2 4 3 2 3" xfId="22139" xr:uid="{8329C541-4D56-4491-ABEA-4058B6CFCD65}"/>
    <cellStyle name="Normal 4 4 2 4 3 2 4" xfId="12840" xr:uid="{74B81D56-F549-4847-875F-EBFD5CF37034}"/>
    <cellStyle name="Normal 4 4 2 4 3 3" xfId="5586" xr:uid="{00000000-0005-0000-0000-000046150000}"/>
    <cellStyle name="Normal 4 4 2 4 3 3 2" xfId="24211" xr:uid="{04463A21-DA2D-4A2A-8FE0-3632E2C50CD0}"/>
    <cellStyle name="Normal 4 4 2 4 3 3 3" xfId="14912" xr:uid="{6B82AAC2-3504-45F3-929D-7F463AE82FB9}"/>
    <cellStyle name="Normal 4 4 2 4 3 4" xfId="19994" xr:uid="{8F19680A-4E2A-49B9-B8A6-441ACF60B7BE}"/>
    <cellStyle name="Normal 4 4 2 4 3 5" xfId="10695" xr:uid="{4DC4C381-C024-41C9-AECE-A79A428B2B3B}"/>
    <cellStyle name="Normal 4 4 2 4 4" xfId="1692" xr:uid="{00000000-0005-0000-0000-000047150000}"/>
    <cellStyle name="Normal 4 4 2 4 4 2" xfId="3922" xr:uid="{00000000-0005-0000-0000-000048150000}"/>
    <cellStyle name="Normal 4 4 2 4 4 2 2" xfId="8144" xr:uid="{00000000-0005-0000-0000-000049150000}"/>
    <cellStyle name="Normal 4 4 2 4 4 2 2 2" xfId="26769" xr:uid="{605D7010-15BE-4D3A-815B-DB063B8A1546}"/>
    <cellStyle name="Normal 4 4 2 4 4 2 2 3" xfId="17470" xr:uid="{751796BC-48E6-46FA-9BCF-F3B7F06D100A}"/>
    <cellStyle name="Normal 4 4 2 4 4 2 3" xfId="22552" xr:uid="{97A2333E-E335-4CF6-B466-42C2E120082F}"/>
    <cellStyle name="Normal 4 4 2 4 4 2 4" xfId="13253" xr:uid="{AE7CB259-BDC4-4820-8AEA-2AA42372C086}"/>
    <cellStyle name="Normal 4 4 2 4 4 3" xfId="5999" xr:uid="{00000000-0005-0000-0000-00004A150000}"/>
    <cellStyle name="Normal 4 4 2 4 4 3 2" xfId="24624" xr:uid="{B2BB32FA-5240-4651-8F43-227B506E0D27}"/>
    <cellStyle name="Normal 4 4 2 4 4 3 3" xfId="15325" xr:uid="{779661F8-9B62-4C69-8B3F-5DA31E827090}"/>
    <cellStyle name="Normal 4 4 2 4 4 4" xfId="20407" xr:uid="{C0B67C09-309B-438A-BA0E-10C8FED93776}"/>
    <cellStyle name="Normal 4 4 2 4 4 5" xfId="11108" xr:uid="{559E6D2E-6A02-421E-90DD-F4205B1AE547}"/>
    <cellStyle name="Normal 4 4 2 4 5" xfId="2106" xr:uid="{00000000-0005-0000-0000-00004B150000}"/>
    <cellStyle name="Normal 4 4 2 4 5 2" xfId="4335" xr:uid="{00000000-0005-0000-0000-00004C150000}"/>
    <cellStyle name="Normal 4 4 2 4 5 2 2" xfId="8557" xr:uid="{00000000-0005-0000-0000-00004D150000}"/>
    <cellStyle name="Normal 4 4 2 4 5 2 2 2" xfId="27182" xr:uid="{60C7973B-4CFB-4D7F-B43A-1AFC2E3C9035}"/>
    <cellStyle name="Normal 4 4 2 4 5 2 2 3" xfId="17883" xr:uid="{920E4108-6806-4B05-AB9B-2B60F1A5F3BD}"/>
    <cellStyle name="Normal 4 4 2 4 5 2 3" xfId="22965" xr:uid="{535F6D11-798C-4736-A0B4-564F35DC3E8C}"/>
    <cellStyle name="Normal 4 4 2 4 5 2 4" xfId="13666" xr:uid="{91353904-1299-448F-9998-14B1A663A611}"/>
    <cellStyle name="Normal 4 4 2 4 5 3" xfId="6412" xr:uid="{00000000-0005-0000-0000-00004E150000}"/>
    <cellStyle name="Normal 4 4 2 4 5 3 2" xfId="25037" xr:uid="{A1D425B1-7D02-45BB-B2CD-AF8AA0641A32}"/>
    <cellStyle name="Normal 4 4 2 4 5 3 3" xfId="15738" xr:uid="{48AE6B7F-4FBD-483E-A93A-CB0AEDBC01CB}"/>
    <cellStyle name="Normal 4 4 2 4 5 4" xfId="20820" xr:uid="{626D65BC-5AB2-4B68-B924-347D44F8CA03}"/>
    <cellStyle name="Normal 4 4 2 4 5 5" xfId="11521" xr:uid="{F171B907-FD9C-44B7-8B71-5760AA8B1EDF}"/>
    <cellStyle name="Normal 4 4 2 4 6" xfId="2542" xr:uid="{00000000-0005-0000-0000-00004F150000}"/>
    <cellStyle name="Normal 4 4 2 4 6 2" xfId="6825" xr:uid="{00000000-0005-0000-0000-000050150000}"/>
    <cellStyle name="Normal 4 4 2 4 6 2 2" xfId="25450" xr:uid="{89D18539-A016-4EDC-9883-5FC238985F42}"/>
    <cellStyle name="Normal 4 4 2 4 6 2 3" xfId="16151" xr:uid="{7E012FF0-7D51-4A53-9C0E-5F5B378AECAB}"/>
    <cellStyle name="Normal 4 4 2 4 6 3" xfId="21233" xr:uid="{B3206A6A-DE29-46A7-925D-E7EDB6A4AB51}"/>
    <cellStyle name="Normal 4 4 2 4 6 4" xfId="11934" xr:uid="{DB89517A-3C98-4D38-A6A3-75705EE0D291}"/>
    <cellStyle name="Normal 4 4 2 4 7" xfId="4760" xr:uid="{00000000-0005-0000-0000-000051150000}"/>
    <cellStyle name="Normal 4 4 2 4 7 2" xfId="23385" xr:uid="{C11F0EEA-BEAC-498D-BFAA-66C8E77CE5B1}"/>
    <cellStyle name="Normal 4 4 2 4 7 3" xfId="14086" xr:uid="{85177BF5-BB54-4448-BECE-A5AC76E22AAA}"/>
    <cellStyle name="Normal 4 4 2 4 8" xfId="8988" xr:uid="{F852E7B0-7ACD-4401-B3B6-BE989A5C8AD5}"/>
    <cellStyle name="Normal 4 4 2 4 8 2" xfId="27611" xr:uid="{680FC1B4-ADC4-4FB8-9D0E-3D7C482E5843}"/>
    <cellStyle name="Normal 4 4 2 4 8 3" xfId="18312" xr:uid="{63127188-F4D6-4EB9-8CC6-0566374B0DE6}"/>
    <cellStyle name="Normal 4 4 2 4 9" xfId="19168" xr:uid="{E9DB48B0-E6DE-43B8-8444-6DBD7DF050F8}"/>
    <cellStyle name="Normal 4 4 2 5" xfId="854" xr:uid="{00000000-0005-0000-0000-000052150000}"/>
    <cellStyle name="Normal 4 4 2 5 2" xfId="3089" xr:uid="{00000000-0005-0000-0000-000053150000}"/>
    <cellStyle name="Normal 4 4 2 5 2 2" xfId="7311" xr:uid="{00000000-0005-0000-0000-000054150000}"/>
    <cellStyle name="Normal 4 4 2 5 2 2 2" xfId="25936" xr:uid="{B505000E-BC53-473C-9C78-7D1FBFB423CD}"/>
    <cellStyle name="Normal 4 4 2 5 2 2 3" xfId="16637" xr:uid="{F0A268D3-4C88-4C3C-8710-9403EDFA5ED1}"/>
    <cellStyle name="Normal 4 4 2 5 2 3" xfId="21719" xr:uid="{2CD9E23B-381A-4F7E-BA41-457FA074361A}"/>
    <cellStyle name="Normal 4 4 2 5 2 4" xfId="12420" xr:uid="{C1A9CE68-E217-4DBD-B84A-BAE390148A62}"/>
    <cellStyle name="Normal 4 4 2 5 3" xfId="5166" xr:uid="{00000000-0005-0000-0000-000055150000}"/>
    <cellStyle name="Normal 4 4 2 5 3 2" xfId="23791" xr:uid="{C7B445B7-6F0C-4B6F-BF5E-856BAE3D2F36}"/>
    <cellStyle name="Normal 4 4 2 5 3 3" xfId="14492" xr:uid="{BD32BBBA-D4B4-4D45-B37D-4EFB1A47A6BB}"/>
    <cellStyle name="Normal 4 4 2 5 4" xfId="9205" xr:uid="{A63DE01D-3EC8-40FC-A47E-E0EA001EED52}"/>
    <cellStyle name="Normal 4 4 2 5 4 2" xfId="27820" xr:uid="{DF716C12-B1B1-41DE-8A01-6707356DB292}"/>
    <cellStyle name="Normal 4 4 2 5 4 3" xfId="18521" xr:uid="{F8CB5273-E991-4727-9265-7DF2428C5156}"/>
    <cellStyle name="Normal 4 4 2 5 5" xfId="19574" xr:uid="{0241212E-3603-4ECF-AA92-8AAC74838691}"/>
    <cellStyle name="Normal 4 4 2 5 6" xfId="10275" xr:uid="{9E8F2ECD-FAC7-4162-A0F2-1CF6ED523202}"/>
    <cellStyle name="Normal 4 4 2 6" xfId="1272" xr:uid="{00000000-0005-0000-0000-000056150000}"/>
    <cellStyle name="Normal 4 4 2 6 2" xfId="3502" xr:uid="{00000000-0005-0000-0000-000057150000}"/>
    <cellStyle name="Normal 4 4 2 6 2 2" xfId="7724" xr:uid="{00000000-0005-0000-0000-000058150000}"/>
    <cellStyle name="Normal 4 4 2 6 2 2 2" xfId="26349" xr:uid="{1E32505A-E454-429B-9494-A4B2634E42C3}"/>
    <cellStyle name="Normal 4 4 2 6 2 2 3" xfId="17050" xr:uid="{6B3119E6-AA78-4E28-BB82-C7B39845FDBB}"/>
    <cellStyle name="Normal 4 4 2 6 2 3" xfId="22132" xr:uid="{8B1EDA83-4611-4FB7-8471-EE23FCC1E84A}"/>
    <cellStyle name="Normal 4 4 2 6 2 4" xfId="12833" xr:uid="{79FEC780-15CF-4CB1-AA1A-2BE6F9D57DC8}"/>
    <cellStyle name="Normal 4 4 2 6 3" xfId="5579" xr:uid="{00000000-0005-0000-0000-000059150000}"/>
    <cellStyle name="Normal 4 4 2 6 3 2" xfId="24204" xr:uid="{55D3EF83-BA8A-47BC-ACB6-12709D63CC5D}"/>
    <cellStyle name="Normal 4 4 2 6 3 3" xfId="14905" xr:uid="{ABEDFDB6-070C-439E-8D0A-60868E822733}"/>
    <cellStyle name="Normal 4 4 2 6 4" xfId="19987" xr:uid="{D33E8729-91FA-42A2-9941-4F0F07CE689A}"/>
    <cellStyle name="Normal 4 4 2 6 5" xfId="10688" xr:uid="{56B18631-D722-4F7B-B4CC-7986D6A0E794}"/>
    <cellStyle name="Normal 4 4 2 7" xfId="1685" xr:uid="{00000000-0005-0000-0000-00005A150000}"/>
    <cellStyle name="Normal 4 4 2 7 2" xfId="3915" xr:uid="{00000000-0005-0000-0000-00005B150000}"/>
    <cellStyle name="Normal 4 4 2 7 2 2" xfId="8137" xr:uid="{00000000-0005-0000-0000-00005C150000}"/>
    <cellStyle name="Normal 4 4 2 7 2 2 2" xfId="26762" xr:uid="{4E5B3074-13BF-4B47-89DF-2E7E46AF501F}"/>
    <cellStyle name="Normal 4 4 2 7 2 2 3" xfId="17463" xr:uid="{26CCB5B6-C9D5-4C12-86EC-7DBF7DEDBE1B}"/>
    <cellStyle name="Normal 4 4 2 7 2 3" xfId="22545" xr:uid="{2094FFC8-0EE8-4561-A60A-CEB569FED22A}"/>
    <cellStyle name="Normal 4 4 2 7 2 4" xfId="13246" xr:uid="{D19571FD-F0DC-4F95-A80D-450A73F81950}"/>
    <cellStyle name="Normal 4 4 2 7 3" xfId="5992" xr:uid="{00000000-0005-0000-0000-00005D150000}"/>
    <cellStyle name="Normal 4 4 2 7 3 2" xfId="24617" xr:uid="{B2783536-9E54-4724-81A2-E2B8E0719062}"/>
    <cellStyle name="Normal 4 4 2 7 3 3" xfId="15318" xr:uid="{4E430789-0B62-451C-8642-4D245F7B6D49}"/>
    <cellStyle name="Normal 4 4 2 7 4" xfId="20400" xr:uid="{FB5AF7D6-E69C-4A4F-B5D5-F36A0E795664}"/>
    <cellStyle name="Normal 4 4 2 7 5" xfId="11101" xr:uid="{C8F8A9E3-E093-47F7-9A7D-D9E31923056F}"/>
    <cellStyle name="Normal 4 4 2 8" xfId="2099" xr:uid="{00000000-0005-0000-0000-00005E150000}"/>
    <cellStyle name="Normal 4 4 2 8 2" xfId="4328" xr:uid="{00000000-0005-0000-0000-00005F150000}"/>
    <cellStyle name="Normal 4 4 2 8 2 2" xfId="8550" xr:uid="{00000000-0005-0000-0000-000060150000}"/>
    <cellStyle name="Normal 4 4 2 8 2 2 2" xfId="27175" xr:uid="{4DB30CBE-FAFE-418F-8E80-35AE371DC340}"/>
    <cellStyle name="Normal 4 4 2 8 2 2 3" xfId="17876" xr:uid="{71342258-8411-42D9-AA5A-374088CC32C7}"/>
    <cellStyle name="Normal 4 4 2 8 2 3" xfId="22958" xr:uid="{E90BA1CD-98B3-4952-988A-4ED89A03A74D}"/>
    <cellStyle name="Normal 4 4 2 8 2 4" xfId="13659" xr:uid="{8FABC813-DF78-4A3A-A525-ECBA635ABE87}"/>
    <cellStyle name="Normal 4 4 2 8 3" xfId="6405" xr:uid="{00000000-0005-0000-0000-000061150000}"/>
    <cellStyle name="Normal 4 4 2 8 3 2" xfId="25030" xr:uid="{42997210-548C-4589-9F5E-F80CDC49AC84}"/>
    <cellStyle name="Normal 4 4 2 8 3 3" xfId="15731" xr:uid="{4976D440-9347-482A-B628-E0064FCE31AC}"/>
    <cellStyle name="Normal 4 4 2 8 4" xfId="20813" xr:uid="{3C92AB8B-29F8-48CC-9AEF-731579A77174}"/>
    <cellStyle name="Normal 4 4 2 8 5" xfId="11514" xr:uid="{1BEA31CB-617C-438A-87DA-D36C180C1C56}"/>
    <cellStyle name="Normal 4 4 2 9" xfId="2535" xr:uid="{00000000-0005-0000-0000-000062150000}"/>
    <cellStyle name="Normal 4 4 2 9 2" xfId="6818" xr:uid="{00000000-0005-0000-0000-000063150000}"/>
    <cellStyle name="Normal 4 4 2 9 2 2" xfId="25443" xr:uid="{3F6FE6C6-6E56-43A7-8609-C0632055873F}"/>
    <cellStyle name="Normal 4 4 2 9 2 3" xfId="16144" xr:uid="{AF2C74E9-28EC-40E9-A41F-EB18576CA0AE}"/>
    <cellStyle name="Normal 4 4 2 9 3" xfId="21226" xr:uid="{57E482AC-2E35-4255-877F-CB13A4B5389D}"/>
    <cellStyle name="Normal 4 4 2 9 4" xfId="11927" xr:uid="{ACC7F594-3F37-46A8-BDA2-E8120048BC6A}"/>
    <cellStyle name="Normal 4 4 3" xfId="387" xr:uid="{00000000-0005-0000-0000-000064150000}"/>
    <cellStyle name="Normal 4 4 3 10" xfId="8823" xr:uid="{E623F102-F69B-4FD0-BEDA-A1480AF4D892}"/>
    <cellStyle name="Normal 4 4 3 10 2" xfId="27446" xr:uid="{8E4B6A93-A522-417A-B44C-13E0B9F26C7F}"/>
    <cellStyle name="Normal 4 4 3 10 3" xfId="18147" xr:uid="{313B3C4D-1DA7-4DA8-965A-DC9197298969}"/>
    <cellStyle name="Normal 4 4 3 11" xfId="19169" xr:uid="{40FDBAB4-7A62-4CE3-A0C6-78F42672D141}"/>
    <cellStyle name="Normal 4 4 3 12" xfId="9870" xr:uid="{14B69574-E664-4FD2-829A-F71B2AD52146}"/>
    <cellStyle name="Normal 4 4 3 2" xfId="388" xr:uid="{00000000-0005-0000-0000-000065150000}"/>
    <cellStyle name="Normal 4 4 3 2 10" xfId="19170" xr:uid="{56E88780-F956-42D3-968C-6A2AEE970596}"/>
    <cellStyle name="Normal 4 4 3 2 11" xfId="9871" xr:uid="{05DB3580-F440-4926-B9E9-15DEA9C8FB4A}"/>
    <cellStyle name="Normal 4 4 3 2 2" xfId="389" xr:uid="{00000000-0005-0000-0000-000066150000}"/>
    <cellStyle name="Normal 4 4 3 2 2 10" xfId="9872" xr:uid="{5344699D-4C26-4CCA-9548-692E6225EEA8}"/>
    <cellStyle name="Normal 4 4 3 2 2 2" xfId="864" xr:uid="{00000000-0005-0000-0000-000067150000}"/>
    <cellStyle name="Normal 4 4 3 2 2 2 2" xfId="3099" xr:uid="{00000000-0005-0000-0000-000068150000}"/>
    <cellStyle name="Normal 4 4 3 2 2 2 2 2" xfId="7321" xr:uid="{00000000-0005-0000-0000-000069150000}"/>
    <cellStyle name="Normal 4 4 3 2 2 2 2 2 2" xfId="25946" xr:uid="{C5468104-8BCC-41D2-A01E-A247769F21F7}"/>
    <cellStyle name="Normal 4 4 3 2 2 2 2 2 3" xfId="16647" xr:uid="{3DA00C64-CDF0-4E25-ACB2-F4FFEBEE856B}"/>
    <cellStyle name="Normal 4 4 3 2 2 2 2 3" xfId="21729" xr:uid="{7B0E6E1D-C335-44E9-815B-386719F9EA00}"/>
    <cellStyle name="Normal 4 4 3 2 2 2 2 4" xfId="12430" xr:uid="{325BA147-8227-4BE1-BD8F-2AB59DB7B279}"/>
    <cellStyle name="Normal 4 4 3 2 2 2 3" xfId="5176" xr:uid="{00000000-0005-0000-0000-00006A150000}"/>
    <cellStyle name="Normal 4 4 3 2 2 2 3 2" xfId="23801" xr:uid="{ACF40802-EA8C-434F-BC45-4D1880268828}"/>
    <cellStyle name="Normal 4 4 3 2 2 2 3 3" xfId="14502" xr:uid="{4169C946-5FDC-4655-BDAA-67845B39E52C}"/>
    <cellStyle name="Normal 4 4 3 2 2 2 4" xfId="9558" xr:uid="{8C9519E6-5920-473D-9749-EC61E4877632}"/>
    <cellStyle name="Normal 4 4 3 2 2 2 4 2" xfId="28172" xr:uid="{8F8F2022-36F7-4E9D-A951-BCA99BBD73C4}"/>
    <cellStyle name="Normal 4 4 3 2 2 2 4 3" xfId="18873" xr:uid="{4F940DDD-2D07-4446-92CA-342331FC2709}"/>
    <cellStyle name="Normal 4 4 3 2 2 2 5" xfId="19584" xr:uid="{1F2D86FB-E6A7-4990-87B6-11B5702EF688}"/>
    <cellStyle name="Normal 4 4 3 2 2 2 6" xfId="10285" xr:uid="{DDCFB60D-B89F-4AED-973B-F56E7D77C7BE}"/>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2 2 2" xfId="26359" xr:uid="{23987F33-75C9-40BD-9075-A364548FE2FF}"/>
    <cellStyle name="Normal 4 4 3 2 2 3 2 2 3" xfId="17060" xr:uid="{B1AA89AE-AE31-4F22-AD3F-725A9C4B7D81}"/>
    <cellStyle name="Normal 4 4 3 2 2 3 2 3" xfId="22142" xr:uid="{507883D9-F3BD-45AC-918F-49D4A5228A64}"/>
    <cellStyle name="Normal 4 4 3 2 2 3 2 4" xfId="12843" xr:uid="{CD939C01-92C9-463D-AB00-579957F640B6}"/>
    <cellStyle name="Normal 4 4 3 2 2 3 3" xfId="5589" xr:uid="{00000000-0005-0000-0000-00006E150000}"/>
    <cellStyle name="Normal 4 4 3 2 2 3 3 2" xfId="24214" xr:uid="{361F4FC7-66CA-4C4A-811A-1CFBAC70355D}"/>
    <cellStyle name="Normal 4 4 3 2 2 3 3 3" xfId="14915" xr:uid="{E9692CE3-D235-4678-91C6-8A3ECB5AE9C0}"/>
    <cellStyle name="Normal 4 4 3 2 2 3 4" xfId="19997" xr:uid="{B7A637FC-1822-4CCF-9407-37E06FC33FAD}"/>
    <cellStyle name="Normal 4 4 3 2 2 3 5" xfId="10698" xr:uid="{7849AF8E-5CFC-404E-844A-29DE98F4870E}"/>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2 2 2" xfId="26772" xr:uid="{BA83B1B8-351D-4DA5-BF63-3AC94D355A80}"/>
    <cellStyle name="Normal 4 4 3 2 2 4 2 2 3" xfId="17473" xr:uid="{BEDF2AD9-DAC6-45F6-8E03-3EC63025ED6B}"/>
    <cellStyle name="Normal 4 4 3 2 2 4 2 3" xfId="22555" xr:uid="{AAFA71C4-9868-414D-A2E6-7574F54B46BB}"/>
    <cellStyle name="Normal 4 4 3 2 2 4 2 4" xfId="13256" xr:uid="{10452A80-789C-4411-8BD7-535C88F015BF}"/>
    <cellStyle name="Normal 4 4 3 2 2 4 3" xfId="6002" xr:uid="{00000000-0005-0000-0000-000072150000}"/>
    <cellStyle name="Normal 4 4 3 2 2 4 3 2" xfId="24627" xr:uid="{2A083509-C346-4D61-86DF-DB0C69FB00B4}"/>
    <cellStyle name="Normal 4 4 3 2 2 4 3 3" xfId="15328" xr:uid="{C00C051F-D034-45A2-8B05-56420F980551}"/>
    <cellStyle name="Normal 4 4 3 2 2 4 4" xfId="20410" xr:uid="{334F180E-8144-4E3D-AC2D-1CE0BFF7149D}"/>
    <cellStyle name="Normal 4 4 3 2 2 4 5" xfId="11111" xr:uid="{47337BC6-AE6F-4270-9B11-E2E60555E619}"/>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2 2 2" xfId="27185" xr:uid="{7B275183-612F-4CD6-9410-A4A3DF4B62C4}"/>
    <cellStyle name="Normal 4 4 3 2 2 5 2 2 3" xfId="17886" xr:uid="{3A5E1BCB-60D5-4A8D-9750-16247F72D4BC}"/>
    <cellStyle name="Normal 4 4 3 2 2 5 2 3" xfId="22968" xr:uid="{AE2EC947-78D9-4CAE-9D56-A88D2EBC637C}"/>
    <cellStyle name="Normal 4 4 3 2 2 5 2 4" xfId="13669" xr:uid="{4FAC5E81-ABB5-40BC-9C26-DB2651B5D101}"/>
    <cellStyle name="Normal 4 4 3 2 2 5 3" xfId="6415" xr:uid="{00000000-0005-0000-0000-000076150000}"/>
    <cellStyle name="Normal 4 4 3 2 2 5 3 2" xfId="25040" xr:uid="{2F6A2658-CD48-4387-A252-0CB3027A3813}"/>
    <cellStyle name="Normal 4 4 3 2 2 5 3 3" xfId="15741" xr:uid="{A2CEB9A5-A108-4D22-9BF1-31B6E0F34B63}"/>
    <cellStyle name="Normal 4 4 3 2 2 5 4" xfId="20823" xr:uid="{385FA9F4-3EDF-4880-B678-6E319BC742DA}"/>
    <cellStyle name="Normal 4 4 3 2 2 5 5" xfId="11524" xr:uid="{24758D83-9C42-4990-A926-A68EBA729A99}"/>
    <cellStyle name="Normal 4 4 3 2 2 6" xfId="2545" xr:uid="{00000000-0005-0000-0000-000077150000}"/>
    <cellStyle name="Normal 4 4 3 2 2 6 2" xfId="6828" xr:uid="{00000000-0005-0000-0000-000078150000}"/>
    <cellStyle name="Normal 4 4 3 2 2 6 2 2" xfId="25453" xr:uid="{DF178308-2FC1-4BE2-B6D7-9F04C065F3ED}"/>
    <cellStyle name="Normal 4 4 3 2 2 6 2 3" xfId="16154" xr:uid="{533DD290-14ED-43C6-9273-54B1E42C9E4D}"/>
    <cellStyle name="Normal 4 4 3 2 2 6 3" xfId="21236" xr:uid="{37BDA415-E5C4-4637-9197-F0B3401A2BA4}"/>
    <cellStyle name="Normal 4 4 3 2 2 6 4" xfId="11937" xr:uid="{94E722CA-942F-406C-9C98-B6D2386683D4}"/>
    <cellStyle name="Normal 4 4 3 2 2 7" xfId="4763" xr:uid="{00000000-0005-0000-0000-000079150000}"/>
    <cellStyle name="Normal 4 4 3 2 2 7 2" xfId="23388" xr:uid="{13D8928C-FFF6-4C90-A43F-DEF593FBA073}"/>
    <cellStyle name="Normal 4 4 3 2 2 7 3" xfId="14089" xr:uid="{D5C1438A-F31A-49A0-A456-FEE77A6C2CB7}"/>
    <cellStyle name="Normal 4 4 3 2 2 8" xfId="9133" xr:uid="{37002A66-D58A-4EF9-8D22-8F1A3EE99E08}"/>
    <cellStyle name="Normal 4 4 3 2 2 8 2" xfId="27756" xr:uid="{1CC2EE32-7A1E-43CD-922C-5291CEA8928E}"/>
    <cellStyle name="Normal 4 4 3 2 2 8 3" xfId="18457" xr:uid="{AC2AED10-7115-45BA-A19C-35AE4833295C}"/>
    <cellStyle name="Normal 4 4 3 2 2 9" xfId="19171" xr:uid="{A3B59B29-F82C-4A22-9E42-2C8DF9923F0B}"/>
    <cellStyle name="Normal 4 4 3 2 3" xfId="863" xr:uid="{00000000-0005-0000-0000-00007A150000}"/>
    <cellStyle name="Normal 4 4 3 2 3 2" xfId="3098" xr:uid="{00000000-0005-0000-0000-00007B150000}"/>
    <cellStyle name="Normal 4 4 3 2 3 2 2" xfId="7320" xr:uid="{00000000-0005-0000-0000-00007C150000}"/>
    <cellStyle name="Normal 4 4 3 2 3 2 2 2" xfId="25945" xr:uid="{93C0E3FD-3891-4A58-BB60-1789C19FA0E8}"/>
    <cellStyle name="Normal 4 4 3 2 3 2 2 3" xfId="16646" xr:uid="{CF95C5AD-499C-4F93-B1C9-B8EEF45E7FD0}"/>
    <cellStyle name="Normal 4 4 3 2 3 2 3" xfId="21728" xr:uid="{A38665B9-0C91-4A33-86B3-CABF36866165}"/>
    <cellStyle name="Normal 4 4 3 2 3 2 4" xfId="12429" xr:uid="{79452359-7AC0-425E-AB6F-EE4A33542DF7}"/>
    <cellStyle name="Normal 4 4 3 2 3 3" xfId="5175" xr:uid="{00000000-0005-0000-0000-00007D150000}"/>
    <cellStyle name="Normal 4 4 3 2 3 3 2" xfId="23800" xr:uid="{E5FA6733-BF13-4F95-B832-1923AABD0E91}"/>
    <cellStyle name="Normal 4 4 3 2 3 3 3" xfId="14501" xr:uid="{7B06EE66-CD02-48A6-9712-31B780FAC706}"/>
    <cellStyle name="Normal 4 4 3 2 3 4" xfId="9351" xr:uid="{51AD2B95-755A-411D-AA40-98381F5D8294}"/>
    <cellStyle name="Normal 4 4 3 2 3 4 2" xfId="27965" xr:uid="{7263F5AF-ECE1-4ACA-89FB-201EA13EDEB9}"/>
    <cellStyle name="Normal 4 4 3 2 3 4 3" xfId="18666" xr:uid="{33BA1073-7681-492B-90B1-5847881EF96F}"/>
    <cellStyle name="Normal 4 4 3 2 3 5" xfId="19583" xr:uid="{939D8B5E-B09C-48A7-A5E9-6FE4D13D5E29}"/>
    <cellStyle name="Normal 4 4 3 2 3 6" xfId="10284" xr:uid="{D98F46F8-89A7-49F3-BBBD-9A16477DFF5E}"/>
    <cellStyle name="Normal 4 4 3 2 4" xfId="1281" xr:uid="{00000000-0005-0000-0000-00007E150000}"/>
    <cellStyle name="Normal 4 4 3 2 4 2" xfId="3511" xr:uid="{00000000-0005-0000-0000-00007F150000}"/>
    <cellStyle name="Normal 4 4 3 2 4 2 2" xfId="7733" xr:uid="{00000000-0005-0000-0000-000080150000}"/>
    <cellStyle name="Normal 4 4 3 2 4 2 2 2" xfId="26358" xr:uid="{44121F4D-9A8F-44CC-827E-995D060D3CEE}"/>
    <cellStyle name="Normal 4 4 3 2 4 2 2 3" xfId="17059" xr:uid="{DF667B2E-B8D9-47F7-9A58-7C89A6AEEBD2}"/>
    <cellStyle name="Normal 4 4 3 2 4 2 3" xfId="22141" xr:uid="{0D240C83-E2C0-4359-8E0B-63CBF1E876ED}"/>
    <cellStyle name="Normal 4 4 3 2 4 2 4" xfId="12842" xr:uid="{5A8160DE-A734-4DA0-BCAD-257F89EAC165}"/>
    <cellStyle name="Normal 4 4 3 2 4 3" xfId="5588" xr:uid="{00000000-0005-0000-0000-000081150000}"/>
    <cellStyle name="Normal 4 4 3 2 4 3 2" xfId="24213" xr:uid="{F4248FF0-ED74-42C5-8DDC-DC061FA55535}"/>
    <cellStyle name="Normal 4 4 3 2 4 3 3" xfId="14914" xr:uid="{F9AF639E-2EF1-457E-A772-125D3D8871B6}"/>
    <cellStyle name="Normal 4 4 3 2 4 4" xfId="19996" xr:uid="{50F22C5F-0873-4823-9D47-C96F7096A7C6}"/>
    <cellStyle name="Normal 4 4 3 2 4 5" xfId="10697" xr:uid="{D085F7BA-4520-4BDA-974D-7DD9E662B359}"/>
    <cellStyle name="Normal 4 4 3 2 5" xfId="1694" xr:uid="{00000000-0005-0000-0000-000082150000}"/>
    <cellStyle name="Normal 4 4 3 2 5 2" xfId="3924" xr:uid="{00000000-0005-0000-0000-000083150000}"/>
    <cellStyle name="Normal 4 4 3 2 5 2 2" xfId="8146" xr:uid="{00000000-0005-0000-0000-000084150000}"/>
    <cellStyle name="Normal 4 4 3 2 5 2 2 2" xfId="26771" xr:uid="{D0530444-6D26-4F2D-82FC-AEFA8E8A0728}"/>
    <cellStyle name="Normal 4 4 3 2 5 2 2 3" xfId="17472" xr:uid="{DFD4D80C-C4AF-4B15-B19F-93024E5AEF4E}"/>
    <cellStyle name="Normal 4 4 3 2 5 2 3" xfId="22554" xr:uid="{203F41AD-5A52-4EB3-A535-48B840CCA5AC}"/>
    <cellStyle name="Normal 4 4 3 2 5 2 4" xfId="13255" xr:uid="{96271C95-2F31-422A-B223-03CDEEAC9ECE}"/>
    <cellStyle name="Normal 4 4 3 2 5 3" xfId="6001" xr:uid="{00000000-0005-0000-0000-000085150000}"/>
    <cellStyle name="Normal 4 4 3 2 5 3 2" xfId="24626" xr:uid="{42B0C5FB-E94F-43F5-B97E-FAB690D7DBB7}"/>
    <cellStyle name="Normal 4 4 3 2 5 3 3" xfId="15327" xr:uid="{3F6F5705-F257-4835-B31A-40434088A899}"/>
    <cellStyle name="Normal 4 4 3 2 5 4" xfId="20409" xr:uid="{8BFB7AAF-8B63-4A4E-B09A-EA3234A8C7AF}"/>
    <cellStyle name="Normal 4 4 3 2 5 5" xfId="11110" xr:uid="{BF2AD2F6-E0FE-4FD1-80EC-782EA08C547F}"/>
    <cellStyle name="Normal 4 4 3 2 6" xfId="2108" xr:uid="{00000000-0005-0000-0000-000086150000}"/>
    <cellStyle name="Normal 4 4 3 2 6 2" xfId="4337" xr:uid="{00000000-0005-0000-0000-000087150000}"/>
    <cellStyle name="Normal 4 4 3 2 6 2 2" xfId="8559" xr:uid="{00000000-0005-0000-0000-000088150000}"/>
    <cellStyle name="Normal 4 4 3 2 6 2 2 2" xfId="27184" xr:uid="{613C7FA3-B048-4475-972C-4417043C71E5}"/>
    <cellStyle name="Normal 4 4 3 2 6 2 2 3" xfId="17885" xr:uid="{B8859E25-1B30-4E9A-BA36-CC79E09A64D8}"/>
    <cellStyle name="Normal 4 4 3 2 6 2 3" xfId="22967" xr:uid="{4BBCFE13-810A-49D9-8575-AA19BC9EB145}"/>
    <cellStyle name="Normal 4 4 3 2 6 2 4" xfId="13668" xr:uid="{FE0FE961-6E74-4517-9A74-091E8BB0ABF8}"/>
    <cellStyle name="Normal 4 4 3 2 6 3" xfId="6414" xr:uid="{00000000-0005-0000-0000-000089150000}"/>
    <cellStyle name="Normal 4 4 3 2 6 3 2" xfId="25039" xr:uid="{35A2253B-C868-4EA6-9B8B-0899578AD213}"/>
    <cellStyle name="Normal 4 4 3 2 6 3 3" xfId="15740" xr:uid="{FAB6F7F9-EB7A-4D12-BA49-E1DEBBF04045}"/>
    <cellStyle name="Normal 4 4 3 2 6 4" xfId="20822" xr:uid="{A0339A30-AF2A-46D9-A796-AC9919775B51}"/>
    <cellStyle name="Normal 4 4 3 2 6 5" xfId="11523" xr:uid="{E96CC500-632D-4D56-93D1-210F039D3396}"/>
    <cellStyle name="Normal 4 4 3 2 7" xfId="2544" xr:uid="{00000000-0005-0000-0000-00008A150000}"/>
    <cellStyle name="Normal 4 4 3 2 7 2" xfId="6827" xr:uid="{00000000-0005-0000-0000-00008B150000}"/>
    <cellStyle name="Normal 4 4 3 2 7 2 2" xfId="25452" xr:uid="{B4E17A5A-71D2-4B42-8342-2D943A6C66B3}"/>
    <cellStyle name="Normal 4 4 3 2 7 2 3" xfId="16153" xr:uid="{9528E741-33FC-40F7-815B-EE6EAD68C70A}"/>
    <cellStyle name="Normal 4 4 3 2 7 3" xfId="21235" xr:uid="{2F9763EB-6AD4-44F2-A3BD-DA353DE5A455}"/>
    <cellStyle name="Normal 4 4 3 2 7 4" xfId="11936" xr:uid="{182EB8F6-D74F-45EB-AEEC-E88D2249EA9C}"/>
    <cellStyle name="Normal 4 4 3 2 8" xfId="4762" xr:uid="{00000000-0005-0000-0000-00008C150000}"/>
    <cellStyle name="Normal 4 4 3 2 8 2" xfId="23387" xr:uid="{24B4C780-77FE-4C41-9B97-9D78356CCD0B}"/>
    <cellStyle name="Normal 4 4 3 2 8 3" xfId="14088" xr:uid="{2FC40588-7102-4B2C-9FD3-6147EE766748}"/>
    <cellStyle name="Normal 4 4 3 2 9" xfId="8926" xr:uid="{821D1F47-EF8D-4C64-BA70-5606A81A57B5}"/>
    <cellStyle name="Normal 4 4 3 2 9 2" xfId="27549" xr:uid="{651E5416-06E6-472F-8309-3C84A06471E4}"/>
    <cellStyle name="Normal 4 4 3 2 9 3" xfId="18250" xr:uid="{AC506AE5-2CA4-4EFD-A61D-57AE4302F92A}"/>
    <cellStyle name="Normal 4 4 3 3" xfId="390" xr:uid="{00000000-0005-0000-0000-00008D150000}"/>
    <cellStyle name="Normal 4 4 3 3 10" xfId="9873" xr:uid="{4D6F2518-5108-4A24-82F1-D8EC66D0ABFF}"/>
    <cellStyle name="Normal 4 4 3 3 2" xfId="865" xr:uid="{00000000-0005-0000-0000-00008E150000}"/>
    <cellStyle name="Normal 4 4 3 3 2 2" xfId="3100" xr:uid="{00000000-0005-0000-0000-00008F150000}"/>
    <cellStyle name="Normal 4 4 3 3 2 2 2" xfId="7322" xr:uid="{00000000-0005-0000-0000-000090150000}"/>
    <cellStyle name="Normal 4 4 3 3 2 2 2 2" xfId="25947" xr:uid="{C40EDBE6-1663-48C6-B82E-1AC664A1D8B9}"/>
    <cellStyle name="Normal 4 4 3 3 2 2 2 3" xfId="16648" xr:uid="{AADD2A5E-C253-40E1-8AA1-8CCB0723F5CF}"/>
    <cellStyle name="Normal 4 4 3 3 2 2 3" xfId="21730" xr:uid="{CE4B5F80-C3A5-4A5C-AC7D-EF2B70913BE7}"/>
    <cellStyle name="Normal 4 4 3 3 2 2 4" xfId="12431" xr:uid="{FF2E3752-B5C3-4893-ACE2-D43E49A39E84}"/>
    <cellStyle name="Normal 4 4 3 3 2 3" xfId="5177" xr:uid="{00000000-0005-0000-0000-000091150000}"/>
    <cellStyle name="Normal 4 4 3 3 2 3 2" xfId="23802" xr:uid="{AA845F89-7589-413E-B5C2-FC5A122E4C10}"/>
    <cellStyle name="Normal 4 4 3 3 2 3 3" xfId="14503" xr:uid="{10730D4B-1B4E-49E2-A90F-AC7220FF56B6}"/>
    <cellStyle name="Normal 4 4 3 3 2 4" xfId="9455" xr:uid="{E39EB3A2-D99A-426C-AFEC-E4C90C85BE02}"/>
    <cellStyle name="Normal 4 4 3 3 2 4 2" xfId="28069" xr:uid="{563C1599-9340-4514-80F7-C3429B948202}"/>
    <cellStyle name="Normal 4 4 3 3 2 4 3" xfId="18770" xr:uid="{88772BE5-1A30-4822-B5D9-2488C9705242}"/>
    <cellStyle name="Normal 4 4 3 3 2 5" xfId="19585" xr:uid="{9F553B6C-D71C-4BF6-A39B-EB33BCA6BCEC}"/>
    <cellStyle name="Normal 4 4 3 3 2 6" xfId="10286" xr:uid="{CDCF0996-4B2B-4796-92D3-E1E540B7B919}"/>
    <cellStyle name="Normal 4 4 3 3 3" xfId="1283" xr:uid="{00000000-0005-0000-0000-000092150000}"/>
    <cellStyle name="Normal 4 4 3 3 3 2" xfId="3513" xr:uid="{00000000-0005-0000-0000-000093150000}"/>
    <cellStyle name="Normal 4 4 3 3 3 2 2" xfId="7735" xr:uid="{00000000-0005-0000-0000-000094150000}"/>
    <cellStyle name="Normal 4 4 3 3 3 2 2 2" xfId="26360" xr:uid="{32EB6063-004B-45D4-861B-82D91CED17C0}"/>
    <cellStyle name="Normal 4 4 3 3 3 2 2 3" xfId="17061" xr:uid="{E9B10DD4-55AF-4B87-BD52-EB86D3B1FE0F}"/>
    <cellStyle name="Normal 4 4 3 3 3 2 3" xfId="22143" xr:uid="{BDCFF9E2-0230-4F64-BCB7-C2F361A33A14}"/>
    <cellStyle name="Normal 4 4 3 3 3 2 4" xfId="12844" xr:uid="{EA6C8993-668F-4D3C-A4F7-4A2F22D2F518}"/>
    <cellStyle name="Normal 4 4 3 3 3 3" xfId="5590" xr:uid="{00000000-0005-0000-0000-000095150000}"/>
    <cellStyle name="Normal 4 4 3 3 3 3 2" xfId="24215" xr:uid="{0AABE7F4-D2AD-45EA-9016-70C4C5CD4A9E}"/>
    <cellStyle name="Normal 4 4 3 3 3 3 3" xfId="14916" xr:uid="{9518ADD8-E42B-4825-B530-3273E9C16E46}"/>
    <cellStyle name="Normal 4 4 3 3 3 4" xfId="19998" xr:uid="{3F3AA3E2-0686-40EB-A036-03ABE3D5D172}"/>
    <cellStyle name="Normal 4 4 3 3 3 5" xfId="10699" xr:uid="{E2247E1A-BEE8-4967-A638-E7CD0F281BA7}"/>
    <cellStyle name="Normal 4 4 3 3 4" xfId="1696" xr:uid="{00000000-0005-0000-0000-000096150000}"/>
    <cellStyle name="Normal 4 4 3 3 4 2" xfId="3926" xr:uid="{00000000-0005-0000-0000-000097150000}"/>
    <cellStyle name="Normal 4 4 3 3 4 2 2" xfId="8148" xr:uid="{00000000-0005-0000-0000-000098150000}"/>
    <cellStyle name="Normal 4 4 3 3 4 2 2 2" xfId="26773" xr:uid="{A0E96A20-FB45-4D54-9D13-1712EF9947AF}"/>
    <cellStyle name="Normal 4 4 3 3 4 2 2 3" xfId="17474" xr:uid="{9F71851A-53E2-41EF-97F1-7FBAF816FE1F}"/>
    <cellStyle name="Normal 4 4 3 3 4 2 3" xfId="22556" xr:uid="{3E21FD66-0E98-4541-AA6B-FD0FE68AEA34}"/>
    <cellStyle name="Normal 4 4 3 3 4 2 4" xfId="13257" xr:uid="{F8DF3205-8100-429F-B440-8CC3A44F0E5F}"/>
    <cellStyle name="Normal 4 4 3 3 4 3" xfId="6003" xr:uid="{00000000-0005-0000-0000-000099150000}"/>
    <cellStyle name="Normal 4 4 3 3 4 3 2" xfId="24628" xr:uid="{06810B95-F037-4D5B-9A1F-2B6490EFB474}"/>
    <cellStyle name="Normal 4 4 3 3 4 3 3" xfId="15329" xr:uid="{12DD8BF5-1FC7-42CA-AA8D-28F7ACB43C79}"/>
    <cellStyle name="Normal 4 4 3 3 4 4" xfId="20411" xr:uid="{D8B9BA4A-2A61-4933-8A17-55B1CCE14593}"/>
    <cellStyle name="Normal 4 4 3 3 4 5" xfId="11112" xr:uid="{88669FC0-3209-4FA0-A41C-B2DD585D4001}"/>
    <cellStyle name="Normal 4 4 3 3 5" xfId="2110" xr:uid="{00000000-0005-0000-0000-00009A150000}"/>
    <cellStyle name="Normal 4 4 3 3 5 2" xfId="4339" xr:uid="{00000000-0005-0000-0000-00009B150000}"/>
    <cellStyle name="Normal 4 4 3 3 5 2 2" xfId="8561" xr:uid="{00000000-0005-0000-0000-00009C150000}"/>
    <cellStyle name="Normal 4 4 3 3 5 2 2 2" xfId="27186" xr:uid="{1996089D-4917-48D6-A635-8D55628DE694}"/>
    <cellStyle name="Normal 4 4 3 3 5 2 2 3" xfId="17887" xr:uid="{B2C6841E-B4DB-4362-9F84-A0CBF41893B4}"/>
    <cellStyle name="Normal 4 4 3 3 5 2 3" xfId="22969" xr:uid="{CDC7DC46-A775-4DAE-9ADE-5BAC1C791F00}"/>
    <cellStyle name="Normal 4 4 3 3 5 2 4" xfId="13670" xr:uid="{A9810FC8-4C3A-45F9-AFDD-D24F31D7A52D}"/>
    <cellStyle name="Normal 4 4 3 3 5 3" xfId="6416" xr:uid="{00000000-0005-0000-0000-00009D150000}"/>
    <cellStyle name="Normal 4 4 3 3 5 3 2" xfId="25041" xr:uid="{AE8BF153-C67E-4846-9F48-18D86952174C}"/>
    <cellStyle name="Normal 4 4 3 3 5 3 3" xfId="15742" xr:uid="{FF8E444E-690D-48E0-9573-D20BF097AA63}"/>
    <cellStyle name="Normal 4 4 3 3 5 4" xfId="20824" xr:uid="{0B3DA056-75F2-44EC-A925-B29C0B6CF15B}"/>
    <cellStyle name="Normal 4 4 3 3 5 5" xfId="11525" xr:uid="{3EBF379A-DA47-4790-A4DB-7DF879850EE3}"/>
    <cellStyle name="Normal 4 4 3 3 6" xfId="2546" xr:uid="{00000000-0005-0000-0000-00009E150000}"/>
    <cellStyle name="Normal 4 4 3 3 6 2" xfId="6829" xr:uid="{00000000-0005-0000-0000-00009F150000}"/>
    <cellStyle name="Normal 4 4 3 3 6 2 2" xfId="25454" xr:uid="{7B9E8DDD-E6D9-48C4-B864-B18962C93D01}"/>
    <cellStyle name="Normal 4 4 3 3 6 2 3" xfId="16155" xr:uid="{4E32C936-8B39-4365-BF0E-1B79FC907FCB}"/>
    <cellStyle name="Normal 4 4 3 3 6 3" xfId="21237" xr:uid="{590A2D88-F15B-4A5B-907C-1CF47C6134DC}"/>
    <cellStyle name="Normal 4 4 3 3 6 4" xfId="11938" xr:uid="{07916F6F-7E92-4CAC-840F-9A49E9F11570}"/>
    <cellStyle name="Normal 4 4 3 3 7" xfId="4764" xr:uid="{00000000-0005-0000-0000-0000A0150000}"/>
    <cellStyle name="Normal 4 4 3 3 7 2" xfId="23389" xr:uid="{BF3C4BD6-0A86-4947-9870-3A67B3F76982}"/>
    <cellStyle name="Normal 4 4 3 3 7 3" xfId="14090" xr:uid="{EE76108E-CAEF-44AA-8F1E-C91A971A49C9}"/>
    <cellStyle name="Normal 4 4 3 3 8" xfId="9030" xr:uid="{F975DAAD-4546-4770-9976-5C5C66DA227B}"/>
    <cellStyle name="Normal 4 4 3 3 8 2" xfId="27653" xr:uid="{49F684EE-E4CA-41CB-8CA0-07FFA9AB82C6}"/>
    <cellStyle name="Normal 4 4 3 3 8 3" xfId="18354" xr:uid="{DA7C5E06-C5D7-4B04-BD91-1C7CE94435B6}"/>
    <cellStyle name="Normal 4 4 3 3 9" xfId="19172" xr:uid="{32C18F0F-6051-457B-BD45-B8EB315FB4C1}"/>
    <cellStyle name="Normal 4 4 3 4" xfId="862" xr:uid="{00000000-0005-0000-0000-0000A1150000}"/>
    <cellStyle name="Normal 4 4 3 4 2" xfId="3097" xr:uid="{00000000-0005-0000-0000-0000A2150000}"/>
    <cellStyle name="Normal 4 4 3 4 2 2" xfId="7319" xr:uid="{00000000-0005-0000-0000-0000A3150000}"/>
    <cellStyle name="Normal 4 4 3 4 2 2 2" xfId="25944" xr:uid="{BEFD48CE-A20D-4D45-954A-06D9EDA5ADD2}"/>
    <cellStyle name="Normal 4 4 3 4 2 2 3" xfId="16645" xr:uid="{AEF3363B-1492-4B7D-B46C-ACD37500459A}"/>
    <cellStyle name="Normal 4 4 3 4 2 3" xfId="21727" xr:uid="{80201C9E-AC45-46BA-8050-2EDFC9ABF493}"/>
    <cellStyle name="Normal 4 4 3 4 2 4" xfId="12428" xr:uid="{FCB71732-DEA5-43D8-AAC7-CEE6442C108E}"/>
    <cellStyle name="Normal 4 4 3 4 3" xfId="5174" xr:uid="{00000000-0005-0000-0000-0000A4150000}"/>
    <cellStyle name="Normal 4 4 3 4 3 2" xfId="23799" xr:uid="{F7388504-2390-4095-8DFA-323EF7F318E0}"/>
    <cellStyle name="Normal 4 4 3 4 3 3" xfId="14500" xr:uid="{A376E466-3D09-4EC8-8392-F12806FE4E13}"/>
    <cellStyle name="Normal 4 4 3 4 4" xfId="9248" xr:uid="{6C5F877B-48E6-47C2-B849-E53F373D5A86}"/>
    <cellStyle name="Normal 4 4 3 4 4 2" xfId="27862" xr:uid="{17AE5207-EB85-4D6C-9142-8848BE1CFF42}"/>
    <cellStyle name="Normal 4 4 3 4 4 3" xfId="18563" xr:uid="{3AB6FF71-A418-4C68-9366-27B39F3E01FD}"/>
    <cellStyle name="Normal 4 4 3 4 5" xfId="19582" xr:uid="{487D08F4-87FB-4515-AE51-8F73159B0828}"/>
    <cellStyle name="Normal 4 4 3 4 6" xfId="10283" xr:uid="{FA01BF6C-6B39-4B24-8429-585083B3DF1E}"/>
    <cellStyle name="Normal 4 4 3 5" xfId="1280" xr:uid="{00000000-0005-0000-0000-0000A5150000}"/>
    <cellStyle name="Normal 4 4 3 5 2" xfId="3510" xr:uid="{00000000-0005-0000-0000-0000A6150000}"/>
    <cellStyle name="Normal 4 4 3 5 2 2" xfId="7732" xr:uid="{00000000-0005-0000-0000-0000A7150000}"/>
    <cellStyle name="Normal 4 4 3 5 2 2 2" xfId="26357" xr:uid="{3A853375-2E2B-4536-8893-9C69771BD176}"/>
    <cellStyle name="Normal 4 4 3 5 2 2 3" xfId="17058" xr:uid="{6AA20460-8F7D-49C3-8391-E80D57110B9F}"/>
    <cellStyle name="Normal 4 4 3 5 2 3" xfId="22140" xr:uid="{631E748A-D4B2-41BD-86FA-800DC41AB58F}"/>
    <cellStyle name="Normal 4 4 3 5 2 4" xfId="12841" xr:uid="{3FCD7DEC-59EB-4107-AB5D-DA36743EF333}"/>
    <cellStyle name="Normal 4 4 3 5 3" xfId="5587" xr:uid="{00000000-0005-0000-0000-0000A8150000}"/>
    <cellStyle name="Normal 4 4 3 5 3 2" xfId="24212" xr:uid="{FB7163E0-29E0-491F-9848-2661D97ACCB4}"/>
    <cellStyle name="Normal 4 4 3 5 3 3" xfId="14913" xr:uid="{5D452079-FB8C-4766-89AD-345B9B82D09C}"/>
    <cellStyle name="Normal 4 4 3 5 4" xfId="19995" xr:uid="{F3644718-CD67-413D-824C-54C82BF52B33}"/>
    <cellStyle name="Normal 4 4 3 5 5" xfId="10696" xr:uid="{AA05446D-FB53-46FC-A33B-235B2F6FC09E}"/>
    <cellStyle name="Normal 4 4 3 6" xfId="1693" xr:uid="{00000000-0005-0000-0000-0000A9150000}"/>
    <cellStyle name="Normal 4 4 3 6 2" xfId="3923" xr:uid="{00000000-0005-0000-0000-0000AA150000}"/>
    <cellStyle name="Normal 4 4 3 6 2 2" xfId="8145" xr:uid="{00000000-0005-0000-0000-0000AB150000}"/>
    <cellStyle name="Normal 4 4 3 6 2 2 2" xfId="26770" xr:uid="{5A02F1F8-02C1-48D5-97AE-6B9D4EF8A0E0}"/>
    <cellStyle name="Normal 4 4 3 6 2 2 3" xfId="17471" xr:uid="{73D9F1D1-A7FB-492A-8FDA-4E5AC2F2ED6C}"/>
    <cellStyle name="Normal 4 4 3 6 2 3" xfId="22553" xr:uid="{60256C8E-87AD-49BF-8BC2-9AD144553C7D}"/>
    <cellStyle name="Normal 4 4 3 6 2 4" xfId="13254" xr:uid="{801FE366-D48E-4D7D-B272-6DA1775C6FF7}"/>
    <cellStyle name="Normal 4 4 3 6 3" xfId="6000" xr:uid="{00000000-0005-0000-0000-0000AC150000}"/>
    <cellStyle name="Normal 4 4 3 6 3 2" xfId="24625" xr:uid="{06F56A4B-1F07-4DDB-8514-B3C45B6ABCE2}"/>
    <cellStyle name="Normal 4 4 3 6 3 3" xfId="15326" xr:uid="{4E1E3DB2-7E79-4F4C-9CB4-FC9509A80EB4}"/>
    <cellStyle name="Normal 4 4 3 6 4" xfId="20408" xr:uid="{7BF803E4-6446-433C-B56D-DEBE56E52E79}"/>
    <cellStyle name="Normal 4 4 3 6 5" xfId="11109" xr:uid="{A9DFBADE-162A-42E5-B94D-6FAED3BEE0DD}"/>
    <cellStyle name="Normal 4 4 3 7" xfId="2107" xr:uid="{00000000-0005-0000-0000-0000AD150000}"/>
    <cellStyle name="Normal 4 4 3 7 2" xfId="4336" xr:uid="{00000000-0005-0000-0000-0000AE150000}"/>
    <cellStyle name="Normal 4 4 3 7 2 2" xfId="8558" xr:uid="{00000000-0005-0000-0000-0000AF150000}"/>
    <cellStyle name="Normal 4 4 3 7 2 2 2" xfId="27183" xr:uid="{2C52E500-ACEE-45E7-AC7E-BB7EECD8FADB}"/>
    <cellStyle name="Normal 4 4 3 7 2 2 3" xfId="17884" xr:uid="{72F30260-33DB-4BFA-8947-AC4A1BB7B26A}"/>
    <cellStyle name="Normal 4 4 3 7 2 3" xfId="22966" xr:uid="{1CB4EB29-BD1B-4293-B53C-E08586EF4D02}"/>
    <cellStyle name="Normal 4 4 3 7 2 4" xfId="13667" xr:uid="{AD73C934-76CC-4289-B338-BF753155B7BD}"/>
    <cellStyle name="Normal 4 4 3 7 3" xfId="6413" xr:uid="{00000000-0005-0000-0000-0000B0150000}"/>
    <cellStyle name="Normal 4 4 3 7 3 2" xfId="25038" xr:uid="{AA255651-4955-4700-8A78-8BD7549CD184}"/>
    <cellStyle name="Normal 4 4 3 7 3 3" xfId="15739" xr:uid="{F809BDB8-AA58-491D-953E-3AD0C41B9F49}"/>
    <cellStyle name="Normal 4 4 3 7 4" xfId="20821" xr:uid="{D7FD8B11-58FF-4973-8AEB-42998F7D4215}"/>
    <cellStyle name="Normal 4 4 3 7 5" xfId="11522" xr:uid="{1CA2F133-AC1D-4306-89FA-9B2587CAB978}"/>
    <cellStyle name="Normal 4 4 3 8" xfId="2543" xr:uid="{00000000-0005-0000-0000-0000B1150000}"/>
    <cellStyle name="Normal 4 4 3 8 2" xfId="6826" xr:uid="{00000000-0005-0000-0000-0000B2150000}"/>
    <cellStyle name="Normal 4 4 3 8 2 2" xfId="25451" xr:uid="{878787DB-3DEC-4804-B0C7-2E6E020BA862}"/>
    <cellStyle name="Normal 4 4 3 8 2 3" xfId="16152" xr:uid="{458A0EA9-CF25-4E11-8208-41883E1948CC}"/>
    <cellStyle name="Normal 4 4 3 8 3" xfId="21234" xr:uid="{F97F5E76-DBEA-4E06-A8B5-E5DFAD29F1C6}"/>
    <cellStyle name="Normal 4 4 3 8 4" xfId="11935" xr:uid="{7FEF8591-4E86-4CDC-9804-F8324D9B1FFB}"/>
    <cellStyle name="Normal 4 4 3 9" xfId="4761" xr:uid="{00000000-0005-0000-0000-0000B3150000}"/>
    <cellStyle name="Normal 4 4 3 9 2" xfId="23386" xr:uid="{EE259A21-3F7C-45E6-8F7B-D048B455365A}"/>
    <cellStyle name="Normal 4 4 3 9 3" xfId="14087" xr:uid="{9B2DAD55-ED88-4053-A19E-3B6DC75FF7B8}"/>
    <cellStyle name="Normal 4 4 4" xfId="391" xr:uid="{00000000-0005-0000-0000-0000B4150000}"/>
    <cellStyle name="Normal 4 4 4 10" xfId="19173" xr:uid="{3C42AEA7-AA90-4FBB-B433-418C50A44BE7}"/>
    <cellStyle name="Normal 4 4 4 11" xfId="9874" xr:uid="{860913AF-D2D7-4AE6-899C-35592236682E}"/>
    <cellStyle name="Normal 4 4 4 2" xfId="392" xr:uid="{00000000-0005-0000-0000-0000B5150000}"/>
    <cellStyle name="Normal 4 4 4 2 10" xfId="9875" xr:uid="{39474592-EB86-4B4D-91FF-A122132A7A56}"/>
    <cellStyle name="Normal 4 4 4 2 2" xfId="867" xr:uid="{00000000-0005-0000-0000-0000B6150000}"/>
    <cellStyle name="Normal 4 4 4 2 2 2" xfId="3102" xr:uid="{00000000-0005-0000-0000-0000B7150000}"/>
    <cellStyle name="Normal 4 4 4 2 2 2 2" xfId="7324" xr:uid="{00000000-0005-0000-0000-0000B8150000}"/>
    <cellStyle name="Normal 4 4 4 2 2 2 2 2" xfId="25949" xr:uid="{274C99A1-40DA-4DD0-8D6B-3411C3C2B40F}"/>
    <cellStyle name="Normal 4 4 4 2 2 2 2 3" xfId="16650" xr:uid="{769DBDAF-EE89-481F-83E2-8286D1CD96D9}"/>
    <cellStyle name="Normal 4 4 4 2 2 2 3" xfId="21732" xr:uid="{70C48578-E2A6-456D-A594-A3520C4EF220}"/>
    <cellStyle name="Normal 4 4 4 2 2 2 4" xfId="12433" xr:uid="{7A276DD2-774F-4094-9E10-05A08845F1A9}"/>
    <cellStyle name="Normal 4 4 4 2 2 3" xfId="5179" xr:uid="{00000000-0005-0000-0000-0000B9150000}"/>
    <cellStyle name="Normal 4 4 4 2 2 3 2" xfId="23804" xr:uid="{D4EEA22A-F5F8-4744-B695-2FEFEC234139}"/>
    <cellStyle name="Normal 4 4 4 2 2 3 3" xfId="14505" xr:uid="{B49B0629-6328-448C-8E65-71D35BCCA422}"/>
    <cellStyle name="Normal 4 4 4 2 2 4" xfId="9484" xr:uid="{69910E0C-08C8-41C5-A6FC-61B52F6CD538}"/>
    <cellStyle name="Normal 4 4 4 2 2 4 2" xfId="28098" xr:uid="{5CEE642C-22B6-4552-9D9B-9256DA6BEE90}"/>
    <cellStyle name="Normal 4 4 4 2 2 4 3" xfId="18799" xr:uid="{866C90BA-7AC3-485B-B819-AD28D5052BD8}"/>
    <cellStyle name="Normal 4 4 4 2 2 5" xfId="19587" xr:uid="{910CFDA5-D3E1-485F-82DC-4BD666473757}"/>
    <cellStyle name="Normal 4 4 4 2 2 6" xfId="10288" xr:uid="{6B1F0697-4D94-4F8C-B2F4-20EF17B25249}"/>
    <cellStyle name="Normal 4 4 4 2 3" xfId="1285" xr:uid="{00000000-0005-0000-0000-0000BA150000}"/>
    <cellStyle name="Normal 4 4 4 2 3 2" xfId="3515" xr:uid="{00000000-0005-0000-0000-0000BB150000}"/>
    <cellStyle name="Normal 4 4 4 2 3 2 2" xfId="7737" xr:uid="{00000000-0005-0000-0000-0000BC150000}"/>
    <cellStyle name="Normal 4 4 4 2 3 2 2 2" xfId="26362" xr:uid="{63835462-C48D-4796-B3F9-D37972ADB7AE}"/>
    <cellStyle name="Normal 4 4 4 2 3 2 2 3" xfId="17063" xr:uid="{E8BFF0F6-BC3A-4AD1-B0D5-030755D6193D}"/>
    <cellStyle name="Normal 4 4 4 2 3 2 3" xfId="22145" xr:uid="{31B302AC-E909-4CD1-9013-F8CB56AC15C2}"/>
    <cellStyle name="Normal 4 4 4 2 3 2 4" xfId="12846" xr:uid="{C8186957-23D4-4FF9-9F19-BC842F9D3D1C}"/>
    <cellStyle name="Normal 4 4 4 2 3 3" xfId="5592" xr:uid="{00000000-0005-0000-0000-0000BD150000}"/>
    <cellStyle name="Normal 4 4 4 2 3 3 2" xfId="24217" xr:uid="{B6569257-5423-4E41-AFC3-BDF4FAD5043B}"/>
    <cellStyle name="Normal 4 4 4 2 3 3 3" xfId="14918" xr:uid="{0CC3E5A0-9896-4BE0-BCC9-232BE44DC0A4}"/>
    <cellStyle name="Normal 4 4 4 2 3 4" xfId="20000" xr:uid="{E97E9970-CE4D-4DFD-B344-C61A47C1BD0C}"/>
    <cellStyle name="Normal 4 4 4 2 3 5" xfId="10701" xr:uid="{BECCF545-F0F9-48EE-A01F-3A49755B250F}"/>
    <cellStyle name="Normal 4 4 4 2 4" xfId="1698" xr:uid="{00000000-0005-0000-0000-0000BE150000}"/>
    <cellStyle name="Normal 4 4 4 2 4 2" xfId="3928" xr:uid="{00000000-0005-0000-0000-0000BF150000}"/>
    <cellStyle name="Normal 4 4 4 2 4 2 2" xfId="8150" xr:uid="{00000000-0005-0000-0000-0000C0150000}"/>
    <cellStyle name="Normal 4 4 4 2 4 2 2 2" xfId="26775" xr:uid="{7CBE3CF0-CA90-4FF0-A3CF-590D52E6B06D}"/>
    <cellStyle name="Normal 4 4 4 2 4 2 2 3" xfId="17476" xr:uid="{AADCA961-E863-4BF4-9698-D719927A8A7E}"/>
    <cellStyle name="Normal 4 4 4 2 4 2 3" xfId="22558" xr:uid="{4174483C-990B-48FE-98E8-996620D98042}"/>
    <cellStyle name="Normal 4 4 4 2 4 2 4" xfId="13259" xr:uid="{0FC4D01A-C1D0-4773-95B1-C9BB7ED9DDD4}"/>
    <cellStyle name="Normal 4 4 4 2 4 3" xfId="6005" xr:uid="{00000000-0005-0000-0000-0000C1150000}"/>
    <cellStyle name="Normal 4 4 4 2 4 3 2" xfId="24630" xr:uid="{AC8A1DDD-386E-458B-BDD2-523CA60FB667}"/>
    <cellStyle name="Normal 4 4 4 2 4 3 3" xfId="15331" xr:uid="{D1D7791D-6429-42FF-AEB7-4B9E92538AAB}"/>
    <cellStyle name="Normal 4 4 4 2 4 4" xfId="20413" xr:uid="{3E483425-9C8B-4C25-8F36-6587CEA61C78}"/>
    <cellStyle name="Normal 4 4 4 2 4 5" xfId="11114" xr:uid="{C36DF8D2-DA65-4593-918D-5337FF4B1070}"/>
    <cellStyle name="Normal 4 4 4 2 5" xfId="2112" xr:uid="{00000000-0005-0000-0000-0000C2150000}"/>
    <cellStyle name="Normal 4 4 4 2 5 2" xfId="4341" xr:uid="{00000000-0005-0000-0000-0000C3150000}"/>
    <cellStyle name="Normal 4 4 4 2 5 2 2" xfId="8563" xr:uid="{00000000-0005-0000-0000-0000C4150000}"/>
    <cellStyle name="Normal 4 4 4 2 5 2 2 2" xfId="27188" xr:uid="{3F8A1ED7-DABF-4CBE-9C81-28B24CC7AF20}"/>
    <cellStyle name="Normal 4 4 4 2 5 2 2 3" xfId="17889" xr:uid="{D5AAC4D8-8AA7-4220-A060-598692D44C94}"/>
    <cellStyle name="Normal 4 4 4 2 5 2 3" xfId="22971" xr:uid="{7333D349-E3A3-42F8-BB6F-EC4B4CA300DD}"/>
    <cellStyle name="Normal 4 4 4 2 5 2 4" xfId="13672" xr:uid="{B59DB025-1AEF-45C5-9177-CCF9EE699139}"/>
    <cellStyle name="Normal 4 4 4 2 5 3" xfId="6418" xr:uid="{00000000-0005-0000-0000-0000C5150000}"/>
    <cellStyle name="Normal 4 4 4 2 5 3 2" xfId="25043" xr:uid="{8AD83C8F-7B19-472B-8274-0107055A0453}"/>
    <cellStyle name="Normal 4 4 4 2 5 3 3" xfId="15744" xr:uid="{F8F6FA31-9118-4B45-B4BB-1F4506182C16}"/>
    <cellStyle name="Normal 4 4 4 2 5 4" xfId="20826" xr:uid="{29186412-60AE-4000-B20D-3767F7F7AE00}"/>
    <cellStyle name="Normal 4 4 4 2 5 5" xfId="11527" xr:uid="{4D69B941-CFE7-43C2-9D89-56DC704E7A7F}"/>
    <cellStyle name="Normal 4 4 4 2 6" xfId="2548" xr:uid="{00000000-0005-0000-0000-0000C6150000}"/>
    <cellStyle name="Normal 4 4 4 2 6 2" xfId="6831" xr:uid="{00000000-0005-0000-0000-0000C7150000}"/>
    <cellStyle name="Normal 4 4 4 2 6 2 2" xfId="25456" xr:uid="{0408999D-2F0F-4FFB-ACD0-22A1CEF16FF7}"/>
    <cellStyle name="Normal 4 4 4 2 6 2 3" xfId="16157" xr:uid="{A40AF5D5-AB22-4351-9689-36EBB34734C9}"/>
    <cellStyle name="Normal 4 4 4 2 6 3" xfId="21239" xr:uid="{46F237D4-D82D-401A-874C-34CF9354C98E}"/>
    <cellStyle name="Normal 4 4 4 2 6 4" xfId="11940" xr:uid="{605E58C3-8ED0-4B82-93CD-59198BF99258}"/>
    <cellStyle name="Normal 4 4 4 2 7" xfId="4766" xr:uid="{00000000-0005-0000-0000-0000C8150000}"/>
    <cellStyle name="Normal 4 4 4 2 7 2" xfId="23391" xr:uid="{2C3438EB-C42F-453E-858A-362AFFC95F95}"/>
    <cellStyle name="Normal 4 4 4 2 7 3" xfId="14092" xr:uid="{CDD754A4-4296-42C5-9CA2-68C51AA77150}"/>
    <cellStyle name="Normal 4 4 4 2 8" xfId="9059" xr:uid="{76617FCA-DBA6-4291-BD32-6340A19903F7}"/>
    <cellStyle name="Normal 4 4 4 2 8 2" xfId="27682" xr:uid="{78802C1D-9705-4035-BFB1-BFC404E0BB2C}"/>
    <cellStyle name="Normal 4 4 4 2 8 3" xfId="18383" xr:uid="{AC291C61-B2ED-4307-9EFC-7C6933B7F9A1}"/>
    <cellStyle name="Normal 4 4 4 2 9" xfId="19174" xr:uid="{8C5F40CE-3B8D-4BAE-A95F-1EFDDBEDD537}"/>
    <cellStyle name="Normal 4 4 4 3" xfId="866" xr:uid="{00000000-0005-0000-0000-0000C9150000}"/>
    <cellStyle name="Normal 4 4 4 3 2" xfId="3101" xr:uid="{00000000-0005-0000-0000-0000CA150000}"/>
    <cellStyle name="Normal 4 4 4 3 2 2" xfId="7323" xr:uid="{00000000-0005-0000-0000-0000CB150000}"/>
    <cellStyle name="Normal 4 4 4 3 2 2 2" xfId="25948" xr:uid="{70C5408A-E83F-4A0E-908D-87600641DCAF}"/>
    <cellStyle name="Normal 4 4 4 3 2 2 3" xfId="16649" xr:uid="{61E544AD-9374-4E13-B4C1-6795E1ADFA31}"/>
    <cellStyle name="Normal 4 4 4 3 2 3" xfId="21731" xr:uid="{9411D516-A229-44A8-B9B6-4F23D43D579C}"/>
    <cellStyle name="Normal 4 4 4 3 2 4" xfId="12432" xr:uid="{F7E1A730-2D88-4385-B625-E389E8DBE2DE}"/>
    <cellStyle name="Normal 4 4 4 3 3" xfId="5178" xr:uid="{00000000-0005-0000-0000-0000CC150000}"/>
    <cellStyle name="Normal 4 4 4 3 3 2" xfId="23803" xr:uid="{2F6D1ADF-F6CD-4E6D-8B5B-A62359BF5082}"/>
    <cellStyle name="Normal 4 4 4 3 3 3" xfId="14504" xr:uid="{EABC5406-22EB-4EDB-8864-3F236C6BC88B}"/>
    <cellStyle name="Normal 4 4 4 3 4" xfId="9277" xr:uid="{DD01CD29-2559-4BCC-919C-99D1D75C445F}"/>
    <cellStyle name="Normal 4 4 4 3 4 2" xfId="27891" xr:uid="{8E93FD69-842C-465E-BAB0-8576AD6BD26D}"/>
    <cellStyle name="Normal 4 4 4 3 4 3" xfId="18592" xr:uid="{E012F214-EEDD-489F-8E8F-E688DB99C815}"/>
    <cellStyle name="Normal 4 4 4 3 5" xfId="19586" xr:uid="{1D7CB1BD-36EB-418F-BF43-7D1F0CD824A3}"/>
    <cellStyle name="Normal 4 4 4 3 6" xfId="10287" xr:uid="{D4F39398-0FCD-412D-A314-E30E87846B63}"/>
    <cellStyle name="Normal 4 4 4 4" xfId="1284" xr:uid="{00000000-0005-0000-0000-0000CD150000}"/>
    <cellStyle name="Normal 4 4 4 4 2" xfId="3514" xr:uid="{00000000-0005-0000-0000-0000CE150000}"/>
    <cellStyle name="Normal 4 4 4 4 2 2" xfId="7736" xr:uid="{00000000-0005-0000-0000-0000CF150000}"/>
    <cellStyle name="Normal 4 4 4 4 2 2 2" xfId="26361" xr:uid="{50B2009E-8968-4BED-9346-0513D0ECE050}"/>
    <cellStyle name="Normal 4 4 4 4 2 2 3" xfId="17062" xr:uid="{85614A64-D5E4-4BE5-8EC6-27D486FF5787}"/>
    <cellStyle name="Normal 4 4 4 4 2 3" xfId="22144" xr:uid="{811CAA6F-B293-4106-9479-75B4550D6DDC}"/>
    <cellStyle name="Normal 4 4 4 4 2 4" xfId="12845" xr:uid="{F5E56B19-C106-4F63-AF5D-A0E9950F9314}"/>
    <cellStyle name="Normal 4 4 4 4 3" xfId="5591" xr:uid="{00000000-0005-0000-0000-0000D0150000}"/>
    <cellStyle name="Normal 4 4 4 4 3 2" xfId="24216" xr:uid="{C6114682-60E2-443B-BD9C-D2882356314F}"/>
    <cellStyle name="Normal 4 4 4 4 3 3" xfId="14917" xr:uid="{E0271ACE-D4A1-42E9-B731-48E2D33A65D9}"/>
    <cellStyle name="Normal 4 4 4 4 4" xfId="19999" xr:uid="{F9493925-8F47-48C1-ABCF-9499E22216FC}"/>
    <cellStyle name="Normal 4 4 4 4 5" xfId="10700" xr:uid="{A512C3EF-2338-4BCC-9594-C0BAE6FEA5E2}"/>
    <cellStyle name="Normal 4 4 4 5" xfId="1697" xr:uid="{00000000-0005-0000-0000-0000D1150000}"/>
    <cellStyle name="Normal 4 4 4 5 2" xfId="3927" xr:uid="{00000000-0005-0000-0000-0000D2150000}"/>
    <cellStyle name="Normal 4 4 4 5 2 2" xfId="8149" xr:uid="{00000000-0005-0000-0000-0000D3150000}"/>
    <cellStyle name="Normal 4 4 4 5 2 2 2" xfId="26774" xr:uid="{92F72CA7-281A-46EC-BB73-81B30491756C}"/>
    <cellStyle name="Normal 4 4 4 5 2 2 3" xfId="17475" xr:uid="{F5FE27A8-7B85-4291-871E-6628BC4DF235}"/>
    <cellStyle name="Normal 4 4 4 5 2 3" xfId="22557" xr:uid="{B0B4389D-7B2F-4C6E-B8C5-DA37581011FB}"/>
    <cellStyle name="Normal 4 4 4 5 2 4" xfId="13258" xr:uid="{34CCD2E4-7C67-4925-991E-BA7605027822}"/>
    <cellStyle name="Normal 4 4 4 5 3" xfId="6004" xr:uid="{00000000-0005-0000-0000-0000D4150000}"/>
    <cellStyle name="Normal 4 4 4 5 3 2" xfId="24629" xr:uid="{FF2E057D-B4B6-4835-B011-76BBD91E3DFE}"/>
    <cellStyle name="Normal 4 4 4 5 3 3" xfId="15330" xr:uid="{98D87C3D-E1E7-4EA7-999A-10BD774F97D5}"/>
    <cellStyle name="Normal 4 4 4 5 4" xfId="20412" xr:uid="{3217A684-7678-40D5-A611-A9D0601D5ED3}"/>
    <cellStyle name="Normal 4 4 4 5 5" xfId="11113" xr:uid="{8AADB28F-3726-47DC-B6B8-642B8F8F8A5F}"/>
    <cellStyle name="Normal 4 4 4 6" xfId="2111" xr:uid="{00000000-0005-0000-0000-0000D5150000}"/>
    <cellStyle name="Normal 4 4 4 6 2" xfId="4340" xr:uid="{00000000-0005-0000-0000-0000D6150000}"/>
    <cellStyle name="Normal 4 4 4 6 2 2" xfId="8562" xr:uid="{00000000-0005-0000-0000-0000D7150000}"/>
    <cellStyle name="Normal 4 4 4 6 2 2 2" xfId="27187" xr:uid="{1057CC9A-599D-46C1-9F8C-F32E583CE320}"/>
    <cellStyle name="Normal 4 4 4 6 2 2 3" xfId="17888" xr:uid="{4D219739-6497-4073-ADEB-C446224C2916}"/>
    <cellStyle name="Normal 4 4 4 6 2 3" xfId="22970" xr:uid="{1CE6E393-AABD-4389-8462-B813ED52D581}"/>
    <cellStyle name="Normal 4 4 4 6 2 4" xfId="13671" xr:uid="{FE0D8ECA-46DD-4C9C-A5A1-27147F1D50F1}"/>
    <cellStyle name="Normal 4 4 4 6 3" xfId="6417" xr:uid="{00000000-0005-0000-0000-0000D8150000}"/>
    <cellStyle name="Normal 4 4 4 6 3 2" xfId="25042" xr:uid="{4DDD2E01-ABE4-4B19-A38A-075F9BB08214}"/>
    <cellStyle name="Normal 4 4 4 6 3 3" xfId="15743" xr:uid="{DEDBC29C-0C08-4A82-BFD0-D56E51B49EA6}"/>
    <cellStyle name="Normal 4 4 4 6 4" xfId="20825" xr:uid="{F36B3F6E-3C63-4DA7-942A-FCD20D52E0A2}"/>
    <cellStyle name="Normal 4 4 4 6 5" xfId="11526" xr:uid="{60619CB6-1EA2-49ED-8EA9-973322CC9782}"/>
    <cellStyle name="Normal 4 4 4 7" xfId="2547" xr:uid="{00000000-0005-0000-0000-0000D9150000}"/>
    <cellStyle name="Normal 4 4 4 7 2" xfId="6830" xr:uid="{00000000-0005-0000-0000-0000DA150000}"/>
    <cellStyle name="Normal 4 4 4 7 2 2" xfId="25455" xr:uid="{D5C3D3D1-882A-49B3-A472-63F36D9C6966}"/>
    <cellStyle name="Normal 4 4 4 7 2 3" xfId="16156" xr:uid="{67A929C1-50D5-4BB3-9205-865718A94AE8}"/>
    <cellStyle name="Normal 4 4 4 7 3" xfId="21238" xr:uid="{E4C5E3E5-B835-4634-AC1C-4BB29DB275B3}"/>
    <cellStyle name="Normal 4 4 4 7 4" xfId="11939" xr:uid="{309C491C-1275-41B4-847A-43AEECCA13FF}"/>
    <cellStyle name="Normal 4 4 4 8" xfId="4765" xr:uid="{00000000-0005-0000-0000-0000DB150000}"/>
    <cellStyle name="Normal 4 4 4 8 2" xfId="23390" xr:uid="{7520233E-D951-4D55-B19C-3ED5378E500E}"/>
    <cellStyle name="Normal 4 4 4 8 3" xfId="14091" xr:uid="{48AEF07B-C037-48B7-A045-A7CCE5355164}"/>
    <cellStyle name="Normal 4 4 4 9" xfId="8852" xr:uid="{DF4BB962-85B1-44B5-A0FE-735796672772}"/>
    <cellStyle name="Normal 4 4 4 9 2" xfId="27475" xr:uid="{E9999414-9DDF-4409-B4E8-AFDDD662C422}"/>
    <cellStyle name="Normal 4 4 4 9 3" xfId="18176" xr:uid="{A1CC8EE9-2480-4C99-BEA4-B0FB80D8D4A6}"/>
    <cellStyle name="Normal 4 4 5" xfId="393" xr:uid="{00000000-0005-0000-0000-0000DC150000}"/>
    <cellStyle name="Normal 4 4 5 10" xfId="9876" xr:uid="{D2D3782F-2EB6-4E0B-8F5A-5BFCA55CF710}"/>
    <cellStyle name="Normal 4 4 5 2" xfId="868" xr:uid="{00000000-0005-0000-0000-0000DD150000}"/>
    <cellStyle name="Normal 4 4 5 2 2" xfId="3103" xr:uid="{00000000-0005-0000-0000-0000DE150000}"/>
    <cellStyle name="Normal 4 4 5 2 2 2" xfId="7325" xr:uid="{00000000-0005-0000-0000-0000DF150000}"/>
    <cellStyle name="Normal 4 4 5 2 2 2 2" xfId="25950" xr:uid="{1722DF09-485B-4BFA-8D54-CDE98C49D234}"/>
    <cellStyle name="Normal 4 4 5 2 2 2 3" xfId="16651" xr:uid="{D7D1D613-D463-4A23-AF20-94FCCB16980A}"/>
    <cellStyle name="Normal 4 4 5 2 2 3" xfId="21733" xr:uid="{CBE1C234-24DC-4A1B-B076-E48F157EFE20}"/>
    <cellStyle name="Normal 4 4 5 2 2 4" xfId="12434" xr:uid="{45FAA2A9-67FE-4F52-9743-B859E7FC3350}"/>
    <cellStyle name="Normal 4 4 5 2 3" xfId="5180" xr:uid="{00000000-0005-0000-0000-0000E0150000}"/>
    <cellStyle name="Normal 4 4 5 2 3 2" xfId="23805" xr:uid="{81A43B73-28E8-41A3-8BC8-0ED3EB087451}"/>
    <cellStyle name="Normal 4 4 5 2 3 3" xfId="14506" xr:uid="{D0B91833-419F-4666-81AA-38E63C70C3ED}"/>
    <cellStyle name="Normal 4 4 5 2 4" xfId="9393" xr:uid="{C2991CC4-4E0B-46C4-B338-C6A1C9BA2DE9}"/>
    <cellStyle name="Normal 4 4 5 2 4 2" xfId="28007" xr:uid="{430C4BA9-9B56-4D8F-B1E8-689F86113E4F}"/>
    <cellStyle name="Normal 4 4 5 2 4 3" xfId="18708" xr:uid="{1AA5ED63-D447-481F-9D19-EA55D22FE98C}"/>
    <cellStyle name="Normal 4 4 5 2 5" xfId="19588" xr:uid="{1E78A033-66D1-4154-81E9-48CF156ABDA2}"/>
    <cellStyle name="Normal 4 4 5 2 6" xfId="10289" xr:uid="{8A68472D-D998-42F3-B348-BFE7A73299EE}"/>
    <cellStyle name="Normal 4 4 5 3" xfId="1286" xr:uid="{00000000-0005-0000-0000-0000E1150000}"/>
    <cellStyle name="Normal 4 4 5 3 2" xfId="3516" xr:uid="{00000000-0005-0000-0000-0000E2150000}"/>
    <cellStyle name="Normal 4 4 5 3 2 2" xfId="7738" xr:uid="{00000000-0005-0000-0000-0000E3150000}"/>
    <cellStyle name="Normal 4 4 5 3 2 2 2" xfId="26363" xr:uid="{DCCBED62-37E4-4599-9BE5-BF45948F8920}"/>
    <cellStyle name="Normal 4 4 5 3 2 2 3" xfId="17064" xr:uid="{FE2EAD49-B179-4B19-9E19-18BCEF1111E7}"/>
    <cellStyle name="Normal 4 4 5 3 2 3" xfId="22146" xr:uid="{A495E840-6924-41BD-AC61-B71B2A11F7C1}"/>
    <cellStyle name="Normal 4 4 5 3 2 4" xfId="12847" xr:uid="{60AA83BE-15CC-47FE-BB36-E25F37AF9885}"/>
    <cellStyle name="Normal 4 4 5 3 3" xfId="5593" xr:uid="{00000000-0005-0000-0000-0000E4150000}"/>
    <cellStyle name="Normal 4 4 5 3 3 2" xfId="24218" xr:uid="{800A5446-EB4C-401A-B6F0-839D12E35099}"/>
    <cellStyle name="Normal 4 4 5 3 3 3" xfId="14919" xr:uid="{18DE8789-D9F6-40CE-8891-4E63F1B78D3A}"/>
    <cellStyle name="Normal 4 4 5 3 4" xfId="20001" xr:uid="{1D162494-DD06-409B-A284-57136EC5BA2E}"/>
    <cellStyle name="Normal 4 4 5 3 5" xfId="10702" xr:uid="{8645F958-23C6-442F-9D39-0890902C16B4}"/>
    <cellStyle name="Normal 4 4 5 4" xfId="1699" xr:uid="{00000000-0005-0000-0000-0000E5150000}"/>
    <cellStyle name="Normal 4 4 5 4 2" xfId="3929" xr:uid="{00000000-0005-0000-0000-0000E6150000}"/>
    <cellStyle name="Normal 4 4 5 4 2 2" xfId="8151" xr:uid="{00000000-0005-0000-0000-0000E7150000}"/>
    <cellStyle name="Normal 4 4 5 4 2 2 2" xfId="26776" xr:uid="{03415A46-F405-47EE-A896-01F0117B4943}"/>
    <cellStyle name="Normal 4 4 5 4 2 2 3" xfId="17477" xr:uid="{84753065-87A1-4215-BFAE-CBB4681B8134}"/>
    <cellStyle name="Normal 4 4 5 4 2 3" xfId="22559" xr:uid="{725492F2-046E-407E-B892-4C00668C075B}"/>
    <cellStyle name="Normal 4 4 5 4 2 4" xfId="13260" xr:uid="{68273731-9FD1-4DEC-9E92-86631D76B78F}"/>
    <cellStyle name="Normal 4 4 5 4 3" xfId="6006" xr:uid="{00000000-0005-0000-0000-0000E8150000}"/>
    <cellStyle name="Normal 4 4 5 4 3 2" xfId="24631" xr:uid="{27ED358A-F6DD-4166-BBCB-51948A018227}"/>
    <cellStyle name="Normal 4 4 5 4 3 3" xfId="15332" xr:uid="{77AAA533-A583-4EE4-8E4A-528A1869A816}"/>
    <cellStyle name="Normal 4 4 5 4 4" xfId="20414" xr:uid="{0D90CCEB-82EE-4BF1-A29C-43CC7E119D9B}"/>
    <cellStyle name="Normal 4 4 5 4 5" xfId="11115" xr:uid="{37A67DA4-3277-40F8-8CD9-E9CC1C19DD2F}"/>
    <cellStyle name="Normal 4 4 5 5" xfId="2113" xr:uid="{00000000-0005-0000-0000-0000E9150000}"/>
    <cellStyle name="Normal 4 4 5 5 2" xfId="4342" xr:uid="{00000000-0005-0000-0000-0000EA150000}"/>
    <cellStyle name="Normal 4 4 5 5 2 2" xfId="8564" xr:uid="{00000000-0005-0000-0000-0000EB150000}"/>
    <cellStyle name="Normal 4 4 5 5 2 2 2" xfId="27189" xr:uid="{3DCF4200-0A53-4688-8941-EC3E4C812810}"/>
    <cellStyle name="Normal 4 4 5 5 2 2 3" xfId="17890" xr:uid="{CACB97F4-A9CC-4237-9C8B-F52FF83F83F1}"/>
    <cellStyle name="Normal 4 4 5 5 2 3" xfId="22972" xr:uid="{745AF5AB-168D-49CE-B694-4D9DF4C926E2}"/>
    <cellStyle name="Normal 4 4 5 5 2 4" xfId="13673" xr:uid="{BB079D7E-CBFF-4322-A47F-A9AE5CAB15F4}"/>
    <cellStyle name="Normal 4 4 5 5 3" xfId="6419" xr:uid="{00000000-0005-0000-0000-0000EC150000}"/>
    <cellStyle name="Normal 4 4 5 5 3 2" xfId="25044" xr:uid="{975519AE-C68B-4545-9224-8F16BF2692F5}"/>
    <cellStyle name="Normal 4 4 5 5 3 3" xfId="15745" xr:uid="{53697A13-B2D8-4DAE-B3D1-276199F8AD9B}"/>
    <cellStyle name="Normal 4 4 5 5 4" xfId="20827" xr:uid="{0D46FD61-68B7-4AE1-8FF7-AA399EAF0CA5}"/>
    <cellStyle name="Normal 4 4 5 5 5" xfId="11528" xr:uid="{D802A45F-0094-4043-99B8-F04E86D01EBA}"/>
    <cellStyle name="Normal 4 4 5 6" xfId="2549" xr:uid="{00000000-0005-0000-0000-0000ED150000}"/>
    <cellStyle name="Normal 4 4 5 6 2" xfId="6832" xr:uid="{00000000-0005-0000-0000-0000EE150000}"/>
    <cellStyle name="Normal 4 4 5 6 2 2" xfId="25457" xr:uid="{2E94272E-BF00-46B9-9755-0F62D9D126C8}"/>
    <cellStyle name="Normal 4 4 5 6 2 3" xfId="16158" xr:uid="{4D246C72-056C-4C60-AD0D-201D899EC0CC}"/>
    <cellStyle name="Normal 4 4 5 6 3" xfId="21240" xr:uid="{640DDD51-B598-4D7F-B802-812F7D3B83A7}"/>
    <cellStyle name="Normal 4 4 5 6 4" xfId="11941" xr:uid="{6739CA54-C340-4EF0-A5A2-59E609A71F69}"/>
    <cellStyle name="Normal 4 4 5 7" xfId="4767" xr:uid="{00000000-0005-0000-0000-0000EF150000}"/>
    <cellStyle name="Normal 4 4 5 7 2" xfId="23392" xr:uid="{9DC6B344-FB77-46C8-A988-F7F86192567C}"/>
    <cellStyle name="Normal 4 4 5 7 3" xfId="14093" xr:uid="{A51BB9E6-5761-48B7-8F2C-1F58E2CFD637}"/>
    <cellStyle name="Normal 4 4 5 8" xfId="8968" xr:uid="{BE877DDE-435D-4CBA-84F2-0372D1DDE771}"/>
    <cellStyle name="Normal 4 4 5 8 2" xfId="27591" xr:uid="{2F041960-E71E-476D-933C-FB5D4618B808}"/>
    <cellStyle name="Normal 4 4 5 8 3" xfId="18292" xr:uid="{B7B738CD-A73A-49B1-8A48-229DA1A57B8E}"/>
    <cellStyle name="Normal 4 4 5 9" xfId="19175" xr:uid="{ED68C63E-0A47-4F44-9630-D3607D19FDD7}"/>
    <cellStyle name="Normal 4 4 6" xfId="853" xr:uid="{00000000-0005-0000-0000-0000F0150000}"/>
    <cellStyle name="Normal 4 4 6 2" xfId="3088" xr:uid="{00000000-0005-0000-0000-0000F1150000}"/>
    <cellStyle name="Normal 4 4 6 2 2" xfId="7310" xr:uid="{00000000-0005-0000-0000-0000F2150000}"/>
    <cellStyle name="Normal 4 4 6 2 2 2" xfId="25935" xr:uid="{E6EA3487-813D-4156-82A6-2D93F975F61C}"/>
    <cellStyle name="Normal 4 4 6 2 2 3" xfId="16636" xr:uid="{85F74D2C-83C1-420E-97F6-2F7CCBF02B89}"/>
    <cellStyle name="Normal 4 4 6 2 3" xfId="21718" xr:uid="{60E4BDF9-0AB5-411A-8767-2B19E206B6D6}"/>
    <cellStyle name="Normal 4 4 6 2 4" xfId="12419" xr:uid="{EFFDF136-37FE-4892-BCEE-951BC84ACFF9}"/>
    <cellStyle name="Normal 4 4 6 3" xfId="5165" xr:uid="{00000000-0005-0000-0000-0000F3150000}"/>
    <cellStyle name="Normal 4 4 6 3 2" xfId="23790" xr:uid="{46163809-7751-4CEC-9E4F-E23544844E48}"/>
    <cellStyle name="Normal 4 4 6 3 3" xfId="14491" xr:uid="{C39D8E71-A26C-46B5-A556-033FF908FECE}"/>
    <cellStyle name="Normal 4 4 6 4" xfId="9171" xr:uid="{C474601B-95F0-4C9E-AB77-B3E61D2A21D7}"/>
    <cellStyle name="Normal 4 4 6 4 2" xfId="27788" xr:uid="{797184DB-3E17-4C7B-B490-4E9908FA5F16}"/>
    <cellStyle name="Normal 4 4 6 4 3" xfId="18489" xr:uid="{616B0AB2-3290-4608-A55F-0E5DCF1AA6CE}"/>
    <cellStyle name="Normal 4 4 6 5" xfId="19573" xr:uid="{E1F3D2CC-C510-4C57-9C72-5B183E1F60FF}"/>
    <cellStyle name="Normal 4 4 6 6" xfId="10274" xr:uid="{0D6A8558-A7D5-4E93-A1F1-B03F88A45DBC}"/>
    <cellStyle name="Normal 4 4 7" xfId="1271" xr:uid="{00000000-0005-0000-0000-0000F4150000}"/>
    <cellStyle name="Normal 4 4 7 2" xfId="3501" xr:uid="{00000000-0005-0000-0000-0000F5150000}"/>
    <cellStyle name="Normal 4 4 7 2 2" xfId="7723" xr:uid="{00000000-0005-0000-0000-0000F6150000}"/>
    <cellStyle name="Normal 4 4 7 2 2 2" xfId="26348" xr:uid="{8DD0F842-CACE-42D9-8C09-AD3B801DE771}"/>
    <cellStyle name="Normal 4 4 7 2 2 3" xfId="17049" xr:uid="{AB801DCD-55D6-4B36-B3F4-25127CFDC34B}"/>
    <cellStyle name="Normal 4 4 7 2 3" xfId="22131" xr:uid="{CD1AD457-08BB-4986-ABA8-F086B3056475}"/>
    <cellStyle name="Normal 4 4 7 2 4" xfId="12832" xr:uid="{92E76F57-6D00-49EC-A443-1A5428382D3B}"/>
    <cellStyle name="Normal 4 4 7 3" xfId="5578" xr:uid="{00000000-0005-0000-0000-0000F7150000}"/>
    <cellStyle name="Normal 4 4 7 3 2" xfId="24203" xr:uid="{FB83973C-F3B4-43F7-BC71-049FA3677170}"/>
    <cellStyle name="Normal 4 4 7 3 3" xfId="14904" xr:uid="{0EDA995B-EF66-4BEE-A80B-6F6D79C2879C}"/>
    <cellStyle name="Normal 4 4 7 4" xfId="19986" xr:uid="{126EC7E4-CAA3-408D-9997-1D63033F9969}"/>
    <cellStyle name="Normal 4 4 7 5" xfId="10687" xr:uid="{FD59011D-7A7A-45EE-88F3-A9B059B11825}"/>
    <cellStyle name="Normal 4 4 8" xfId="1684" xr:uid="{00000000-0005-0000-0000-0000F8150000}"/>
    <cellStyle name="Normal 4 4 8 2" xfId="3914" xr:uid="{00000000-0005-0000-0000-0000F9150000}"/>
    <cellStyle name="Normal 4 4 8 2 2" xfId="8136" xr:uid="{00000000-0005-0000-0000-0000FA150000}"/>
    <cellStyle name="Normal 4 4 8 2 2 2" xfId="26761" xr:uid="{69AEDC0E-B98D-44FE-BA25-D49A9CE8ECE8}"/>
    <cellStyle name="Normal 4 4 8 2 2 3" xfId="17462" xr:uid="{CF7BF654-968F-4889-9BE0-2AB068B99D42}"/>
    <cellStyle name="Normal 4 4 8 2 3" xfId="22544" xr:uid="{2BE4875D-721D-4F28-9764-754FF1BF204C}"/>
    <cellStyle name="Normal 4 4 8 2 4" xfId="13245" xr:uid="{F246C14C-5ABB-41B0-9820-6A7CAC96E672}"/>
    <cellStyle name="Normal 4 4 8 3" xfId="5991" xr:uid="{00000000-0005-0000-0000-0000FB150000}"/>
    <cellStyle name="Normal 4 4 8 3 2" xfId="24616" xr:uid="{24F8AD03-A99A-49E5-A20E-B97759EFEE42}"/>
    <cellStyle name="Normal 4 4 8 3 3" xfId="15317" xr:uid="{EE0CDB8F-B36B-42E6-B42A-FB401A852A2A}"/>
    <cellStyle name="Normal 4 4 8 4" xfId="20399" xr:uid="{ED7C2145-771A-44C4-916D-BD565FBA07C9}"/>
    <cellStyle name="Normal 4 4 8 5" xfId="11100" xr:uid="{6E878BA0-05A4-4E66-993D-2378847F48DF}"/>
    <cellStyle name="Normal 4 4 9" xfId="2098" xr:uid="{00000000-0005-0000-0000-0000FC150000}"/>
    <cellStyle name="Normal 4 4 9 2" xfId="4327" xr:uid="{00000000-0005-0000-0000-0000FD150000}"/>
    <cellStyle name="Normal 4 4 9 2 2" xfId="8549" xr:uid="{00000000-0005-0000-0000-0000FE150000}"/>
    <cellStyle name="Normal 4 4 9 2 2 2" xfId="27174" xr:uid="{BD239F8B-A57D-4D11-8C3F-E66F43847932}"/>
    <cellStyle name="Normal 4 4 9 2 2 3" xfId="17875" xr:uid="{5E9B345F-3B2D-41FF-9EDF-0922FA8FD865}"/>
    <cellStyle name="Normal 4 4 9 2 3" xfId="22957" xr:uid="{2F8F56F1-F59E-4941-8D40-C8BF13411F91}"/>
    <cellStyle name="Normal 4 4 9 2 4" xfId="13658" xr:uid="{0DA1F55B-C03A-4064-8245-0C8F02DC967F}"/>
    <cellStyle name="Normal 4 4 9 3" xfId="6404" xr:uid="{00000000-0005-0000-0000-0000FF150000}"/>
    <cellStyle name="Normal 4 4 9 3 2" xfId="25029" xr:uid="{D0C2562D-96B0-44EB-BF65-4641F1F1F63A}"/>
    <cellStyle name="Normal 4 4 9 3 3" xfId="15730" xr:uid="{C197DEF2-176C-481A-A1FE-E10FAFD35654}"/>
    <cellStyle name="Normal 4 4 9 4" xfId="20812" xr:uid="{4DDD47C3-B6E4-479A-BF83-1767D24869A8}"/>
    <cellStyle name="Normal 4 4 9 5" xfId="11513" xr:uid="{BE773E62-54B9-4C5C-AB2F-B3A479ECA28C}"/>
    <cellStyle name="Normal 4 5" xfId="394" xr:uid="{00000000-0005-0000-0000-000000160000}"/>
    <cellStyle name="Normal 4 6" xfId="395" xr:uid="{00000000-0005-0000-0000-000001160000}"/>
    <cellStyle name="Normal 4 6 10" xfId="4768" xr:uid="{00000000-0005-0000-0000-000002160000}"/>
    <cellStyle name="Normal 4 6 10 2" xfId="23393" xr:uid="{173A40A9-6576-4626-9015-EA43ECB67246}"/>
    <cellStyle name="Normal 4 6 10 3" xfId="14094" xr:uid="{6A8101DC-16AB-4D50-B2DD-E35A1060B911}"/>
    <cellStyle name="Normal 4 6 11" xfId="8772" xr:uid="{23628FEE-4113-4B2C-B2A0-0106FC7F55C2}"/>
    <cellStyle name="Normal 4 6 11 2" xfId="27395" xr:uid="{FB1BD5E7-EB8C-445C-BE74-D52213C6DE2E}"/>
    <cellStyle name="Normal 4 6 11 3" xfId="18096" xr:uid="{5758C1F8-D07C-445D-8863-422A359F16AA}"/>
    <cellStyle name="Normal 4 6 12" xfId="19176" xr:uid="{3B2FCE1F-5BE6-4B17-8295-EF763089230F}"/>
    <cellStyle name="Normal 4 6 13" xfId="9877" xr:uid="{458BF090-B21C-49B9-8AA5-177CE943CC59}"/>
    <cellStyle name="Normal 4 6 2" xfId="396" xr:uid="{00000000-0005-0000-0000-000003160000}"/>
    <cellStyle name="Normal 4 6 2 10" xfId="8825" xr:uid="{C3062495-9D56-441B-95F6-B73E7DAC524C}"/>
    <cellStyle name="Normal 4 6 2 10 2" xfId="27448" xr:uid="{F6D1DBC1-8EC9-407B-960D-12F30A11DBB1}"/>
    <cellStyle name="Normal 4 6 2 10 3" xfId="18149" xr:uid="{BEFDEE5D-756F-4399-BD70-DE152AD0C48D}"/>
    <cellStyle name="Normal 4 6 2 11" xfId="19177" xr:uid="{6427375E-AB60-473C-B3FF-76B17EBA1B68}"/>
    <cellStyle name="Normal 4 6 2 12" xfId="9878" xr:uid="{776F1765-0EEE-4242-BC03-E87DE0FAED2D}"/>
    <cellStyle name="Normal 4 6 2 2" xfId="397" xr:uid="{00000000-0005-0000-0000-000004160000}"/>
    <cellStyle name="Normal 4 6 2 2 10" xfId="19178" xr:uid="{E216A5C7-DACD-4AA1-84B3-42F953853BA6}"/>
    <cellStyle name="Normal 4 6 2 2 11" xfId="9879" xr:uid="{6B21A5D8-C687-414F-8B32-73A30C075769}"/>
    <cellStyle name="Normal 4 6 2 2 2" xfId="398" xr:uid="{00000000-0005-0000-0000-000005160000}"/>
    <cellStyle name="Normal 4 6 2 2 2 10" xfId="9880" xr:uid="{2043E765-C940-45B3-B596-66E203EEE462}"/>
    <cellStyle name="Normal 4 6 2 2 2 2" xfId="872" xr:uid="{00000000-0005-0000-0000-000006160000}"/>
    <cellStyle name="Normal 4 6 2 2 2 2 2" xfId="3107" xr:uid="{00000000-0005-0000-0000-000007160000}"/>
    <cellStyle name="Normal 4 6 2 2 2 2 2 2" xfId="7329" xr:uid="{00000000-0005-0000-0000-000008160000}"/>
    <cellStyle name="Normal 4 6 2 2 2 2 2 2 2" xfId="25954" xr:uid="{F0B76AB6-FC23-4987-B871-5981F3F2CE30}"/>
    <cellStyle name="Normal 4 6 2 2 2 2 2 2 3" xfId="16655" xr:uid="{1A0D0A95-64F1-4F1C-AF29-31DDC8AAB7B7}"/>
    <cellStyle name="Normal 4 6 2 2 2 2 2 3" xfId="21737" xr:uid="{5F818D0B-AA46-49C8-B029-EC13ECC8C8EE}"/>
    <cellStyle name="Normal 4 6 2 2 2 2 2 4" xfId="12438" xr:uid="{F68A7140-4993-4D96-8C74-DF1B9A31CC49}"/>
    <cellStyle name="Normal 4 6 2 2 2 2 3" xfId="5184" xr:uid="{00000000-0005-0000-0000-000009160000}"/>
    <cellStyle name="Normal 4 6 2 2 2 2 3 2" xfId="23809" xr:uid="{5864E090-B1A2-4C2E-88D1-4A0D2B210E8A}"/>
    <cellStyle name="Normal 4 6 2 2 2 2 3 3" xfId="14510" xr:uid="{1014BA83-C765-48EF-B334-AE3B3D717AC9}"/>
    <cellStyle name="Normal 4 6 2 2 2 2 4" xfId="9560" xr:uid="{04DAEE11-A96E-4522-8546-8A0C107E12B9}"/>
    <cellStyle name="Normal 4 6 2 2 2 2 4 2" xfId="28174" xr:uid="{F70213C1-B560-4AAC-BF5D-7A8F561DE626}"/>
    <cellStyle name="Normal 4 6 2 2 2 2 4 3" xfId="18875" xr:uid="{EA96F5FA-F3A0-4211-9A28-F993EC196924}"/>
    <cellStyle name="Normal 4 6 2 2 2 2 5" xfId="19592" xr:uid="{BEE6C91A-AC07-4C2F-9CF1-0A3BE9CEE763}"/>
    <cellStyle name="Normal 4 6 2 2 2 2 6" xfId="10293" xr:uid="{B8036897-0981-4538-86CE-395FC5C2D85B}"/>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2 2 2" xfId="26367" xr:uid="{4A7798C2-7EB1-41CA-9C26-65038E75597E}"/>
    <cellStyle name="Normal 4 6 2 2 2 3 2 2 3" xfId="17068" xr:uid="{DE626620-281B-4392-9935-EB406DAB9F44}"/>
    <cellStyle name="Normal 4 6 2 2 2 3 2 3" xfId="22150" xr:uid="{B62FF8DC-AB27-4707-8C93-FF846519493F}"/>
    <cellStyle name="Normal 4 6 2 2 2 3 2 4" xfId="12851" xr:uid="{9E855A54-3399-44A7-A0C0-96DD1254266B}"/>
    <cellStyle name="Normal 4 6 2 2 2 3 3" xfId="5597" xr:uid="{00000000-0005-0000-0000-00000D160000}"/>
    <cellStyle name="Normal 4 6 2 2 2 3 3 2" xfId="24222" xr:uid="{891911F5-ECE9-43CB-AB90-4FF89A3F159B}"/>
    <cellStyle name="Normal 4 6 2 2 2 3 3 3" xfId="14923" xr:uid="{7DED8476-FC19-4864-A64E-0EE583A8B1FA}"/>
    <cellStyle name="Normal 4 6 2 2 2 3 4" xfId="20005" xr:uid="{044A113C-59BA-4100-9B57-5D961656E61B}"/>
    <cellStyle name="Normal 4 6 2 2 2 3 5" xfId="10706" xr:uid="{36A997D9-A075-47C4-A3E9-E6FA68B4B374}"/>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2 2 2" xfId="26780" xr:uid="{D81C5563-D78E-4C48-BD2E-F6CFB0A0E847}"/>
    <cellStyle name="Normal 4 6 2 2 2 4 2 2 3" xfId="17481" xr:uid="{BBDF4A9B-32DD-472E-86BE-22701A7A5F69}"/>
    <cellStyle name="Normal 4 6 2 2 2 4 2 3" xfId="22563" xr:uid="{1F229D55-BC3D-4E10-8835-18DFE26F67C2}"/>
    <cellStyle name="Normal 4 6 2 2 2 4 2 4" xfId="13264" xr:uid="{5195F46B-2529-40AC-916C-A965BA5EAC70}"/>
    <cellStyle name="Normal 4 6 2 2 2 4 3" xfId="6010" xr:uid="{00000000-0005-0000-0000-000011160000}"/>
    <cellStyle name="Normal 4 6 2 2 2 4 3 2" xfId="24635" xr:uid="{59A578C6-67AB-4391-B104-5F56B0CD9CF7}"/>
    <cellStyle name="Normal 4 6 2 2 2 4 3 3" xfId="15336" xr:uid="{4E1E0481-F27A-4AA3-819F-5722A10ADA7C}"/>
    <cellStyle name="Normal 4 6 2 2 2 4 4" xfId="20418" xr:uid="{DFE786C3-0149-4C39-86DE-F2B7243342E1}"/>
    <cellStyle name="Normal 4 6 2 2 2 4 5" xfId="11119" xr:uid="{9BBB1022-5A2B-46E8-95B6-F7E147ED4297}"/>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2 2 2" xfId="27193" xr:uid="{8284B91C-C053-4E69-88F3-60849816F99D}"/>
    <cellStyle name="Normal 4 6 2 2 2 5 2 2 3" xfId="17894" xr:uid="{6ADDE306-AE20-4E83-A3CB-0B73BB35DAC2}"/>
    <cellStyle name="Normal 4 6 2 2 2 5 2 3" xfId="22976" xr:uid="{27E41073-1628-4B60-A03D-CBE0A772E288}"/>
    <cellStyle name="Normal 4 6 2 2 2 5 2 4" xfId="13677" xr:uid="{53DEA0DA-AE77-4EB6-A586-FE0497C622DF}"/>
    <cellStyle name="Normal 4 6 2 2 2 5 3" xfId="6423" xr:uid="{00000000-0005-0000-0000-000015160000}"/>
    <cellStyle name="Normal 4 6 2 2 2 5 3 2" xfId="25048" xr:uid="{C8144EA0-505B-432E-B329-F0ABF94E1AB3}"/>
    <cellStyle name="Normal 4 6 2 2 2 5 3 3" xfId="15749" xr:uid="{314FCB0C-81DC-4349-BA9F-8CEE3D105DB0}"/>
    <cellStyle name="Normal 4 6 2 2 2 5 4" xfId="20831" xr:uid="{5F1123FD-4340-4FA6-A94C-160A71577B76}"/>
    <cellStyle name="Normal 4 6 2 2 2 5 5" xfId="11532" xr:uid="{F2018383-E2DA-48F5-A942-57D1A63FF44F}"/>
    <cellStyle name="Normal 4 6 2 2 2 6" xfId="2553" xr:uid="{00000000-0005-0000-0000-000016160000}"/>
    <cellStyle name="Normal 4 6 2 2 2 6 2" xfId="6836" xr:uid="{00000000-0005-0000-0000-000017160000}"/>
    <cellStyle name="Normal 4 6 2 2 2 6 2 2" xfId="25461" xr:uid="{CDAA0F95-5DD6-4A0A-A6FC-4315EA8191EE}"/>
    <cellStyle name="Normal 4 6 2 2 2 6 2 3" xfId="16162" xr:uid="{F155C79B-ADA7-4963-A992-0DBFA846B522}"/>
    <cellStyle name="Normal 4 6 2 2 2 6 3" xfId="21244" xr:uid="{BE53DBA2-AE87-4A64-9C1F-EDDCC95462BA}"/>
    <cellStyle name="Normal 4 6 2 2 2 6 4" xfId="11945" xr:uid="{628F1C1B-4031-44E2-9BF8-BA26BC7749CE}"/>
    <cellStyle name="Normal 4 6 2 2 2 7" xfId="4771" xr:uid="{00000000-0005-0000-0000-000018160000}"/>
    <cellStyle name="Normal 4 6 2 2 2 7 2" xfId="23396" xr:uid="{283FD82D-3138-4DCF-BE0B-AE8658484D61}"/>
    <cellStyle name="Normal 4 6 2 2 2 7 3" xfId="14097" xr:uid="{56026D77-5D95-4FC2-927B-7E8090C4FADC}"/>
    <cellStyle name="Normal 4 6 2 2 2 8" xfId="9135" xr:uid="{2F4C420F-13DD-45DD-99DD-C7AFF7CD7823}"/>
    <cellStyle name="Normal 4 6 2 2 2 8 2" xfId="27758" xr:uid="{460FD8BA-9BE5-4FCB-ADBA-C17DA2B0A0EB}"/>
    <cellStyle name="Normal 4 6 2 2 2 8 3" xfId="18459" xr:uid="{EAD9DC9F-1996-464E-A9AB-12B0B110898D}"/>
    <cellStyle name="Normal 4 6 2 2 2 9" xfId="19179" xr:uid="{42E82629-DD04-4BE0-B88D-6E7E79343AC0}"/>
    <cellStyle name="Normal 4 6 2 2 3" xfId="871" xr:uid="{00000000-0005-0000-0000-000019160000}"/>
    <cellStyle name="Normal 4 6 2 2 3 2" xfId="3106" xr:uid="{00000000-0005-0000-0000-00001A160000}"/>
    <cellStyle name="Normal 4 6 2 2 3 2 2" xfId="7328" xr:uid="{00000000-0005-0000-0000-00001B160000}"/>
    <cellStyle name="Normal 4 6 2 2 3 2 2 2" xfId="25953" xr:uid="{985CCA9D-1AF2-464E-B41E-A89678AC703C}"/>
    <cellStyle name="Normal 4 6 2 2 3 2 2 3" xfId="16654" xr:uid="{B230F0B0-6ECF-4CFB-A21C-49943A0A5066}"/>
    <cellStyle name="Normal 4 6 2 2 3 2 3" xfId="21736" xr:uid="{35C3B323-0CC9-4DA4-BE38-37998450C12B}"/>
    <cellStyle name="Normal 4 6 2 2 3 2 4" xfId="12437" xr:uid="{CA4CF235-9108-4ED1-8DDA-9C6BC3D733BA}"/>
    <cellStyle name="Normal 4 6 2 2 3 3" xfId="5183" xr:uid="{00000000-0005-0000-0000-00001C160000}"/>
    <cellStyle name="Normal 4 6 2 2 3 3 2" xfId="23808" xr:uid="{6B2885AC-251D-4BF5-A5EE-F77839410B50}"/>
    <cellStyle name="Normal 4 6 2 2 3 3 3" xfId="14509" xr:uid="{0CFF2C90-95D8-483F-BEE3-20386056E7BD}"/>
    <cellStyle name="Normal 4 6 2 2 3 4" xfId="9353" xr:uid="{60C7EC16-17DE-43AF-A246-41C667B376B7}"/>
    <cellStyle name="Normal 4 6 2 2 3 4 2" xfId="27967" xr:uid="{648AD269-21D5-44B7-BDF3-4BEE8C58AB5F}"/>
    <cellStyle name="Normal 4 6 2 2 3 4 3" xfId="18668" xr:uid="{4DD80848-7C8F-484E-A5FB-9C8C79756C92}"/>
    <cellStyle name="Normal 4 6 2 2 3 5" xfId="19591" xr:uid="{6B6FDEAC-C3EF-4302-929D-A3C75F05FF15}"/>
    <cellStyle name="Normal 4 6 2 2 3 6" xfId="10292" xr:uid="{501E387A-4718-4107-A499-E483B1AEFC33}"/>
    <cellStyle name="Normal 4 6 2 2 4" xfId="1289" xr:uid="{00000000-0005-0000-0000-00001D160000}"/>
    <cellStyle name="Normal 4 6 2 2 4 2" xfId="3519" xr:uid="{00000000-0005-0000-0000-00001E160000}"/>
    <cellStyle name="Normal 4 6 2 2 4 2 2" xfId="7741" xr:uid="{00000000-0005-0000-0000-00001F160000}"/>
    <cellStyle name="Normal 4 6 2 2 4 2 2 2" xfId="26366" xr:uid="{559A82E5-E69E-488E-86C2-52A4FAA41CCB}"/>
    <cellStyle name="Normal 4 6 2 2 4 2 2 3" xfId="17067" xr:uid="{43E5664D-4C38-48CA-8EF6-EC1D87A4C4B2}"/>
    <cellStyle name="Normal 4 6 2 2 4 2 3" xfId="22149" xr:uid="{76579971-2950-47EC-8BFD-6200A187216F}"/>
    <cellStyle name="Normal 4 6 2 2 4 2 4" xfId="12850" xr:uid="{4D019A4F-3F06-4673-A409-037AAB292C99}"/>
    <cellStyle name="Normal 4 6 2 2 4 3" xfId="5596" xr:uid="{00000000-0005-0000-0000-000020160000}"/>
    <cellStyle name="Normal 4 6 2 2 4 3 2" xfId="24221" xr:uid="{4151F5AD-F570-4839-9797-C3C127C95FB7}"/>
    <cellStyle name="Normal 4 6 2 2 4 3 3" xfId="14922" xr:uid="{0BD65E6B-496E-4FDE-A3D1-89900E22DC73}"/>
    <cellStyle name="Normal 4 6 2 2 4 4" xfId="20004" xr:uid="{5E687AE4-2591-4D14-970A-96122663FB42}"/>
    <cellStyle name="Normal 4 6 2 2 4 5" xfId="10705" xr:uid="{DC9EBE59-DE0B-43A4-BC4A-3C6D4F70D1AF}"/>
    <cellStyle name="Normal 4 6 2 2 5" xfId="1702" xr:uid="{00000000-0005-0000-0000-000021160000}"/>
    <cellStyle name="Normal 4 6 2 2 5 2" xfId="3932" xr:uid="{00000000-0005-0000-0000-000022160000}"/>
    <cellStyle name="Normal 4 6 2 2 5 2 2" xfId="8154" xr:uid="{00000000-0005-0000-0000-000023160000}"/>
    <cellStyle name="Normal 4 6 2 2 5 2 2 2" xfId="26779" xr:uid="{01A75E83-338D-4F59-8381-8A8AD1403B3A}"/>
    <cellStyle name="Normal 4 6 2 2 5 2 2 3" xfId="17480" xr:uid="{34F9E96E-6FC7-4074-87AD-25E27570B93B}"/>
    <cellStyle name="Normal 4 6 2 2 5 2 3" xfId="22562" xr:uid="{CA15EFC9-673F-4C8E-AD95-B41F4C82822B}"/>
    <cellStyle name="Normal 4 6 2 2 5 2 4" xfId="13263" xr:uid="{8E7F7D6C-A437-48D3-A778-DB9038B26B07}"/>
    <cellStyle name="Normal 4 6 2 2 5 3" xfId="6009" xr:uid="{00000000-0005-0000-0000-000024160000}"/>
    <cellStyle name="Normal 4 6 2 2 5 3 2" xfId="24634" xr:uid="{57639BA1-4010-4C36-A988-9B3059632F24}"/>
    <cellStyle name="Normal 4 6 2 2 5 3 3" xfId="15335" xr:uid="{7AD796C3-AFD8-44C4-AB35-6F6F8E2C64F7}"/>
    <cellStyle name="Normal 4 6 2 2 5 4" xfId="20417" xr:uid="{65B5E403-D085-41BD-99A7-1A92DF93CCEE}"/>
    <cellStyle name="Normal 4 6 2 2 5 5" xfId="11118" xr:uid="{5B6FF4DA-BF43-4117-815C-BF52CA5BD618}"/>
    <cellStyle name="Normal 4 6 2 2 6" xfId="2116" xr:uid="{00000000-0005-0000-0000-000025160000}"/>
    <cellStyle name="Normal 4 6 2 2 6 2" xfId="4345" xr:uid="{00000000-0005-0000-0000-000026160000}"/>
    <cellStyle name="Normal 4 6 2 2 6 2 2" xfId="8567" xr:uid="{00000000-0005-0000-0000-000027160000}"/>
    <cellStyle name="Normal 4 6 2 2 6 2 2 2" xfId="27192" xr:uid="{34999B77-24C5-4A0A-87E1-41C7D06EB079}"/>
    <cellStyle name="Normal 4 6 2 2 6 2 2 3" xfId="17893" xr:uid="{F787FBCC-C7C3-45C1-9B06-19CF2A17BBB4}"/>
    <cellStyle name="Normal 4 6 2 2 6 2 3" xfId="22975" xr:uid="{6DCAC30D-2F58-41BC-B19A-4B96E872FDB1}"/>
    <cellStyle name="Normal 4 6 2 2 6 2 4" xfId="13676" xr:uid="{13892F38-8A9E-498F-BB25-66E20B3D8B1E}"/>
    <cellStyle name="Normal 4 6 2 2 6 3" xfId="6422" xr:uid="{00000000-0005-0000-0000-000028160000}"/>
    <cellStyle name="Normal 4 6 2 2 6 3 2" xfId="25047" xr:uid="{B9541F85-5F0D-4DF0-88D4-35792929EB07}"/>
    <cellStyle name="Normal 4 6 2 2 6 3 3" xfId="15748" xr:uid="{E463E05F-377B-4518-9A8A-0DD6467C67A1}"/>
    <cellStyle name="Normal 4 6 2 2 6 4" xfId="20830" xr:uid="{49D392FA-E3BF-4B05-B4F0-CDC6CC550916}"/>
    <cellStyle name="Normal 4 6 2 2 6 5" xfId="11531" xr:uid="{7A4FBB4C-D017-4C5E-86FA-6E6DC939B59B}"/>
    <cellStyle name="Normal 4 6 2 2 7" xfId="2552" xr:uid="{00000000-0005-0000-0000-000029160000}"/>
    <cellStyle name="Normal 4 6 2 2 7 2" xfId="6835" xr:uid="{00000000-0005-0000-0000-00002A160000}"/>
    <cellStyle name="Normal 4 6 2 2 7 2 2" xfId="25460" xr:uid="{D7E52A13-5D13-49F2-85E1-4E0AF593315B}"/>
    <cellStyle name="Normal 4 6 2 2 7 2 3" xfId="16161" xr:uid="{49873D40-2830-4F44-91A9-22E42EF32828}"/>
    <cellStyle name="Normal 4 6 2 2 7 3" xfId="21243" xr:uid="{06FB7992-647C-4C77-8248-2F74EFDDC3B9}"/>
    <cellStyle name="Normal 4 6 2 2 7 4" xfId="11944" xr:uid="{02230A97-09A6-4CBD-A6C6-83EF7DC52959}"/>
    <cellStyle name="Normal 4 6 2 2 8" xfId="4770" xr:uid="{00000000-0005-0000-0000-00002B160000}"/>
    <cellStyle name="Normal 4 6 2 2 8 2" xfId="23395" xr:uid="{F6EE279F-4F9A-4474-9F43-BFC16248957A}"/>
    <cellStyle name="Normal 4 6 2 2 8 3" xfId="14096" xr:uid="{0297C34E-B662-4F11-AE8E-E812B88BC72C}"/>
    <cellStyle name="Normal 4 6 2 2 9" xfId="8928" xr:uid="{EC58FE5E-68BA-4864-AD86-0F9D1DB17AD0}"/>
    <cellStyle name="Normal 4 6 2 2 9 2" xfId="27551" xr:uid="{9A2700F8-BB5F-42F0-B7C9-B80F024EF3D8}"/>
    <cellStyle name="Normal 4 6 2 2 9 3" xfId="18252" xr:uid="{139B7F99-AF6F-42A5-981B-B3AD0BC98887}"/>
    <cellStyle name="Normal 4 6 2 3" xfId="399" xr:uid="{00000000-0005-0000-0000-00002C160000}"/>
    <cellStyle name="Normal 4 6 2 3 10" xfId="9881" xr:uid="{5F17FD41-4814-494D-B168-C9968FD7775D}"/>
    <cellStyle name="Normal 4 6 2 3 2" xfId="873" xr:uid="{00000000-0005-0000-0000-00002D160000}"/>
    <cellStyle name="Normal 4 6 2 3 2 2" xfId="3108" xr:uid="{00000000-0005-0000-0000-00002E160000}"/>
    <cellStyle name="Normal 4 6 2 3 2 2 2" xfId="7330" xr:uid="{00000000-0005-0000-0000-00002F160000}"/>
    <cellStyle name="Normal 4 6 2 3 2 2 2 2" xfId="25955" xr:uid="{E961CDE2-D65D-4F58-BA68-B230D0EB3E2F}"/>
    <cellStyle name="Normal 4 6 2 3 2 2 2 3" xfId="16656" xr:uid="{DFDAD92C-6234-4266-A445-4ACC8A27BD1A}"/>
    <cellStyle name="Normal 4 6 2 3 2 2 3" xfId="21738" xr:uid="{BCCFCB84-A7E3-4857-9987-84B7DEA567E6}"/>
    <cellStyle name="Normal 4 6 2 3 2 2 4" xfId="12439" xr:uid="{C01ECA5D-EA1B-4E94-A5ED-82185771CB1D}"/>
    <cellStyle name="Normal 4 6 2 3 2 3" xfId="5185" xr:uid="{00000000-0005-0000-0000-000030160000}"/>
    <cellStyle name="Normal 4 6 2 3 2 3 2" xfId="23810" xr:uid="{6BF50BE4-B29D-44D4-89FE-95BA7BA822DE}"/>
    <cellStyle name="Normal 4 6 2 3 2 3 3" xfId="14511" xr:uid="{59FA2076-2AFF-4671-962F-8ED9EDD9E57C}"/>
    <cellStyle name="Normal 4 6 2 3 2 4" xfId="9457" xr:uid="{E86AED2D-42AD-49DE-9461-1FA72B82C89E}"/>
    <cellStyle name="Normal 4 6 2 3 2 4 2" xfId="28071" xr:uid="{118CF6C3-B47B-4033-9F52-902EB1698ACC}"/>
    <cellStyle name="Normal 4 6 2 3 2 4 3" xfId="18772" xr:uid="{45ABC13F-ADEB-4C72-BECD-02E59A05317B}"/>
    <cellStyle name="Normal 4 6 2 3 2 5" xfId="19593" xr:uid="{A5E8CC20-BD69-4B33-B0FD-3E3AABDDDD9D}"/>
    <cellStyle name="Normal 4 6 2 3 2 6" xfId="10294" xr:uid="{63E578E5-F050-4289-A0BA-CA2604FF87C3}"/>
    <cellStyle name="Normal 4 6 2 3 3" xfId="1291" xr:uid="{00000000-0005-0000-0000-000031160000}"/>
    <cellStyle name="Normal 4 6 2 3 3 2" xfId="3521" xr:uid="{00000000-0005-0000-0000-000032160000}"/>
    <cellStyle name="Normal 4 6 2 3 3 2 2" xfId="7743" xr:uid="{00000000-0005-0000-0000-000033160000}"/>
    <cellStyle name="Normal 4 6 2 3 3 2 2 2" xfId="26368" xr:uid="{D96CCFD3-9BFA-4140-A79F-B86E58ED4D09}"/>
    <cellStyle name="Normal 4 6 2 3 3 2 2 3" xfId="17069" xr:uid="{E4DD3B42-480E-4ED6-BCA8-DC229966F3F3}"/>
    <cellStyle name="Normal 4 6 2 3 3 2 3" xfId="22151" xr:uid="{8E7CF67B-075A-4D77-BA02-1BE3BA220E03}"/>
    <cellStyle name="Normal 4 6 2 3 3 2 4" xfId="12852" xr:uid="{156EDF65-F795-4250-B6CE-1F41A5D82F41}"/>
    <cellStyle name="Normal 4 6 2 3 3 3" xfId="5598" xr:uid="{00000000-0005-0000-0000-000034160000}"/>
    <cellStyle name="Normal 4 6 2 3 3 3 2" xfId="24223" xr:uid="{D6982DB2-DB6A-4C64-A5CC-B7E3AD37B164}"/>
    <cellStyle name="Normal 4 6 2 3 3 3 3" xfId="14924" xr:uid="{7CAE13F9-1C60-4BC3-BF47-560B4F70B406}"/>
    <cellStyle name="Normal 4 6 2 3 3 4" xfId="20006" xr:uid="{705D407C-4145-49E0-90A8-7B7003B9CBAF}"/>
    <cellStyle name="Normal 4 6 2 3 3 5" xfId="10707" xr:uid="{061071DC-F776-4987-ADE5-BCD97DB9B15A}"/>
    <cellStyle name="Normal 4 6 2 3 4" xfId="1704" xr:uid="{00000000-0005-0000-0000-000035160000}"/>
    <cellStyle name="Normal 4 6 2 3 4 2" xfId="3934" xr:uid="{00000000-0005-0000-0000-000036160000}"/>
    <cellStyle name="Normal 4 6 2 3 4 2 2" xfId="8156" xr:uid="{00000000-0005-0000-0000-000037160000}"/>
    <cellStyle name="Normal 4 6 2 3 4 2 2 2" xfId="26781" xr:uid="{FBFE08AA-D2E6-4925-84F8-029DCE674F73}"/>
    <cellStyle name="Normal 4 6 2 3 4 2 2 3" xfId="17482" xr:uid="{A3770161-93E4-46DA-8932-7D1EB65D09F7}"/>
    <cellStyle name="Normal 4 6 2 3 4 2 3" xfId="22564" xr:uid="{21A37770-AA28-4D8B-80E8-828E0D5E7C7F}"/>
    <cellStyle name="Normal 4 6 2 3 4 2 4" xfId="13265" xr:uid="{E9722741-EBAC-4112-B681-1914EA3FC013}"/>
    <cellStyle name="Normal 4 6 2 3 4 3" xfId="6011" xr:uid="{00000000-0005-0000-0000-000038160000}"/>
    <cellStyle name="Normal 4 6 2 3 4 3 2" xfId="24636" xr:uid="{44CA853F-DE73-44DF-B0DF-B4578EF23D7A}"/>
    <cellStyle name="Normal 4 6 2 3 4 3 3" xfId="15337" xr:uid="{2A180FCD-A725-4A3E-A4FF-91B19843FE8A}"/>
    <cellStyle name="Normal 4 6 2 3 4 4" xfId="20419" xr:uid="{48D9A41D-64E1-4014-9B08-D30334F6B33C}"/>
    <cellStyle name="Normal 4 6 2 3 4 5" xfId="11120" xr:uid="{03DDDBCC-13C1-491F-A28B-999CB022B5C9}"/>
    <cellStyle name="Normal 4 6 2 3 5" xfId="2118" xr:uid="{00000000-0005-0000-0000-000039160000}"/>
    <cellStyle name="Normal 4 6 2 3 5 2" xfId="4347" xr:uid="{00000000-0005-0000-0000-00003A160000}"/>
    <cellStyle name="Normal 4 6 2 3 5 2 2" xfId="8569" xr:uid="{00000000-0005-0000-0000-00003B160000}"/>
    <cellStyle name="Normal 4 6 2 3 5 2 2 2" xfId="27194" xr:uid="{B810592F-4050-41A7-B801-3C1A9848EC73}"/>
    <cellStyle name="Normal 4 6 2 3 5 2 2 3" xfId="17895" xr:uid="{CB86E309-5425-4D7F-83F1-95CA1CDDE29C}"/>
    <cellStyle name="Normal 4 6 2 3 5 2 3" xfId="22977" xr:uid="{0D8E1E6F-DA5A-4D3B-9A05-34B9C77110CA}"/>
    <cellStyle name="Normal 4 6 2 3 5 2 4" xfId="13678" xr:uid="{B45E742E-E895-4FD6-AAB5-6E8ABDBDBC2C}"/>
    <cellStyle name="Normal 4 6 2 3 5 3" xfId="6424" xr:uid="{00000000-0005-0000-0000-00003C160000}"/>
    <cellStyle name="Normal 4 6 2 3 5 3 2" xfId="25049" xr:uid="{4B3FA9E5-6CA8-4C79-926D-3D08E7ACCC11}"/>
    <cellStyle name="Normal 4 6 2 3 5 3 3" xfId="15750" xr:uid="{EC919627-DADC-43E0-A94F-D94026AE619D}"/>
    <cellStyle name="Normal 4 6 2 3 5 4" xfId="20832" xr:uid="{FE1847BD-3CF0-4D05-A969-C9AEF2357D0B}"/>
    <cellStyle name="Normal 4 6 2 3 5 5" xfId="11533" xr:uid="{6B21C804-5D38-4182-B33F-BDF531997148}"/>
    <cellStyle name="Normal 4 6 2 3 6" xfId="2554" xr:uid="{00000000-0005-0000-0000-00003D160000}"/>
    <cellStyle name="Normal 4 6 2 3 6 2" xfId="6837" xr:uid="{00000000-0005-0000-0000-00003E160000}"/>
    <cellStyle name="Normal 4 6 2 3 6 2 2" xfId="25462" xr:uid="{E411D664-159E-4DCB-A98D-1F133BA51B16}"/>
    <cellStyle name="Normal 4 6 2 3 6 2 3" xfId="16163" xr:uid="{72B28067-8687-4234-91E0-F83410EEC428}"/>
    <cellStyle name="Normal 4 6 2 3 6 3" xfId="21245" xr:uid="{EEDF0E64-CDFC-49A5-9907-BA865A127424}"/>
    <cellStyle name="Normal 4 6 2 3 6 4" xfId="11946" xr:uid="{DFBD4D82-06F8-424B-AA5D-FF24854100CC}"/>
    <cellStyle name="Normal 4 6 2 3 7" xfId="4772" xr:uid="{00000000-0005-0000-0000-00003F160000}"/>
    <cellStyle name="Normal 4 6 2 3 7 2" xfId="23397" xr:uid="{8848F078-2892-43FF-A319-A92BB656BAC5}"/>
    <cellStyle name="Normal 4 6 2 3 7 3" xfId="14098" xr:uid="{2E4D13AF-2AB0-4B88-9155-D0F17037C408}"/>
    <cellStyle name="Normal 4 6 2 3 8" xfId="9032" xr:uid="{576A1DC5-5971-4772-803F-0A60F80D4C41}"/>
    <cellStyle name="Normal 4 6 2 3 8 2" xfId="27655" xr:uid="{A0BD8516-99AB-4157-93D8-76C9CE5646C9}"/>
    <cellStyle name="Normal 4 6 2 3 8 3" xfId="18356" xr:uid="{9D135B5E-3A1A-4E06-9C2F-A6B3C2A8D52B}"/>
    <cellStyle name="Normal 4 6 2 3 9" xfId="19180" xr:uid="{D9A27B01-623A-4C26-BF35-E6475473EDCC}"/>
    <cellStyle name="Normal 4 6 2 4" xfId="870" xr:uid="{00000000-0005-0000-0000-000040160000}"/>
    <cellStyle name="Normal 4 6 2 4 2" xfId="3105" xr:uid="{00000000-0005-0000-0000-000041160000}"/>
    <cellStyle name="Normal 4 6 2 4 2 2" xfId="7327" xr:uid="{00000000-0005-0000-0000-000042160000}"/>
    <cellStyle name="Normal 4 6 2 4 2 2 2" xfId="25952" xr:uid="{37D80CEA-152B-4B64-898E-C6B14EF108FD}"/>
    <cellStyle name="Normal 4 6 2 4 2 2 3" xfId="16653" xr:uid="{6487DB24-3FFF-42AC-900E-718A6D568FEA}"/>
    <cellStyle name="Normal 4 6 2 4 2 3" xfId="21735" xr:uid="{71D5A9C4-23FD-44E0-8673-C299460D3251}"/>
    <cellStyle name="Normal 4 6 2 4 2 4" xfId="12436" xr:uid="{1EC5127D-B0BF-46AC-A0BB-7ADA0993DA5F}"/>
    <cellStyle name="Normal 4 6 2 4 3" xfId="5182" xr:uid="{00000000-0005-0000-0000-000043160000}"/>
    <cellStyle name="Normal 4 6 2 4 3 2" xfId="23807" xr:uid="{693392F4-8A0A-48F7-AF16-9CACA0106CE4}"/>
    <cellStyle name="Normal 4 6 2 4 3 3" xfId="14508" xr:uid="{240515E8-C1AD-4568-958D-F485AF0FCC3C}"/>
    <cellStyle name="Normal 4 6 2 4 4" xfId="9250" xr:uid="{CBBC9A51-5203-4C00-93C7-FE7C973DCDD1}"/>
    <cellStyle name="Normal 4 6 2 4 4 2" xfId="27864" xr:uid="{D6DE7E8E-3FCE-44C9-940D-344131A7913B}"/>
    <cellStyle name="Normal 4 6 2 4 4 3" xfId="18565" xr:uid="{D5678A4D-0843-45C5-987D-2CAE71EA7F48}"/>
    <cellStyle name="Normal 4 6 2 4 5" xfId="19590" xr:uid="{AD4C0792-112F-4ADD-A5E4-2673659DA12B}"/>
    <cellStyle name="Normal 4 6 2 4 6" xfId="10291" xr:uid="{8845273A-1D0E-45C6-944B-A3FC560CD1C5}"/>
    <cellStyle name="Normal 4 6 2 5" xfId="1288" xr:uid="{00000000-0005-0000-0000-000044160000}"/>
    <cellStyle name="Normal 4 6 2 5 2" xfId="3518" xr:uid="{00000000-0005-0000-0000-000045160000}"/>
    <cellStyle name="Normal 4 6 2 5 2 2" xfId="7740" xr:uid="{00000000-0005-0000-0000-000046160000}"/>
    <cellStyle name="Normal 4 6 2 5 2 2 2" xfId="26365" xr:uid="{F2FD826D-2063-4023-A2FF-01FD020495AA}"/>
    <cellStyle name="Normal 4 6 2 5 2 2 3" xfId="17066" xr:uid="{2D9D97CE-F8ED-467B-9249-BE0FF3E8D730}"/>
    <cellStyle name="Normal 4 6 2 5 2 3" xfId="22148" xr:uid="{B5E62BD8-34ED-42AE-8E97-70CCB4AC3E85}"/>
    <cellStyle name="Normal 4 6 2 5 2 4" xfId="12849" xr:uid="{1327B3B6-527B-4BF5-9618-052475EAB7C1}"/>
    <cellStyle name="Normal 4 6 2 5 3" xfId="5595" xr:uid="{00000000-0005-0000-0000-000047160000}"/>
    <cellStyle name="Normal 4 6 2 5 3 2" xfId="24220" xr:uid="{B78BC9AE-732C-47E8-A6E2-6F810D6D0AF0}"/>
    <cellStyle name="Normal 4 6 2 5 3 3" xfId="14921" xr:uid="{2627112A-E2B0-4EEA-A3DC-622DF7B09D26}"/>
    <cellStyle name="Normal 4 6 2 5 4" xfId="20003" xr:uid="{C85456AA-393C-4E6B-8243-E97994CC5164}"/>
    <cellStyle name="Normal 4 6 2 5 5" xfId="10704" xr:uid="{F1B1655F-A834-4E89-8816-12033211A365}"/>
    <cellStyle name="Normal 4 6 2 6" xfId="1701" xr:uid="{00000000-0005-0000-0000-000048160000}"/>
    <cellStyle name="Normal 4 6 2 6 2" xfId="3931" xr:uid="{00000000-0005-0000-0000-000049160000}"/>
    <cellStyle name="Normal 4 6 2 6 2 2" xfId="8153" xr:uid="{00000000-0005-0000-0000-00004A160000}"/>
    <cellStyle name="Normal 4 6 2 6 2 2 2" xfId="26778" xr:uid="{658C1072-4330-4D38-B86D-696CC0D54E13}"/>
    <cellStyle name="Normal 4 6 2 6 2 2 3" xfId="17479" xr:uid="{A119262A-97FB-471C-A999-2ED349FD004A}"/>
    <cellStyle name="Normal 4 6 2 6 2 3" xfId="22561" xr:uid="{5EAA0EA6-F825-4665-A3D6-4B0EFE2FB241}"/>
    <cellStyle name="Normal 4 6 2 6 2 4" xfId="13262" xr:uid="{52B570E4-3867-4B40-8347-F434D109E0D8}"/>
    <cellStyle name="Normal 4 6 2 6 3" xfId="6008" xr:uid="{00000000-0005-0000-0000-00004B160000}"/>
    <cellStyle name="Normal 4 6 2 6 3 2" xfId="24633" xr:uid="{402DDC29-67E8-4BC2-B7A2-E07F1F550956}"/>
    <cellStyle name="Normal 4 6 2 6 3 3" xfId="15334" xr:uid="{87F78DD9-BD53-425A-8B3A-FD01DE4D7462}"/>
    <cellStyle name="Normal 4 6 2 6 4" xfId="20416" xr:uid="{6C513A36-F497-4ACE-B4A9-169F7A6D8956}"/>
    <cellStyle name="Normal 4 6 2 6 5" xfId="11117" xr:uid="{34C4B305-7C4B-4755-8781-688871078D13}"/>
    <cellStyle name="Normal 4 6 2 7" xfId="2115" xr:uid="{00000000-0005-0000-0000-00004C160000}"/>
    <cellStyle name="Normal 4 6 2 7 2" xfId="4344" xr:uid="{00000000-0005-0000-0000-00004D160000}"/>
    <cellStyle name="Normal 4 6 2 7 2 2" xfId="8566" xr:uid="{00000000-0005-0000-0000-00004E160000}"/>
    <cellStyle name="Normal 4 6 2 7 2 2 2" xfId="27191" xr:uid="{1C32C61D-7B87-4BBC-938C-04C378A49ECD}"/>
    <cellStyle name="Normal 4 6 2 7 2 2 3" xfId="17892" xr:uid="{4DABFAD1-7812-48AA-B04B-7A4BF257F9D9}"/>
    <cellStyle name="Normal 4 6 2 7 2 3" xfId="22974" xr:uid="{A9581E6D-2324-405C-AEAE-0BA12CA08DCA}"/>
    <cellStyle name="Normal 4 6 2 7 2 4" xfId="13675" xr:uid="{84975BC8-200F-48A6-847F-9C92DD4246B6}"/>
    <cellStyle name="Normal 4 6 2 7 3" xfId="6421" xr:uid="{00000000-0005-0000-0000-00004F160000}"/>
    <cellStyle name="Normal 4 6 2 7 3 2" xfId="25046" xr:uid="{021A5782-108D-452F-84A2-DD49C84971AA}"/>
    <cellStyle name="Normal 4 6 2 7 3 3" xfId="15747" xr:uid="{D7C72C5A-AE42-4518-AEC6-22B864B89A76}"/>
    <cellStyle name="Normal 4 6 2 7 4" xfId="20829" xr:uid="{16448F01-F65E-40F2-A195-3A94C1C6B6E3}"/>
    <cellStyle name="Normal 4 6 2 7 5" xfId="11530" xr:uid="{572C951F-7714-4DBC-9B68-7AF4A535CE02}"/>
    <cellStyle name="Normal 4 6 2 8" xfId="2551" xr:uid="{00000000-0005-0000-0000-000050160000}"/>
    <cellStyle name="Normal 4 6 2 8 2" xfId="6834" xr:uid="{00000000-0005-0000-0000-000051160000}"/>
    <cellStyle name="Normal 4 6 2 8 2 2" xfId="25459" xr:uid="{43450920-1A37-4269-941C-985019ACAF5A}"/>
    <cellStyle name="Normal 4 6 2 8 2 3" xfId="16160" xr:uid="{DF9D3F76-2BB5-4836-B176-1288EA6ED455}"/>
    <cellStyle name="Normal 4 6 2 8 3" xfId="21242" xr:uid="{6E369B6D-286B-4F61-98E6-328772FC67FB}"/>
    <cellStyle name="Normal 4 6 2 8 4" xfId="11943" xr:uid="{6DE6E235-EF17-44E2-9EE6-55A02DE83A30}"/>
    <cellStyle name="Normal 4 6 2 9" xfId="4769" xr:uid="{00000000-0005-0000-0000-000052160000}"/>
    <cellStyle name="Normal 4 6 2 9 2" xfId="23394" xr:uid="{1DA1063F-222A-4153-960D-FA6BE16BE3CE}"/>
    <cellStyle name="Normal 4 6 2 9 3" xfId="14095" xr:uid="{1EE29FE0-DAD7-42E8-B4A5-32F794FC227B}"/>
    <cellStyle name="Normal 4 6 3" xfId="400" xr:uid="{00000000-0005-0000-0000-000053160000}"/>
    <cellStyle name="Normal 4 6 3 10" xfId="19181" xr:uid="{0B317456-6681-4C01-A3EE-81EC78B09EDF}"/>
    <cellStyle name="Normal 4 6 3 11" xfId="9882" xr:uid="{995CB352-329F-4E07-8342-10E192546C7F}"/>
    <cellStyle name="Normal 4 6 3 2" xfId="401" xr:uid="{00000000-0005-0000-0000-000054160000}"/>
    <cellStyle name="Normal 4 6 3 2 10" xfId="9883" xr:uid="{4ACF2060-3650-443C-BDCD-EE109CF26743}"/>
    <cellStyle name="Normal 4 6 3 2 2" xfId="875" xr:uid="{00000000-0005-0000-0000-000055160000}"/>
    <cellStyle name="Normal 4 6 3 2 2 2" xfId="3110" xr:uid="{00000000-0005-0000-0000-000056160000}"/>
    <cellStyle name="Normal 4 6 3 2 2 2 2" xfId="7332" xr:uid="{00000000-0005-0000-0000-000057160000}"/>
    <cellStyle name="Normal 4 6 3 2 2 2 2 2" xfId="25957" xr:uid="{A54032D4-BE60-4E67-8C06-1158AC61A158}"/>
    <cellStyle name="Normal 4 6 3 2 2 2 2 3" xfId="16658" xr:uid="{B23AD95D-BC4E-468E-9FD2-1D6887FDD8E5}"/>
    <cellStyle name="Normal 4 6 3 2 2 2 3" xfId="21740" xr:uid="{E3914090-7E9E-4C1C-8F09-43894917AF89}"/>
    <cellStyle name="Normal 4 6 3 2 2 2 4" xfId="12441" xr:uid="{3A378CC4-4772-4530-B2DD-6ACF245107C9}"/>
    <cellStyle name="Normal 4 6 3 2 2 3" xfId="5187" xr:uid="{00000000-0005-0000-0000-000058160000}"/>
    <cellStyle name="Normal 4 6 3 2 2 3 2" xfId="23812" xr:uid="{C6F8E95B-EE3F-47E1-A657-D072B86A87CB}"/>
    <cellStyle name="Normal 4 6 3 2 2 3 3" xfId="14513" xr:uid="{B9889AF6-347D-4CDA-8183-AED1EB4DAA93}"/>
    <cellStyle name="Normal 4 6 3 2 2 4" xfId="9507" xr:uid="{63E4C3EA-8BE6-4CDE-9E44-1D64049D4CF5}"/>
    <cellStyle name="Normal 4 6 3 2 2 4 2" xfId="28121" xr:uid="{52FB708B-AC84-4DA8-B0AB-CE8FE6C0009F}"/>
    <cellStyle name="Normal 4 6 3 2 2 4 3" xfId="18822" xr:uid="{D0570D22-780D-4CD1-BFBB-3A5C239DCE71}"/>
    <cellStyle name="Normal 4 6 3 2 2 5" xfId="19595" xr:uid="{9B1C87DD-3D50-4EE9-993A-43DA759B37C8}"/>
    <cellStyle name="Normal 4 6 3 2 2 6" xfId="10296" xr:uid="{B1C05A18-4B38-4C52-850B-A7306BB5B92E}"/>
    <cellStyle name="Normal 4 6 3 2 3" xfId="1293" xr:uid="{00000000-0005-0000-0000-000059160000}"/>
    <cellStyle name="Normal 4 6 3 2 3 2" xfId="3523" xr:uid="{00000000-0005-0000-0000-00005A160000}"/>
    <cellStyle name="Normal 4 6 3 2 3 2 2" xfId="7745" xr:uid="{00000000-0005-0000-0000-00005B160000}"/>
    <cellStyle name="Normal 4 6 3 2 3 2 2 2" xfId="26370" xr:uid="{D2B0CA62-6B8E-43E5-B639-DDA0DC05BB0B}"/>
    <cellStyle name="Normal 4 6 3 2 3 2 2 3" xfId="17071" xr:uid="{7209E9F3-E7CF-4436-95D6-B7ABAF514866}"/>
    <cellStyle name="Normal 4 6 3 2 3 2 3" xfId="22153" xr:uid="{F4288836-3FBB-41AF-A6E2-ECECD4EEE304}"/>
    <cellStyle name="Normal 4 6 3 2 3 2 4" xfId="12854" xr:uid="{D9F13032-1B36-4A27-9743-0562DD4A8237}"/>
    <cellStyle name="Normal 4 6 3 2 3 3" xfId="5600" xr:uid="{00000000-0005-0000-0000-00005C160000}"/>
    <cellStyle name="Normal 4 6 3 2 3 3 2" xfId="24225" xr:uid="{6C46DE93-4DCC-4AB4-B23E-AA40DCF6832C}"/>
    <cellStyle name="Normal 4 6 3 2 3 3 3" xfId="14926" xr:uid="{415983DA-DD48-445A-ABD6-1163176145CD}"/>
    <cellStyle name="Normal 4 6 3 2 3 4" xfId="20008" xr:uid="{BFB8F8CB-4BDD-4B61-A899-6664BF9082D5}"/>
    <cellStyle name="Normal 4 6 3 2 3 5" xfId="10709" xr:uid="{E43F614F-C8C8-494D-BBCF-C76B86A789A5}"/>
    <cellStyle name="Normal 4 6 3 2 4" xfId="1706" xr:uid="{00000000-0005-0000-0000-00005D160000}"/>
    <cellStyle name="Normal 4 6 3 2 4 2" xfId="3936" xr:uid="{00000000-0005-0000-0000-00005E160000}"/>
    <cellStyle name="Normal 4 6 3 2 4 2 2" xfId="8158" xr:uid="{00000000-0005-0000-0000-00005F160000}"/>
    <cellStyle name="Normal 4 6 3 2 4 2 2 2" xfId="26783" xr:uid="{AE3B378E-F27C-4521-A8F3-5E21A882753A}"/>
    <cellStyle name="Normal 4 6 3 2 4 2 2 3" xfId="17484" xr:uid="{E0B8F4AA-44B2-4E3E-B15E-73DD2DD728E0}"/>
    <cellStyle name="Normal 4 6 3 2 4 2 3" xfId="22566" xr:uid="{CD778055-D8D7-41C7-965B-3A1CBC8909B1}"/>
    <cellStyle name="Normal 4 6 3 2 4 2 4" xfId="13267" xr:uid="{9ABD84A3-1BD9-4EA3-8844-24F7390EDC76}"/>
    <cellStyle name="Normal 4 6 3 2 4 3" xfId="6013" xr:uid="{00000000-0005-0000-0000-000060160000}"/>
    <cellStyle name="Normal 4 6 3 2 4 3 2" xfId="24638" xr:uid="{E760923B-B83C-42EC-A686-57556DB1FA2D}"/>
    <cellStyle name="Normal 4 6 3 2 4 3 3" xfId="15339" xr:uid="{07973063-F06E-4F7E-A204-C39FBF5F5CAD}"/>
    <cellStyle name="Normal 4 6 3 2 4 4" xfId="20421" xr:uid="{8A28AAD1-DEBA-4292-9BBB-0256F978C7C2}"/>
    <cellStyle name="Normal 4 6 3 2 4 5" xfId="11122" xr:uid="{32E936F9-6292-4427-BED5-8208C14FB678}"/>
    <cellStyle name="Normal 4 6 3 2 5" xfId="2120" xr:uid="{00000000-0005-0000-0000-000061160000}"/>
    <cellStyle name="Normal 4 6 3 2 5 2" xfId="4349" xr:uid="{00000000-0005-0000-0000-000062160000}"/>
    <cellStyle name="Normal 4 6 3 2 5 2 2" xfId="8571" xr:uid="{00000000-0005-0000-0000-000063160000}"/>
    <cellStyle name="Normal 4 6 3 2 5 2 2 2" xfId="27196" xr:uid="{81C740C2-955D-441E-A3A1-03A60ED099C4}"/>
    <cellStyle name="Normal 4 6 3 2 5 2 2 3" xfId="17897" xr:uid="{7A1B7050-95D8-43F5-B6E8-63E39428B241}"/>
    <cellStyle name="Normal 4 6 3 2 5 2 3" xfId="22979" xr:uid="{A1B35C22-90E9-4502-A638-5F543D856D6D}"/>
    <cellStyle name="Normal 4 6 3 2 5 2 4" xfId="13680" xr:uid="{9C53BBEB-5C73-42DB-AB0D-12CAD3C45A4D}"/>
    <cellStyle name="Normal 4 6 3 2 5 3" xfId="6426" xr:uid="{00000000-0005-0000-0000-000064160000}"/>
    <cellStyle name="Normal 4 6 3 2 5 3 2" xfId="25051" xr:uid="{E0DD1F2D-E436-4B33-A87E-8172CCE3BEF7}"/>
    <cellStyle name="Normal 4 6 3 2 5 3 3" xfId="15752" xr:uid="{7EC37D73-3E53-4771-90D6-ED420FB4DE5B}"/>
    <cellStyle name="Normal 4 6 3 2 5 4" xfId="20834" xr:uid="{BC78DC4C-7A96-498C-9912-5A586AF3AFBF}"/>
    <cellStyle name="Normal 4 6 3 2 5 5" xfId="11535" xr:uid="{ED90964D-8CCD-4317-BD57-B08028854129}"/>
    <cellStyle name="Normal 4 6 3 2 6" xfId="2556" xr:uid="{00000000-0005-0000-0000-000065160000}"/>
    <cellStyle name="Normal 4 6 3 2 6 2" xfId="6839" xr:uid="{00000000-0005-0000-0000-000066160000}"/>
    <cellStyle name="Normal 4 6 3 2 6 2 2" xfId="25464" xr:uid="{79847B75-747A-41E0-B997-5137EAB24A35}"/>
    <cellStyle name="Normal 4 6 3 2 6 2 3" xfId="16165" xr:uid="{1AEC3B08-376D-4D59-90BA-A1CCED174A34}"/>
    <cellStyle name="Normal 4 6 3 2 6 3" xfId="21247" xr:uid="{AEC117FD-A7B2-4340-A814-C807DBE539AF}"/>
    <cellStyle name="Normal 4 6 3 2 6 4" xfId="11948" xr:uid="{04A9D816-CE65-4CA9-B304-DF651126A6D7}"/>
    <cellStyle name="Normal 4 6 3 2 7" xfId="4774" xr:uid="{00000000-0005-0000-0000-000067160000}"/>
    <cellStyle name="Normal 4 6 3 2 7 2" xfId="23399" xr:uid="{45521EC8-952C-41E0-9B6C-7AC819B24376}"/>
    <cellStyle name="Normal 4 6 3 2 7 3" xfId="14100" xr:uid="{81B51D83-E61C-4B83-AEC1-55455DF9D05B}"/>
    <cellStyle name="Normal 4 6 3 2 8" xfId="9082" xr:uid="{B272D1AE-3713-4AD0-AE3F-D1A7344AD432}"/>
    <cellStyle name="Normal 4 6 3 2 8 2" xfId="27705" xr:uid="{6E629A1A-A143-4B58-B2B1-D96C2A4178B6}"/>
    <cellStyle name="Normal 4 6 3 2 8 3" xfId="18406" xr:uid="{0A6FDD99-4AB2-499D-85B4-541778DAE219}"/>
    <cellStyle name="Normal 4 6 3 2 9" xfId="19182" xr:uid="{8B45648D-B79F-4AB3-93A7-24A63717AD53}"/>
    <cellStyle name="Normal 4 6 3 3" xfId="874" xr:uid="{00000000-0005-0000-0000-000068160000}"/>
    <cellStyle name="Normal 4 6 3 3 2" xfId="3109" xr:uid="{00000000-0005-0000-0000-000069160000}"/>
    <cellStyle name="Normal 4 6 3 3 2 2" xfId="7331" xr:uid="{00000000-0005-0000-0000-00006A160000}"/>
    <cellStyle name="Normal 4 6 3 3 2 2 2" xfId="25956" xr:uid="{D4ED9538-D418-460E-9F5E-5CF18CA3D61A}"/>
    <cellStyle name="Normal 4 6 3 3 2 2 3" xfId="16657" xr:uid="{522486F3-44CB-4B92-8756-F81AA56DCAAB}"/>
    <cellStyle name="Normal 4 6 3 3 2 3" xfId="21739" xr:uid="{35ED231B-4CC7-4819-ADDB-35A1198314D9}"/>
    <cellStyle name="Normal 4 6 3 3 2 4" xfId="12440" xr:uid="{EA41E5B3-5CEE-422A-ABA1-3F9399C6032F}"/>
    <cellStyle name="Normal 4 6 3 3 3" xfId="5186" xr:uid="{00000000-0005-0000-0000-00006B160000}"/>
    <cellStyle name="Normal 4 6 3 3 3 2" xfId="23811" xr:uid="{C7166B1C-C34D-4476-91EE-82E994A8302C}"/>
    <cellStyle name="Normal 4 6 3 3 3 3" xfId="14512" xr:uid="{FCA5171E-2949-41F8-B8DA-EE31F76C2927}"/>
    <cellStyle name="Normal 4 6 3 3 4" xfId="9300" xr:uid="{955A2E97-C871-4115-A4F5-A642AE2D2C4B}"/>
    <cellStyle name="Normal 4 6 3 3 4 2" xfId="27914" xr:uid="{18A05151-5913-439C-9263-62D231C26D4C}"/>
    <cellStyle name="Normal 4 6 3 3 4 3" xfId="18615" xr:uid="{4A8EBE9A-17CD-49EA-AD46-8E14F637B4D9}"/>
    <cellStyle name="Normal 4 6 3 3 5" xfId="19594" xr:uid="{0D74DABA-5C9E-4D39-BE32-0F9438CD1FE2}"/>
    <cellStyle name="Normal 4 6 3 3 6" xfId="10295" xr:uid="{B888DE45-BB40-47ED-9648-98793FCACCCE}"/>
    <cellStyle name="Normal 4 6 3 4" xfId="1292" xr:uid="{00000000-0005-0000-0000-00006C160000}"/>
    <cellStyle name="Normal 4 6 3 4 2" xfId="3522" xr:uid="{00000000-0005-0000-0000-00006D160000}"/>
    <cellStyle name="Normal 4 6 3 4 2 2" xfId="7744" xr:uid="{00000000-0005-0000-0000-00006E160000}"/>
    <cellStyle name="Normal 4 6 3 4 2 2 2" xfId="26369" xr:uid="{70CCDADE-354E-4C76-9686-EC46F97D26D3}"/>
    <cellStyle name="Normal 4 6 3 4 2 2 3" xfId="17070" xr:uid="{A6CB3557-FCD5-4C7E-90E5-ADACD3BE0461}"/>
    <cellStyle name="Normal 4 6 3 4 2 3" xfId="22152" xr:uid="{5CCE3EC5-E0F9-49B6-878A-968517D7A5E7}"/>
    <cellStyle name="Normal 4 6 3 4 2 4" xfId="12853" xr:uid="{9A90EA76-8548-4FD7-8D32-FF02E948A772}"/>
    <cellStyle name="Normal 4 6 3 4 3" xfId="5599" xr:uid="{00000000-0005-0000-0000-00006F160000}"/>
    <cellStyle name="Normal 4 6 3 4 3 2" xfId="24224" xr:uid="{6AC7B2BD-4E21-4E67-9B13-261BE48BE150}"/>
    <cellStyle name="Normal 4 6 3 4 3 3" xfId="14925" xr:uid="{7C824E09-0717-4729-BCCD-5AE340371A99}"/>
    <cellStyle name="Normal 4 6 3 4 4" xfId="20007" xr:uid="{05D927A2-3833-4AE9-ADDA-7B7CE0F28350}"/>
    <cellStyle name="Normal 4 6 3 4 5" xfId="10708" xr:uid="{FC5CDEA7-1DE2-474D-B0EB-3D21543719EA}"/>
    <cellStyle name="Normal 4 6 3 5" xfId="1705" xr:uid="{00000000-0005-0000-0000-000070160000}"/>
    <cellStyle name="Normal 4 6 3 5 2" xfId="3935" xr:uid="{00000000-0005-0000-0000-000071160000}"/>
    <cellStyle name="Normal 4 6 3 5 2 2" xfId="8157" xr:uid="{00000000-0005-0000-0000-000072160000}"/>
    <cellStyle name="Normal 4 6 3 5 2 2 2" xfId="26782" xr:uid="{AC2F05C7-5394-41AE-812C-61E82268D28D}"/>
    <cellStyle name="Normal 4 6 3 5 2 2 3" xfId="17483" xr:uid="{244826B5-89B3-4B71-97E6-B1E2EA76C2A4}"/>
    <cellStyle name="Normal 4 6 3 5 2 3" xfId="22565" xr:uid="{A0531618-2CCD-4B91-8510-57ED6C26759B}"/>
    <cellStyle name="Normal 4 6 3 5 2 4" xfId="13266" xr:uid="{E32FDB54-C4B5-4839-A4A4-9728A35A6F8A}"/>
    <cellStyle name="Normal 4 6 3 5 3" xfId="6012" xr:uid="{00000000-0005-0000-0000-000073160000}"/>
    <cellStyle name="Normal 4 6 3 5 3 2" xfId="24637" xr:uid="{30C1D7CF-3D36-4FA9-BF59-5CC8BEC7F1B3}"/>
    <cellStyle name="Normal 4 6 3 5 3 3" xfId="15338" xr:uid="{29B7346F-DB86-46D5-8C56-037AF02593B1}"/>
    <cellStyle name="Normal 4 6 3 5 4" xfId="20420" xr:uid="{64C8D40B-D819-4D0A-8BE3-B4CBE765184E}"/>
    <cellStyle name="Normal 4 6 3 5 5" xfId="11121" xr:uid="{79E72A4B-7716-46F2-8DCF-AD45E5A792F2}"/>
    <cellStyle name="Normal 4 6 3 6" xfId="2119" xr:uid="{00000000-0005-0000-0000-000074160000}"/>
    <cellStyle name="Normal 4 6 3 6 2" xfId="4348" xr:uid="{00000000-0005-0000-0000-000075160000}"/>
    <cellStyle name="Normal 4 6 3 6 2 2" xfId="8570" xr:uid="{00000000-0005-0000-0000-000076160000}"/>
    <cellStyle name="Normal 4 6 3 6 2 2 2" xfId="27195" xr:uid="{EBFCA384-B629-4BE5-B802-45B45F1C3195}"/>
    <cellStyle name="Normal 4 6 3 6 2 2 3" xfId="17896" xr:uid="{D64310EE-6F94-4762-BB21-762B51B95998}"/>
    <cellStyle name="Normal 4 6 3 6 2 3" xfId="22978" xr:uid="{191A0B48-D477-4B93-A58C-7765D7AB222E}"/>
    <cellStyle name="Normal 4 6 3 6 2 4" xfId="13679" xr:uid="{890DC9B2-D503-4E0B-B2B8-35F01EDBB039}"/>
    <cellStyle name="Normal 4 6 3 6 3" xfId="6425" xr:uid="{00000000-0005-0000-0000-000077160000}"/>
    <cellStyle name="Normal 4 6 3 6 3 2" xfId="25050" xr:uid="{56CDD560-C6D3-49C5-A45C-D41CFBA63A57}"/>
    <cellStyle name="Normal 4 6 3 6 3 3" xfId="15751" xr:uid="{93E55CB0-59A5-436F-8C23-D1B5055A4460}"/>
    <cellStyle name="Normal 4 6 3 6 4" xfId="20833" xr:uid="{665F4C23-F804-445C-B911-85DE9CB33D78}"/>
    <cellStyle name="Normal 4 6 3 6 5" xfId="11534" xr:uid="{C1F7E425-9E52-43C7-AD68-477267A12250}"/>
    <cellStyle name="Normal 4 6 3 7" xfId="2555" xr:uid="{00000000-0005-0000-0000-000078160000}"/>
    <cellStyle name="Normal 4 6 3 7 2" xfId="6838" xr:uid="{00000000-0005-0000-0000-000079160000}"/>
    <cellStyle name="Normal 4 6 3 7 2 2" xfId="25463" xr:uid="{EA955723-50D3-451E-ACB0-D4AB0D28FD94}"/>
    <cellStyle name="Normal 4 6 3 7 2 3" xfId="16164" xr:uid="{2BE1CF87-9C5E-4451-AE69-3D873CB5ACC6}"/>
    <cellStyle name="Normal 4 6 3 7 3" xfId="21246" xr:uid="{930FFB4A-7E2E-406D-859B-CA3A2394B553}"/>
    <cellStyle name="Normal 4 6 3 7 4" xfId="11947" xr:uid="{C73BA587-5FF7-4974-ACF5-F2ECF65CA0E0}"/>
    <cellStyle name="Normal 4 6 3 8" xfId="4773" xr:uid="{00000000-0005-0000-0000-00007A160000}"/>
    <cellStyle name="Normal 4 6 3 8 2" xfId="23398" xr:uid="{0CAB4351-284C-499E-9A4E-E2403B7F463B}"/>
    <cellStyle name="Normal 4 6 3 8 3" xfId="14099" xr:uid="{4B6DFC93-7434-461A-9CE7-54C9D6977802}"/>
    <cellStyle name="Normal 4 6 3 9" xfId="8875" xr:uid="{DFD24C28-B729-444D-A0F6-B5522ED354D5}"/>
    <cellStyle name="Normal 4 6 3 9 2" xfId="27498" xr:uid="{F36F2280-2E2E-4935-A03A-6E84EEB4206C}"/>
    <cellStyle name="Normal 4 6 3 9 3" xfId="18199" xr:uid="{23AD63A2-C911-47C7-B4C6-BED69E34CFFE}"/>
    <cellStyle name="Normal 4 6 4" xfId="402" xr:uid="{00000000-0005-0000-0000-00007B160000}"/>
    <cellStyle name="Normal 4 6 4 10" xfId="9884" xr:uid="{F0D442CC-F578-4FE0-86C2-8E5DFAFE8BC9}"/>
    <cellStyle name="Normal 4 6 4 2" xfId="876" xr:uid="{00000000-0005-0000-0000-00007C160000}"/>
    <cellStyle name="Normal 4 6 4 2 2" xfId="3111" xr:uid="{00000000-0005-0000-0000-00007D160000}"/>
    <cellStyle name="Normal 4 6 4 2 2 2" xfId="7333" xr:uid="{00000000-0005-0000-0000-00007E160000}"/>
    <cellStyle name="Normal 4 6 4 2 2 2 2" xfId="25958" xr:uid="{0ED58D15-DA4F-4870-A286-D9894E73BA54}"/>
    <cellStyle name="Normal 4 6 4 2 2 2 3" xfId="16659" xr:uid="{941452AA-128D-43D5-BBB7-88F1AF960881}"/>
    <cellStyle name="Normal 4 6 4 2 2 3" xfId="21741" xr:uid="{EA16D176-3549-42A4-AF68-D25F47CDAD7F}"/>
    <cellStyle name="Normal 4 6 4 2 2 4" xfId="12442" xr:uid="{996A8777-72BF-4FEE-BF91-8E9B4ED19AF2}"/>
    <cellStyle name="Normal 4 6 4 2 3" xfId="5188" xr:uid="{00000000-0005-0000-0000-00007F160000}"/>
    <cellStyle name="Normal 4 6 4 2 3 2" xfId="23813" xr:uid="{FB578B61-C2C4-4B1E-8EAE-56475D65A408}"/>
    <cellStyle name="Normal 4 6 4 2 3 3" xfId="14514" xr:uid="{0D60D0B4-C814-4D3D-9D49-C9FA04F0779F}"/>
    <cellStyle name="Normal 4 6 4 2 4" xfId="9404" xr:uid="{D1BAB6D6-35EF-4C34-91EA-2EB17352CDF9}"/>
    <cellStyle name="Normal 4 6 4 2 4 2" xfId="28018" xr:uid="{0DEB8E52-2EFA-422A-9D61-B6B45B9E5E5E}"/>
    <cellStyle name="Normal 4 6 4 2 4 3" xfId="18719" xr:uid="{E6F5288B-C63A-4804-8C50-449CE71CBFC2}"/>
    <cellStyle name="Normal 4 6 4 2 5" xfId="19596" xr:uid="{F2FFBAD5-9F8D-4A4D-BF3D-FE8D91D87803}"/>
    <cellStyle name="Normal 4 6 4 2 6" xfId="10297" xr:uid="{C6EE530A-4AE1-476F-A17A-A3298A197021}"/>
    <cellStyle name="Normal 4 6 4 3" xfId="1294" xr:uid="{00000000-0005-0000-0000-000080160000}"/>
    <cellStyle name="Normal 4 6 4 3 2" xfId="3524" xr:uid="{00000000-0005-0000-0000-000081160000}"/>
    <cellStyle name="Normal 4 6 4 3 2 2" xfId="7746" xr:uid="{00000000-0005-0000-0000-000082160000}"/>
    <cellStyle name="Normal 4 6 4 3 2 2 2" xfId="26371" xr:uid="{E3382DBC-ABC0-40CF-8974-B3CBE929A236}"/>
    <cellStyle name="Normal 4 6 4 3 2 2 3" xfId="17072" xr:uid="{63D1ABB9-D734-4FF1-80A3-9A0B2815B06C}"/>
    <cellStyle name="Normal 4 6 4 3 2 3" xfId="22154" xr:uid="{F93BDD7A-4EB6-4104-8E39-D287780F5143}"/>
    <cellStyle name="Normal 4 6 4 3 2 4" xfId="12855" xr:uid="{4F9831D9-AB86-4F10-8710-1379077F18A0}"/>
    <cellStyle name="Normal 4 6 4 3 3" xfId="5601" xr:uid="{00000000-0005-0000-0000-000083160000}"/>
    <cellStyle name="Normal 4 6 4 3 3 2" xfId="24226" xr:uid="{62C3B120-F234-43EF-BFB7-4BB0ED6C4F8A}"/>
    <cellStyle name="Normal 4 6 4 3 3 3" xfId="14927" xr:uid="{D795D9C1-4D17-4673-845D-00A4218AF1FD}"/>
    <cellStyle name="Normal 4 6 4 3 4" xfId="20009" xr:uid="{AD70E52D-34F3-4837-B6D8-53D6A33A3F23}"/>
    <cellStyle name="Normal 4 6 4 3 5" xfId="10710" xr:uid="{DCD9A3BE-70D7-47F3-9D44-9A307DCC78BF}"/>
    <cellStyle name="Normal 4 6 4 4" xfId="1707" xr:uid="{00000000-0005-0000-0000-000084160000}"/>
    <cellStyle name="Normal 4 6 4 4 2" xfId="3937" xr:uid="{00000000-0005-0000-0000-000085160000}"/>
    <cellStyle name="Normal 4 6 4 4 2 2" xfId="8159" xr:uid="{00000000-0005-0000-0000-000086160000}"/>
    <cellStyle name="Normal 4 6 4 4 2 2 2" xfId="26784" xr:uid="{162CABFA-7DB5-4A59-A6C6-3E76A08BABDF}"/>
    <cellStyle name="Normal 4 6 4 4 2 2 3" xfId="17485" xr:uid="{9766D875-D8E6-4357-9ADF-E2C3A376E24D}"/>
    <cellStyle name="Normal 4 6 4 4 2 3" xfId="22567" xr:uid="{DE095087-A279-4289-8BE5-ACAB43CCC71A}"/>
    <cellStyle name="Normal 4 6 4 4 2 4" xfId="13268" xr:uid="{A727A5EC-669C-4C87-B095-26BA60DF3A59}"/>
    <cellStyle name="Normal 4 6 4 4 3" xfId="6014" xr:uid="{00000000-0005-0000-0000-000087160000}"/>
    <cellStyle name="Normal 4 6 4 4 3 2" xfId="24639" xr:uid="{43B335D9-2D7A-4AA7-8482-4EAEDD5D1895}"/>
    <cellStyle name="Normal 4 6 4 4 3 3" xfId="15340" xr:uid="{1A39A0C1-D9AE-497D-A731-C3875343C651}"/>
    <cellStyle name="Normal 4 6 4 4 4" xfId="20422" xr:uid="{D73DE696-F051-4C00-9E9A-2526B5FE3E61}"/>
    <cellStyle name="Normal 4 6 4 4 5" xfId="11123" xr:uid="{E8B53A71-03F7-47A9-9C4A-5E33A3634256}"/>
    <cellStyle name="Normal 4 6 4 5" xfId="2121" xr:uid="{00000000-0005-0000-0000-000088160000}"/>
    <cellStyle name="Normal 4 6 4 5 2" xfId="4350" xr:uid="{00000000-0005-0000-0000-000089160000}"/>
    <cellStyle name="Normal 4 6 4 5 2 2" xfId="8572" xr:uid="{00000000-0005-0000-0000-00008A160000}"/>
    <cellStyle name="Normal 4 6 4 5 2 2 2" xfId="27197" xr:uid="{C0D37D1D-1AC2-475F-BE40-1A0CDCB281E1}"/>
    <cellStyle name="Normal 4 6 4 5 2 2 3" xfId="17898" xr:uid="{C9706B43-AB25-44AE-871B-32DE77B9CE29}"/>
    <cellStyle name="Normal 4 6 4 5 2 3" xfId="22980" xr:uid="{184A14AC-C488-4DD3-805A-BC2C78383494}"/>
    <cellStyle name="Normal 4 6 4 5 2 4" xfId="13681" xr:uid="{D5991543-84C6-4445-9501-747FF505B058}"/>
    <cellStyle name="Normal 4 6 4 5 3" xfId="6427" xr:uid="{00000000-0005-0000-0000-00008B160000}"/>
    <cellStyle name="Normal 4 6 4 5 3 2" xfId="25052" xr:uid="{90FAF08F-1DD4-4D02-BED2-D838AE6B08FA}"/>
    <cellStyle name="Normal 4 6 4 5 3 3" xfId="15753" xr:uid="{D50126EE-CB87-4BC9-9EC3-0EDA96EB9D59}"/>
    <cellStyle name="Normal 4 6 4 5 4" xfId="20835" xr:uid="{D8F04099-3FAB-4862-BE0D-2C5243A65958}"/>
    <cellStyle name="Normal 4 6 4 5 5" xfId="11536" xr:uid="{9E263BA1-18B0-436B-8198-77D1C3628A0C}"/>
    <cellStyle name="Normal 4 6 4 6" xfId="2557" xr:uid="{00000000-0005-0000-0000-00008C160000}"/>
    <cellStyle name="Normal 4 6 4 6 2" xfId="6840" xr:uid="{00000000-0005-0000-0000-00008D160000}"/>
    <cellStyle name="Normal 4 6 4 6 2 2" xfId="25465" xr:uid="{186160B4-C8E8-419E-88FD-DDD45D0C0B32}"/>
    <cellStyle name="Normal 4 6 4 6 2 3" xfId="16166" xr:uid="{2E5C6140-1AD1-456D-8ADA-27EFEA93F12B}"/>
    <cellStyle name="Normal 4 6 4 6 3" xfId="21248" xr:uid="{4B1FF30A-0DBC-474A-8449-A80776678F38}"/>
    <cellStyle name="Normal 4 6 4 6 4" xfId="11949" xr:uid="{9F643962-D91B-455B-AFEF-658A332F3366}"/>
    <cellStyle name="Normal 4 6 4 7" xfId="4775" xr:uid="{00000000-0005-0000-0000-00008E160000}"/>
    <cellStyle name="Normal 4 6 4 7 2" xfId="23400" xr:uid="{3ACE4662-1E69-4BA6-BA24-95FA535B9C3C}"/>
    <cellStyle name="Normal 4 6 4 7 3" xfId="14101" xr:uid="{5FAB0416-72AB-4D13-962E-50303E2F56E7}"/>
    <cellStyle name="Normal 4 6 4 8" xfId="8979" xr:uid="{358D1440-F461-4509-8416-8F78F7D13FF4}"/>
    <cellStyle name="Normal 4 6 4 8 2" xfId="27602" xr:uid="{4C938E1F-2284-460D-A662-49B4AB0F0889}"/>
    <cellStyle name="Normal 4 6 4 8 3" xfId="18303" xr:uid="{6CFDBAD5-BF45-496B-9018-6DFA42FBBD94}"/>
    <cellStyle name="Normal 4 6 4 9" xfId="19183" xr:uid="{DDE7CFBD-160C-4043-97E8-B2B87A632D3C}"/>
    <cellStyle name="Normal 4 6 5" xfId="869" xr:uid="{00000000-0005-0000-0000-00008F160000}"/>
    <cellStyle name="Normal 4 6 5 2" xfId="3104" xr:uid="{00000000-0005-0000-0000-000090160000}"/>
    <cellStyle name="Normal 4 6 5 2 2" xfId="7326" xr:uid="{00000000-0005-0000-0000-000091160000}"/>
    <cellStyle name="Normal 4 6 5 2 2 2" xfId="25951" xr:uid="{8BFA6E10-7312-4AB7-B372-A5C93C4E7ADF}"/>
    <cellStyle name="Normal 4 6 5 2 2 3" xfId="16652" xr:uid="{F9D9936C-30D3-44B2-8371-E2DDBE4EFE70}"/>
    <cellStyle name="Normal 4 6 5 2 3" xfId="21734" xr:uid="{248F81CD-C15C-4E30-9C67-42FB02A6F33D}"/>
    <cellStyle name="Normal 4 6 5 2 4" xfId="12435" xr:uid="{3EAB0652-F0FF-4ABE-8481-BB82616CC665}"/>
    <cellStyle name="Normal 4 6 5 3" xfId="5181" xr:uid="{00000000-0005-0000-0000-000092160000}"/>
    <cellStyle name="Normal 4 6 5 3 2" xfId="23806" xr:uid="{D35769B5-A805-42B3-BCC1-724B1A2D8BD4}"/>
    <cellStyle name="Normal 4 6 5 3 3" xfId="14507" xr:uid="{3B6DA56E-CA9F-42AC-8768-046F8085C19F}"/>
    <cellStyle name="Normal 4 6 5 4" xfId="9196" xr:uid="{8DF5D81E-BEC3-4373-A99C-2D9CDEEBBA3C}"/>
    <cellStyle name="Normal 4 6 5 4 2" xfId="27811" xr:uid="{7BB4A6CE-A3EF-4A64-9671-3AFA20402998}"/>
    <cellStyle name="Normal 4 6 5 4 3" xfId="18512" xr:uid="{497BE3BE-EB8F-4659-80F4-0CEFF76C7F94}"/>
    <cellStyle name="Normal 4 6 5 5" xfId="19589" xr:uid="{ADFB7BD0-1588-4B0E-A9AB-48AB14EBDEC0}"/>
    <cellStyle name="Normal 4 6 5 6" xfId="10290" xr:uid="{5E0A700B-D915-4A76-8AA1-7930464CA6CC}"/>
    <cellStyle name="Normal 4 6 6" xfId="1287" xr:uid="{00000000-0005-0000-0000-000093160000}"/>
    <cellStyle name="Normal 4 6 6 2" xfId="3517" xr:uid="{00000000-0005-0000-0000-000094160000}"/>
    <cellStyle name="Normal 4 6 6 2 2" xfId="7739" xr:uid="{00000000-0005-0000-0000-000095160000}"/>
    <cellStyle name="Normal 4 6 6 2 2 2" xfId="26364" xr:uid="{88878598-4395-4A7A-B44F-414DBA917CC1}"/>
    <cellStyle name="Normal 4 6 6 2 2 3" xfId="17065" xr:uid="{1A2869CB-32C1-48FE-BF95-E6A97719C2A7}"/>
    <cellStyle name="Normal 4 6 6 2 3" xfId="22147" xr:uid="{86A5F1E9-7DD9-44D9-84F9-9431038117D9}"/>
    <cellStyle name="Normal 4 6 6 2 4" xfId="12848" xr:uid="{5528A804-D5B7-4934-BFC2-E3D0406B58C8}"/>
    <cellStyle name="Normal 4 6 6 3" xfId="5594" xr:uid="{00000000-0005-0000-0000-000096160000}"/>
    <cellStyle name="Normal 4 6 6 3 2" xfId="24219" xr:uid="{35D6B4A3-5C72-4464-99A7-2F124C0E250F}"/>
    <cellStyle name="Normal 4 6 6 3 3" xfId="14920" xr:uid="{3CF1BFA7-71A5-4CBA-A3A4-C2A3FB6A80B2}"/>
    <cellStyle name="Normal 4 6 6 4" xfId="20002" xr:uid="{7A62C7FA-62D8-46AC-B67D-EFFC58E689F7}"/>
    <cellStyle name="Normal 4 6 6 5" xfId="10703" xr:uid="{AD8333F4-7EC8-4244-BCED-2ACE8994E71E}"/>
    <cellStyle name="Normal 4 6 7" xfId="1700" xr:uid="{00000000-0005-0000-0000-000097160000}"/>
    <cellStyle name="Normal 4 6 7 2" xfId="3930" xr:uid="{00000000-0005-0000-0000-000098160000}"/>
    <cellStyle name="Normal 4 6 7 2 2" xfId="8152" xr:uid="{00000000-0005-0000-0000-000099160000}"/>
    <cellStyle name="Normal 4 6 7 2 2 2" xfId="26777" xr:uid="{83BBF9D6-C0F9-4EE8-8416-BA00EE5C5A76}"/>
    <cellStyle name="Normal 4 6 7 2 2 3" xfId="17478" xr:uid="{CCE46054-3CCC-4311-9322-291AFEFD3CB7}"/>
    <cellStyle name="Normal 4 6 7 2 3" xfId="22560" xr:uid="{FF50DF29-2804-477F-94DC-A1634E861F31}"/>
    <cellStyle name="Normal 4 6 7 2 4" xfId="13261" xr:uid="{ED6CFA4C-1AE6-45B5-9D6A-57A79505D5FC}"/>
    <cellStyle name="Normal 4 6 7 3" xfId="6007" xr:uid="{00000000-0005-0000-0000-00009A160000}"/>
    <cellStyle name="Normal 4 6 7 3 2" xfId="24632" xr:uid="{7A0C3528-2FBB-40E4-ADCB-0AFD8298AF98}"/>
    <cellStyle name="Normal 4 6 7 3 3" xfId="15333" xr:uid="{CF3114D5-D469-4DF3-9D80-2560684E042E}"/>
    <cellStyle name="Normal 4 6 7 4" xfId="20415" xr:uid="{519AE14F-3BD1-493E-9EA3-17FABD1D4468}"/>
    <cellStyle name="Normal 4 6 7 5" xfId="11116" xr:uid="{4AA4A6EC-E865-41DF-B6D8-FACF5DDEF898}"/>
    <cellStyle name="Normal 4 6 8" xfId="2114" xr:uid="{00000000-0005-0000-0000-00009B160000}"/>
    <cellStyle name="Normal 4 6 8 2" xfId="4343" xr:uid="{00000000-0005-0000-0000-00009C160000}"/>
    <cellStyle name="Normal 4 6 8 2 2" xfId="8565" xr:uid="{00000000-0005-0000-0000-00009D160000}"/>
    <cellStyle name="Normal 4 6 8 2 2 2" xfId="27190" xr:uid="{7D8A3B42-35E2-4845-9A7F-0093367A983F}"/>
    <cellStyle name="Normal 4 6 8 2 2 3" xfId="17891" xr:uid="{45BFADA8-CAF3-496F-8D52-6323071153D9}"/>
    <cellStyle name="Normal 4 6 8 2 3" xfId="22973" xr:uid="{8C0D6D18-6D84-4CE3-A8AB-C757CE7E3913}"/>
    <cellStyle name="Normal 4 6 8 2 4" xfId="13674" xr:uid="{D96F0569-B0A8-4E58-A7FF-360603CE2367}"/>
    <cellStyle name="Normal 4 6 8 3" xfId="6420" xr:uid="{00000000-0005-0000-0000-00009E160000}"/>
    <cellStyle name="Normal 4 6 8 3 2" xfId="25045" xr:uid="{873FE8FE-C0D0-411A-822B-07F78D9ADAB7}"/>
    <cellStyle name="Normal 4 6 8 3 3" xfId="15746" xr:uid="{77530B3A-24DC-453B-9BBF-B6AB3B65B254}"/>
    <cellStyle name="Normal 4 6 8 4" xfId="20828" xr:uid="{29BFA047-5E51-4481-9729-2A976694420D}"/>
    <cellStyle name="Normal 4 6 8 5" xfId="11529" xr:uid="{82D74559-6FB4-4C24-87AB-3D0EBCD0FD6F}"/>
    <cellStyle name="Normal 4 6 9" xfId="2550" xr:uid="{00000000-0005-0000-0000-00009F160000}"/>
    <cellStyle name="Normal 4 6 9 2" xfId="6833" xr:uid="{00000000-0005-0000-0000-0000A0160000}"/>
    <cellStyle name="Normal 4 6 9 2 2" xfId="25458" xr:uid="{952FE9EB-0AD2-4F40-9948-665D69F08A12}"/>
    <cellStyle name="Normal 4 6 9 2 3" xfId="16159" xr:uid="{896817BD-F46C-4862-A179-A4D9FF5FCD4B}"/>
    <cellStyle name="Normal 4 6 9 3" xfId="21241" xr:uid="{87C78B8C-174C-414C-BFEE-8CF246A1D43C}"/>
    <cellStyle name="Normal 4 6 9 4" xfId="11942" xr:uid="{DBBC8DEA-3DAF-4022-BD07-5CD8B0AEB4B5}"/>
    <cellStyle name="Normal 4 7" xfId="403" xr:uid="{00000000-0005-0000-0000-0000A1160000}"/>
    <cellStyle name="Normal 4 7 10" xfId="19184" xr:uid="{D6272991-23C6-478D-A372-8BCA263F3799}"/>
    <cellStyle name="Normal 4 7 11" xfId="9885" xr:uid="{FC6CEC16-30CB-48DE-9EF1-FE7A14730745}"/>
    <cellStyle name="Normal 4 7 2" xfId="404" xr:uid="{00000000-0005-0000-0000-0000A2160000}"/>
    <cellStyle name="Normal 4 7 2 10" xfId="9886" xr:uid="{20CD90C5-3FF3-4D05-96B4-196388285EDA}"/>
    <cellStyle name="Normal 4 7 2 2" xfId="878" xr:uid="{00000000-0005-0000-0000-0000A3160000}"/>
    <cellStyle name="Normal 4 7 2 2 2" xfId="3113" xr:uid="{00000000-0005-0000-0000-0000A4160000}"/>
    <cellStyle name="Normal 4 7 2 2 2 2" xfId="7335" xr:uid="{00000000-0005-0000-0000-0000A5160000}"/>
    <cellStyle name="Normal 4 7 2 2 2 2 2" xfId="25960" xr:uid="{F2FFB45A-E27F-4F79-AC88-30F084A47101}"/>
    <cellStyle name="Normal 4 7 2 2 2 2 3" xfId="16661" xr:uid="{5E74447E-1D79-48D9-82D1-0F079C0AE672}"/>
    <cellStyle name="Normal 4 7 2 2 2 3" xfId="21743" xr:uid="{9F07CF1D-2D18-4075-842D-D9527EF7AAE0}"/>
    <cellStyle name="Normal 4 7 2 2 2 4" xfId="12444" xr:uid="{38D189E1-91F4-4ACC-AC00-606B01D473FA}"/>
    <cellStyle name="Normal 4 7 2 2 3" xfId="5190" xr:uid="{00000000-0005-0000-0000-0000A6160000}"/>
    <cellStyle name="Normal 4 7 2 2 3 2" xfId="23815" xr:uid="{3BCFAC0B-DA03-4165-9223-066A431939C0}"/>
    <cellStyle name="Normal 4 7 2 2 3 3" xfId="14516" xr:uid="{A741AC8C-630D-4ED4-BAF1-121DFE0C8EBD}"/>
    <cellStyle name="Normal 4 7 2 2 4" xfId="9475" xr:uid="{1E309EF6-7D7C-4A4D-B2F1-E00D0CF6E167}"/>
    <cellStyle name="Normal 4 7 2 2 4 2" xfId="28089" xr:uid="{8BE8DF73-1F81-42D3-A748-2C8FF16AC5F7}"/>
    <cellStyle name="Normal 4 7 2 2 4 3" xfId="18790" xr:uid="{FB3D05ED-563A-4D0F-AE96-445E0C7B0E62}"/>
    <cellStyle name="Normal 4 7 2 2 5" xfId="19598" xr:uid="{68F88B37-08F5-4286-9EC7-2AB866F5D400}"/>
    <cellStyle name="Normal 4 7 2 2 6" xfId="10299" xr:uid="{640D4392-10BA-40CD-A81B-0F1B15D87E69}"/>
    <cellStyle name="Normal 4 7 2 3" xfId="1296" xr:uid="{00000000-0005-0000-0000-0000A7160000}"/>
    <cellStyle name="Normal 4 7 2 3 2" xfId="3526" xr:uid="{00000000-0005-0000-0000-0000A8160000}"/>
    <cellStyle name="Normal 4 7 2 3 2 2" xfId="7748" xr:uid="{00000000-0005-0000-0000-0000A9160000}"/>
    <cellStyle name="Normal 4 7 2 3 2 2 2" xfId="26373" xr:uid="{D4D5BAAB-02B7-40DA-A524-922D926CDB10}"/>
    <cellStyle name="Normal 4 7 2 3 2 2 3" xfId="17074" xr:uid="{9CD5FE57-943F-4CC2-9B3D-F83F50DA0A44}"/>
    <cellStyle name="Normal 4 7 2 3 2 3" xfId="22156" xr:uid="{38E6621B-C3D4-43F3-8487-A52668C7E45C}"/>
    <cellStyle name="Normal 4 7 2 3 2 4" xfId="12857" xr:uid="{2E60415C-D73E-4545-9F3A-DEC4386444FC}"/>
    <cellStyle name="Normal 4 7 2 3 3" xfId="5603" xr:uid="{00000000-0005-0000-0000-0000AA160000}"/>
    <cellStyle name="Normal 4 7 2 3 3 2" xfId="24228" xr:uid="{306E76CD-589A-48A5-8AAE-F21713F6897D}"/>
    <cellStyle name="Normal 4 7 2 3 3 3" xfId="14929" xr:uid="{953B837A-2049-480C-BE22-AA00795EB8DD}"/>
    <cellStyle name="Normal 4 7 2 3 4" xfId="20011" xr:uid="{654A4058-62CD-4429-A26A-6BD6BEAA4206}"/>
    <cellStyle name="Normal 4 7 2 3 5" xfId="10712" xr:uid="{A1DFA14F-FA1E-4404-94E1-80A1B3ED11AE}"/>
    <cellStyle name="Normal 4 7 2 4" xfId="1709" xr:uid="{00000000-0005-0000-0000-0000AB160000}"/>
    <cellStyle name="Normal 4 7 2 4 2" xfId="3939" xr:uid="{00000000-0005-0000-0000-0000AC160000}"/>
    <cellStyle name="Normal 4 7 2 4 2 2" xfId="8161" xr:uid="{00000000-0005-0000-0000-0000AD160000}"/>
    <cellStyle name="Normal 4 7 2 4 2 2 2" xfId="26786" xr:uid="{E7BDACB6-C0F2-4313-B44A-B0178285297F}"/>
    <cellStyle name="Normal 4 7 2 4 2 2 3" xfId="17487" xr:uid="{7544AF25-58AF-4C5A-9FF3-910D3CE769B7}"/>
    <cellStyle name="Normal 4 7 2 4 2 3" xfId="22569" xr:uid="{1BB47472-CF3D-4BC4-A0D5-56C581D345C9}"/>
    <cellStyle name="Normal 4 7 2 4 2 4" xfId="13270" xr:uid="{2B9488ED-4F07-428D-96A6-2FF53D5326AD}"/>
    <cellStyle name="Normal 4 7 2 4 3" xfId="6016" xr:uid="{00000000-0005-0000-0000-0000AE160000}"/>
    <cellStyle name="Normal 4 7 2 4 3 2" xfId="24641" xr:uid="{232ED380-74E1-4286-9578-6A91FD7F993C}"/>
    <cellStyle name="Normal 4 7 2 4 3 3" xfId="15342" xr:uid="{3F0B8D0B-6668-47DD-99ED-119E20C40235}"/>
    <cellStyle name="Normal 4 7 2 4 4" xfId="20424" xr:uid="{4C9648C7-AD7F-48D7-81E7-79F80813BA57}"/>
    <cellStyle name="Normal 4 7 2 4 5" xfId="11125" xr:uid="{D160088F-D3DC-41BC-BCBC-7D172D9B885A}"/>
    <cellStyle name="Normal 4 7 2 5" xfId="2123" xr:uid="{00000000-0005-0000-0000-0000AF160000}"/>
    <cellStyle name="Normal 4 7 2 5 2" xfId="4352" xr:uid="{00000000-0005-0000-0000-0000B0160000}"/>
    <cellStyle name="Normal 4 7 2 5 2 2" xfId="8574" xr:uid="{00000000-0005-0000-0000-0000B1160000}"/>
    <cellStyle name="Normal 4 7 2 5 2 2 2" xfId="27199" xr:uid="{8709B747-1A98-49CF-9A30-488E9BC49887}"/>
    <cellStyle name="Normal 4 7 2 5 2 2 3" xfId="17900" xr:uid="{BF1EEBB5-B10C-47AD-9EB7-FC4E158EDB58}"/>
    <cellStyle name="Normal 4 7 2 5 2 3" xfId="22982" xr:uid="{904ECE17-C048-4D3B-A4BB-5BE908EB1C55}"/>
    <cellStyle name="Normal 4 7 2 5 2 4" xfId="13683" xr:uid="{10D118FF-C75B-48B2-A700-9ADC510CC543}"/>
    <cellStyle name="Normal 4 7 2 5 3" xfId="6429" xr:uid="{00000000-0005-0000-0000-0000B2160000}"/>
    <cellStyle name="Normal 4 7 2 5 3 2" xfId="25054" xr:uid="{005C7C49-B0F1-4461-AFD2-C5EAF7064DB0}"/>
    <cellStyle name="Normal 4 7 2 5 3 3" xfId="15755" xr:uid="{0EBB60DE-F327-4B1A-8475-9DF7888F6C97}"/>
    <cellStyle name="Normal 4 7 2 5 4" xfId="20837" xr:uid="{8A4F9692-DEAC-499C-9BA5-BF7D90201EDE}"/>
    <cellStyle name="Normal 4 7 2 5 5" xfId="11538" xr:uid="{159931B8-0735-4398-A587-7BEC28594070}"/>
    <cellStyle name="Normal 4 7 2 6" xfId="2559" xr:uid="{00000000-0005-0000-0000-0000B3160000}"/>
    <cellStyle name="Normal 4 7 2 6 2" xfId="6842" xr:uid="{00000000-0005-0000-0000-0000B4160000}"/>
    <cellStyle name="Normal 4 7 2 6 2 2" xfId="25467" xr:uid="{7781E2DA-D2A4-46C5-9A58-DA33ABCBB007}"/>
    <cellStyle name="Normal 4 7 2 6 2 3" xfId="16168" xr:uid="{EB3F0099-FB48-4848-9483-0DEEBD3EC968}"/>
    <cellStyle name="Normal 4 7 2 6 3" xfId="21250" xr:uid="{0DF41D7A-F5B9-4421-B456-F8CCE6AE33B3}"/>
    <cellStyle name="Normal 4 7 2 6 4" xfId="11951" xr:uid="{F8114A9E-CC12-4773-80E1-A97076EC25D9}"/>
    <cellStyle name="Normal 4 7 2 7" xfId="4777" xr:uid="{00000000-0005-0000-0000-0000B5160000}"/>
    <cellStyle name="Normal 4 7 2 7 2" xfId="23402" xr:uid="{F208BDEE-7B85-4975-9834-5F0D7ED77D00}"/>
    <cellStyle name="Normal 4 7 2 7 3" xfId="14103" xr:uid="{2C0CD161-358E-4F6D-A824-DB188D5B4873}"/>
    <cellStyle name="Normal 4 7 2 8" xfId="9050" xr:uid="{C18A0BCD-6C40-47C4-AC72-E06914F008F6}"/>
    <cellStyle name="Normal 4 7 2 8 2" xfId="27673" xr:uid="{6D89CC9E-818D-4435-9C3D-CBC1F9EDB70B}"/>
    <cellStyle name="Normal 4 7 2 8 3" xfId="18374" xr:uid="{3B61B97D-E434-411D-A8C2-A74AA913368D}"/>
    <cellStyle name="Normal 4 7 2 9" xfId="19185" xr:uid="{4D123B25-C1AD-4405-B72B-1C315D576775}"/>
    <cellStyle name="Normal 4 7 3" xfId="877" xr:uid="{00000000-0005-0000-0000-0000B6160000}"/>
    <cellStyle name="Normal 4 7 3 2" xfId="3112" xr:uid="{00000000-0005-0000-0000-0000B7160000}"/>
    <cellStyle name="Normal 4 7 3 2 2" xfId="7334" xr:uid="{00000000-0005-0000-0000-0000B8160000}"/>
    <cellStyle name="Normal 4 7 3 2 2 2" xfId="25959" xr:uid="{7BFA4825-F47B-4993-B693-E5CEAA31681B}"/>
    <cellStyle name="Normal 4 7 3 2 2 3" xfId="16660" xr:uid="{6BFB249D-DEAE-4D77-B136-2DD67F047FE6}"/>
    <cellStyle name="Normal 4 7 3 2 3" xfId="21742" xr:uid="{E63A1A78-12F8-45A8-9FC2-24EA468A53D8}"/>
    <cellStyle name="Normal 4 7 3 2 4" xfId="12443" xr:uid="{B0F17AA3-2E09-4306-97B3-3F9069D71C6E}"/>
    <cellStyle name="Normal 4 7 3 3" xfId="5189" xr:uid="{00000000-0005-0000-0000-0000B9160000}"/>
    <cellStyle name="Normal 4 7 3 3 2" xfId="23814" xr:uid="{0F326D88-B4DC-48F2-8335-DA1B89B6E703}"/>
    <cellStyle name="Normal 4 7 3 3 3" xfId="14515" xr:uid="{F3CAF09F-3D1B-49CD-82AB-C8BCA7A27509}"/>
    <cellStyle name="Normal 4 7 3 4" xfId="9268" xr:uid="{83DA99B2-5D77-4110-AEB9-304D3ECEF3EB}"/>
    <cellStyle name="Normal 4 7 3 4 2" xfId="27882" xr:uid="{45977DAE-CEE0-4F73-9461-A7BD12E73B7D}"/>
    <cellStyle name="Normal 4 7 3 4 3" xfId="18583" xr:uid="{E184F12A-E551-4FEF-A6D0-6FA73A1EEDA0}"/>
    <cellStyle name="Normal 4 7 3 5" xfId="19597" xr:uid="{1D53F1B1-0AE5-43E1-A221-831E23481302}"/>
    <cellStyle name="Normal 4 7 3 6" xfId="10298" xr:uid="{4D3B7DF9-51AA-412E-B828-8530B69B95C9}"/>
    <cellStyle name="Normal 4 7 4" xfId="1295" xr:uid="{00000000-0005-0000-0000-0000BA160000}"/>
    <cellStyle name="Normal 4 7 4 2" xfId="3525" xr:uid="{00000000-0005-0000-0000-0000BB160000}"/>
    <cellStyle name="Normal 4 7 4 2 2" xfId="7747" xr:uid="{00000000-0005-0000-0000-0000BC160000}"/>
    <cellStyle name="Normal 4 7 4 2 2 2" xfId="26372" xr:uid="{CBB29958-395A-4622-B51A-AFEA31BD427C}"/>
    <cellStyle name="Normal 4 7 4 2 2 3" xfId="17073" xr:uid="{D6CAA583-2CE6-45DE-B024-C110D3CFAEF1}"/>
    <cellStyle name="Normal 4 7 4 2 3" xfId="22155" xr:uid="{383D3524-7122-49D1-9307-431D492C24EB}"/>
    <cellStyle name="Normal 4 7 4 2 4" xfId="12856" xr:uid="{B795AB19-1F4C-4007-8395-A9BE9C78AAF7}"/>
    <cellStyle name="Normal 4 7 4 3" xfId="5602" xr:uid="{00000000-0005-0000-0000-0000BD160000}"/>
    <cellStyle name="Normal 4 7 4 3 2" xfId="24227" xr:uid="{821C10E2-D7A0-404E-8806-706A0F295090}"/>
    <cellStyle name="Normal 4 7 4 3 3" xfId="14928" xr:uid="{EC5C8BDB-A0CF-416C-9D4C-E3589DB0DD58}"/>
    <cellStyle name="Normal 4 7 4 4" xfId="20010" xr:uid="{9C401248-EF7E-4139-B265-7A0FBAF52962}"/>
    <cellStyle name="Normal 4 7 4 5" xfId="10711" xr:uid="{5CFA7912-E001-4450-97C8-63D00FBA2A96}"/>
    <cellStyle name="Normal 4 7 5" xfId="1708" xr:uid="{00000000-0005-0000-0000-0000BE160000}"/>
    <cellStyle name="Normal 4 7 5 2" xfId="3938" xr:uid="{00000000-0005-0000-0000-0000BF160000}"/>
    <cellStyle name="Normal 4 7 5 2 2" xfId="8160" xr:uid="{00000000-0005-0000-0000-0000C0160000}"/>
    <cellStyle name="Normal 4 7 5 2 2 2" xfId="26785" xr:uid="{307F3E22-36F2-4770-BCFC-0BAA4124B940}"/>
    <cellStyle name="Normal 4 7 5 2 2 3" xfId="17486" xr:uid="{67089B8E-5BD7-4CAB-976C-4A205C747795}"/>
    <cellStyle name="Normal 4 7 5 2 3" xfId="22568" xr:uid="{EB7CB7B9-488F-4F62-B5AA-392E395C3D83}"/>
    <cellStyle name="Normal 4 7 5 2 4" xfId="13269" xr:uid="{31F647C3-F384-439D-883B-DC43D91C1FA6}"/>
    <cellStyle name="Normal 4 7 5 3" xfId="6015" xr:uid="{00000000-0005-0000-0000-0000C1160000}"/>
    <cellStyle name="Normal 4 7 5 3 2" xfId="24640" xr:uid="{8351355B-BD4A-4D20-B180-B74294FD3527}"/>
    <cellStyle name="Normal 4 7 5 3 3" xfId="15341" xr:uid="{DEC57B70-187F-47EB-8224-BA41AE505390}"/>
    <cellStyle name="Normal 4 7 5 4" xfId="20423" xr:uid="{172C8058-CBB1-42D0-95DE-BE980CD94C6E}"/>
    <cellStyle name="Normal 4 7 5 5" xfId="11124" xr:uid="{36F2D07F-08B7-409B-87C6-1C7E87B98F72}"/>
    <cellStyle name="Normal 4 7 6" xfId="2122" xr:uid="{00000000-0005-0000-0000-0000C2160000}"/>
    <cellStyle name="Normal 4 7 6 2" xfId="4351" xr:uid="{00000000-0005-0000-0000-0000C3160000}"/>
    <cellStyle name="Normal 4 7 6 2 2" xfId="8573" xr:uid="{00000000-0005-0000-0000-0000C4160000}"/>
    <cellStyle name="Normal 4 7 6 2 2 2" xfId="27198" xr:uid="{7DC44D7D-1902-450D-B0A1-636BE6920B89}"/>
    <cellStyle name="Normal 4 7 6 2 2 3" xfId="17899" xr:uid="{ACF3CA12-4030-4512-AD8A-B0C4B46B6271}"/>
    <cellStyle name="Normal 4 7 6 2 3" xfId="22981" xr:uid="{B1FD2C5A-179A-49A4-99BF-CDD6A7F49022}"/>
    <cellStyle name="Normal 4 7 6 2 4" xfId="13682" xr:uid="{8560B419-7D92-4F94-A726-E249121A7439}"/>
    <cellStyle name="Normal 4 7 6 3" xfId="6428" xr:uid="{00000000-0005-0000-0000-0000C5160000}"/>
    <cellStyle name="Normal 4 7 6 3 2" xfId="25053" xr:uid="{50E183F7-9A68-49F9-AC05-65A96FEA9CFD}"/>
    <cellStyle name="Normal 4 7 6 3 3" xfId="15754" xr:uid="{92349B77-A3D6-49A9-8F2F-EBD059DA3539}"/>
    <cellStyle name="Normal 4 7 6 4" xfId="20836" xr:uid="{953AC3CC-9776-4B7E-9C6C-9641D5D4CC3D}"/>
    <cellStyle name="Normal 4 7 6 5" xfId="11537" xr:uid="{189D8329-677E-4FD3-B8DA-F78CAD7B90C7}"/>
    <cellStyle name="Normal 4 7 7" xfId="2558" xr:uid="{00000000-0005-0000-0000-0000C6160000}"/>
    <cellStyle name="Normal 4 7 7 2" xfId="6841" xr:uid="{00000000-0005-0000-0000-0000C7160000}"/>
    <cellStyle name="Normal 4 7 7 2 2" xfId="25466" xr:uid="{901B297C-C5BC-4DC4-B130-C424C30E5F9E}"/>
    <cellStyle name="Normal 4 7 7 2 3" xfId="16167" xr:uid="{3B50C53C-9ACC-453B-988F-F979772FB010}"/>
    <cellStyle name="Normal 4 7 7 3" xfId="21249" xr:uid="{E8B97B20-98D1-40C6-820D-356B0A6E9251}"/>
    <cellStyle name="Normal 4 7 7 4" xfId="11950" xr:uid="{300BF29A-A737-4442-AB4F-69586AA635B0}"/>
    <cellStyle name="Normal 4 7 8" xfId="4776" xr:uid="{00000000-0005-0000-0000-0000C8160000}"/>
    <cellStyle name="Normal 4 7 8 2" xfId="23401" xr:uid="{85C4F9FE-78A8-4ED4-9698-D5DDB1A247E6}"/>
    <cellStyle name="Normal 4 7 8 3" xfId="14102" xr:uid="{F41A9D0E-DAB2-4177-95A6-ECCEEEECE4C8}"/>
    <cellStyle name="Normal 4 7 9" xfId="8843" xr:uid="{092972D9-0015-4C5A-94A6-5AFD2026266B}"/>
    <cellStyle name="Normal 4 7 9 2" xfId="27466" xr:uid="{F5B6B8B7-8CE3-48B9-A722-3C07A9C699E0}"/>
    <cellStyle name="Normal 4 7 9 3" xfId="18167" xr:uid="{96E52EFD-A5D5-458A-87DB-046B5FA53681}"/>
    <cellStyle name="Normal 4 8" xfId="405" xr:uid="{00000000-0005-0000-0000-0000C9160000}"/>
    <cellStyle name="Normal 4 8 10" xfId="9887" xr:uid="{1F4DA316-E971-4DE7-8F50-D14443D3FB48}"/>
    <cellStyle name="Normal 4 8 2" xfId="879" xr:uid="{00000000-0005-0000-0000-0000CA160000}"/>
    <cellStyle name="Normal 4 8 2 2" xfId="3114" xr:uid="{00000000-0005-0000-0000-0000CB160000}"/>
    <cellStyle name="Normal 4 8 2 2 2" xfId="7336" xr:uid="{00000000-0005-0000-0000-0000CC160000}"/>
    <cellStyle name="Normal 4 8 2 2 2 2" xfId="25961" xr:uid="{6C7161E1-35B2-4315-B1D6-BD447E59DFA0}"/>
    <cellStyle name="Normal 4 8 2 2 2 3" xfId="16662" xr:uid="{63EDFD7E-2199-407C-9140-DDC8CAF265D2}"/>
    <cellStyle name="Normal 4 8 2 2 3" xfId="21744" xr:uid="{9B2E06EE-EFE0-4AE0-80EA-B9F174AC0111}"/>
    <cellStyle name="Normal 4 8 2 2 4" xfId="12445" xr:uid="{008AF3BB-216F-4231-AF9A-7B9DAB05808A}"/>
    <cellStyle name="Normal 4 8 2 3" xfId="5191" xr:uid="{00000000-0005-0000-0000-0000CD160000}"/>
    <cellStyle name="Normal 4 8 2 3 2" xfId="23816" xr:uid="{55004E74-7655-4A74-B539-9C857496743A}"/>
    <cellStyle name="Normal 4 8 2 3 3" xfId="14517" xr:uid="{BA84B408-DD33-4335-8822-1A2604AE14A2}"/>
    <cellStyle name="Normal 4 8 2 4" xfId="9384" xr:uid="{6351F1DA-E485-4044-8429-C0AE76E79EEE}"/>
    <cellStyle name="Normal 4 8 2 4 2" xfId="27998" xr:uid="{67B95471-6C22-4594-9521-0E1289CFCA84}"/>
    <cellStyle name="Normal 4 8 2 4 3" xfId="18699" xr:uid="{63C62F2B-6A6E-44E8-81DC-D1AF4B2BC2D4}"/>
    <cellStyle name="Normal 4 8 2 5" xfId="19599" xr:uid="{9D77DF68-B0EE-47F0-89CF-5BD1869230CB}"/>
    <cellStyle name="Normal 4 8 2 6" xfId="10300" xr:uid="{2741AFDE-9ABE-41D4-A6E9-91E9DDD84D19}"/>
    <cellStyle name="Normal 4 8 3" xfId="1297" xr:uid="{00000000-0005-0000-0000-0000CE160000}"/>
    <cellStyle name="Normal 4 8 3 2" xfId="3527" xr:uid="{00000000-0005-0000-0000-0000CF160000}"/>
    <cellStyle name="Normal 4 8 3 2 2" xfId="7749" xr:uid="{00000000-0005-0000-0000-0000D0160000}"/>
    <cellStyle name="Normal 4 8 3 2 2 2" xfId="26374" xr:uid="{BEE1AFE0-3881-48F7-AD39-F0838E620D30}"/>
    <cellStyle name="Normal 4 8 3 2 2 3" xfId="17075" xr:uid="{F3ECAFDC-A137-45E5-81BA-D6CB40BA5593}"/>
    <cellStyle name="Normal 4 8 3 2 3" xfId="22157" xr:uid="{39868FB2-4C54-41AC-98C5-9BEA7C9E8639}"/>
    <cellStyle name="Normal 4 8 3 2 4" xfId="12858" xr:uid="{05DFE7C0-13B9-41D3-9D70-9096786723AD}"/>
    <cellStyle name="Normal 4 8 3 3" xfId="5604" xr:uid="{00000000-0005-0000-0000-0000D1160000}"/>
    <cellStyle name="Normal 4 8 3 3 2" xfId="24229" xr:uid="{A037B343-ADFD-4369-BB11-7D2D79BC3AEA}"/>
    <cellStyle name="Normal 4 8 3 3 3" xfId="14930" xr:uid="{E587D786-A326-40A8-AFB4-579BCD51A07E}"/>
    <cellStyle name="Normal 4 8 3 4" xfId="20012" xr:uid="{B1BD62CC-A69B-442E-8554-E5518E5E2C0A}"/>
    <cellStyle name="Normal 4 8 3 5" xfId="10713" xr:uid="{513C2380-4230-4861-85D5-FFF64B610508}"/>
    <cellStyle name="Normal 4 8 4" xfId="1710" xr:uid="{00000000-0005-0000-0000-0000D2160000}"/>
    <cellStyle name="Normal 4 8 4 2" xfId="3940" xr:uid="{00000000-0005-0000-0000-0000D3160000}"/>
    <cellStyle name="Normal 4 8 4 2 2" xfId="8162" xr:uid="{00000000-0005-0000-0000-0000D4160000}"/>
    <cellStyle name="Normal 4 8 4 2 2 2" xfId="26787" xr:uid="{7357AE73-3C68-4AFD-B067-324CD4023B2A}"/>
    <cellStyle name="Normal 4 8 4 2 2 3" xfId="17488" xr:uid="{E11F8A05-0AAF-4C45-A24A-878A64B06B9F}"/>
    <cellStyle name="Normal 4 8 4 2 3" xfId="22570" xr:uid="{C4ACECEA-D053-4200-AB07-D36FB07CC87F}"/>
    <cellStyle name="Normal 4 8 4 2 4" xfId="13271" xr:uid="{A73623F9-A22E-4EF8-934D-1AF231D6CB7B}"/>
    <cellStyle name="Normal 4 8 4 3" xfId="6017" xr:uid="{00000000-0005-0000-0000-0000D5160000}"/>
    <cellStyle name="Normal 4 8 4 3 2" xfId="24642" xr:uid="{F5942519-C2F0-41DA-B8FB-42FAC4AEE89B}"/>
    <cellStyle name="Normal 4 8 4 3 3" xfId="15343" xr:uid="{7672EA33-7020-48E3-8FD3-8ABDBB0C2527}"/>
    <cellStyle name="Normal 4 8 4 4" xfId="20425" xr:uid="{328BBB85-C714-48BF-8C12-50D12CE8047C}"/>
    <cellStyle name="Normal 4 8 4 5" xfId="11126" xr:uid="{B9181FFC-C931-423A-8F31-1AD19122D821}"/>
    <cellStyle name="Normal 4 8 5" xfId="2124" xr:uid="{00000000-0005-0000-0000-0000D6160000}"/>
    <cellStyle name="Normal 4 8 5 2" xfId="4353" xr:uid="{00000000-0005-0000-0000-0000D7160000}"/>
    <cellStyle name="Normal 4 8 5 2 2" xfId="8575" xr:uid="{00000000-0005-0000-0000-0000D8160000}"/>
    <cellStyle name="Normal 4 8 5 2 2 2" xfId="27200" xr:uid="{675A9923-F493-4CEA-9916-942F3F36F353}"/>
    <cellStyle name="Normal 4 8 5 2 2 3" xfId="17901" xr:uid="{B14CEA01-CDA5-4548-82A0-1E6FD17D2CA4}"/>
    <cellStyle name="Normal 4 8 5 2 3" xfId="22983" xr:uid="{02E4DDF1-7EC8-4038-A646-A57410B7C2D9}"/>
    <cellStyle name="Normal 4 8 5 2 4" xfId="13684" xr:uid="{BAC25D18-6EDF-465C-BB23-854690396838}"/>
    <cellStyle name="Normal 4 8 5 3" xfId="6430" xr:uid="{00000000-0005-0000-0000-0000D9160000}"/>
    <cellStyle name="Normal 4 8 5 3 2" xfId="25055" xr:uid="{1F2A83D4-B589-43A4-9DF9-99DA956F7038}"/>
    <cellStyle name="Normal 4 8 5 3 3" xfId="15756" xr:uid="{65E1D29A-13B7-456F-A9AB-381906D32EF6}"/>
    <cellStyle name="Normal 4 8 5 4" xfId="20838" xr:uid="{8ECF57A8-E4FB-4F3E-ACCE-BD773208FA22}"/>
    <cellStyle name="Normal 4 8 5 5" xfId="11539" xr:uid="{D002A013-0BE5-4E04-ABD0-7C6D728C1549}"/>
    <cellStyle name="Normal 4 8 6" xfId="2560" xr:uid="{00000000-0005-0000-0000-0000DA160000}"/>
    <cellStyle name="Normal 4 8 6 2" xfId="6843" xr:uid="{00000000-0005-0000-0000-0000DB160000}"/>
    <cellStyle name="Normal 4 8 6 2 2" xfId="25468" xr:uid="{B572CC7A-6B46-4303-AD41-2906C2D4D6B6}"/>
    <cellStyle name="Normal 4 8 6 2 3" xfId="16169" xr:uid="{F0D53537-6E89-415B-A06D-8C7BEC7026F9}"/>
    <cellStyle name="Normal 4 8 6 3" xfId="21251" xr:uid="{F670B2E7-0C3F-41F2-9CBC-8D6F17424B77}"/>
    <cellStyle name="Normal 4 8 6 4" xfId="11952" xr:uid="{6641FDA0-9857-494E-8967-6812AF64C204}"/>
    <cellStyle name="Normal 4 8 7" xfId="4778" xr:uid="{00000000-0005-0000-0000-0000DC160000}"/>
    <cellStyle name="Normal 4 8 7 2" xfId="23403" xr:uid="{01107147-38F7-4C3F-ABAA-675E6E466518}"/>
    <cellStyle name="Normal 4 8 7 3" xfId="14104" xr:uid="{7EB71608-3F40-40CC-A9D7-ED5A37116786}"/>
    <cellStyle name="Normal 4 8 8" xfId="8959" xr:uid="{E3216EF3-66EB-48FF-967C-A258B3C3F4FF}"/>
    <cellStyle name="Normal 4 8 8 2" xfId="27582" xr:uid="{004ADC08-C788-4717-91C1-6F09A0517500}"/>
    <cellStyle name="Normal 4 8 8 3" xfId="18283" xr:uid="{72A7C537-E649-439B-9EEA-843DDD190202}"/>
    <cellStyle name="Normal 4 8 9" xfId="19186" xr:uid="{EA07BD3E-C735-4A21-B7FD-966615A036A6}"/>
    <cellStyle name="Normal 4 9" xfId="4715" xr:uid="{00000000-0005-0000-0000-0000DD160000}"/>
    <cellStyle name="Normal 4 9 2" xfId="9162" xr:uid="{BC355FAB-4557-4712-A03F-EB5522B29E6A}"/>
    <cellStyle name="Normal 4 9 2 2" xfId="27779" xr:uid="{5CA8A2F1-36AB-4E60-B206-2F6ED8D8AEB8}"/>
    <cellStyle name="Normal 4 9 2 3" xfId="18480" xr:uid="{4B723797-6690-4038-B104-150B3BCC2691}"/>
    <cellStyle name="Normal 4 9 3" xfId="23340" xr:uid="{CD611E2E-ADFF-4CF2-BFA2-F97861925F70}"/>
    <cellStyle name="Normal 4 9 4" xfId="14041" xr:uid="{59E898D1-20C6-4010-ABA7-B7C49D989F3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2 2 2" xfId="26788" xr:uid="{DE510564-1325-41D4-9AB8-585B7892522C}"/>
    <cellStyle name="Normal 5 10 2 2 3" xfId="17489" xr:uid="{F740BA95-F148-47D0-BCBD-4B3005E6F69D}"/>
    <cellStyle name="Normal 5 10 2 3" xfId="22571" xr:uid="{FA490129-BBB7-4FDE-8A90-BBACF4AB99D8}"/>
    <cellStyle name="Normal 5 10 2 4" xfId="13272" xr:uid="{778AAD47-303F-4F8D-8312-15C1D97EC447}"/>
    <cellStyle name="Normal 5 10 3" xfId="6018" xr:uid="{00000000-0005-0000-0000-0000E2160000}"/>
    <cellStyle name="Normal 5 10 3 2" xfId="24643" xr:uid="{89B17CAA-C2BC-4A94-8D0A-0EA27925BC82}"/>
    <cellStyle name="Normal 5 10 3 3" xfId="15344" xr:uid="{C153796D-0448-4577-8977-FD5991955447}"/>
    <cellStyle name="Normal 5 10 4" xfId="20426" xr:uid="{8616F07A-EDF1-4D8D-8BA4-C3A7F6C76602}"/>
    <cellStyle name="Normal 5 10 5" xfId="11127" xr:uid="{D332EE99-5989-45F1-AC52-1FA9368AEB9A}"/>
    <cellStyle name="Normal 5 11" xfId="2125" xr:uid="{00000000-0005-0000-0000-0000E3160000}"/>
    <cellStyle name="Normal 5 11 2" xfId="4354" xr:uid="{00000000-0005-0000-0000-0000E4160000}"/>
    <cellStyle name="Normal 5 11 2 2" xfId="8576" xr:uid="{00000000-0005-0000-0000-0000E5160000}"/>
    <cellStyle name="Normal 5 11 2 2 2" xfId="27201" xr:uid="{AA9424A8-9158-4F02-91AB-BA7567E30639}"/>
    <cellStyle name="Normal 5 11 2 2 3" xfId="17902" xr:uid="{37909876-481C-404E-B005-DDAC8B6F7D69}"/>
    <cellStyle name="Normal 5 11 2 3" xfId="22984" xr:uid="{DE30F8F0-493E-460D-8E22-20695EAA144B}"/>
    <cellStyle name="Normal 5 11 2 4" xfId="13685" xr:uid="{DB74FE0A-677F-4320-AF22-BA6BAA239B5D}"/>
    <cellStyle name="Normal 5 11 3" xfId="6431" xr:uid="{00000000-0005-0000-0000-0000E6160000}"/>
    <cellStyle name="Normal 5 11 3 2" xfId="25056" xr:uid="{59344D0C-7E97-4E2B-A6D9-066F24F8F074}"/>
    <cellStyle name="Normal 5 11 3 3" xfId="15757" xr:uid="{63555639-0475-467E-BD75-34B4650CB960}"/>
    <cellStyle name="Normal 5 11 4" xfId="20839" xr:uid="{2B4128A9-9A47-45F5-B2D6-04FBB12BF260}"/>
    <cellStyle name="Normal 5 11 5" xfId="11540" xr:uid="{29ECC0A8-D820-4861-B081-76926FF2FC90}"/>
    <cellStyle name="Normal 5 12" xfId="2561" xr:uid="{00000000-0005-0000-0000-0000E7160000}"/>
    <cellStyle name="Normal 5 12 2" xfId="6844" xr:uid="{00000000-0005-0000-0000-0000E8160000}"/>
    <cellStyle name="Normal 5 12 2 2" xfId="25469" xr:uid="{6D2630CF-5CF5-4069-8FDB-02BB30A43C87}"/>
    <cellStyle name="Normal 5 12 2 3" xfId="16170" xr:uid="{84AF0CFF-55F0-4073-A850-06D3C64AEF1B}"/>
    <cellStyle name="Normal 5 12 3" xfId="21252" xr:uid="{568620CF-360D-4ADF-850A-647C2AFFAF6D}"/>
    <cellStyle name="Normal 5 12 4" xfId="11953" xr:uid="{BF8CCB33-BE33-4611-AFD5-885EB685ABC4}"/>
    <cellStyle name="Normal 5 13" xfId="4779" xr:uid="{00000000-0005-0000-0000-0000E9160000}"/>
    <cellStyle name="Normal 5 13 2" xfId="23404" xr:uid="{20DFD45F-0793-432E-93A5-64C404011865}"/>
    <cellStyle name="Normal 5 13 3" xfId="14105" xr:uid="{DE013C66-7EFB-4D04-BAF4-DD01E527F868}"/>
    <cellStyle name="Normal 5 14" xfId="8741" xr:uid="{6467398C-BC57-47BF-AF01-9B3356F8431F}"/>
    <cellStyle name="Normal 5 14 2" xfId="27364" xr:uid="{1A722D44-8EC9-406A-9183-409463FAEAC6}"/>
    <cellStyle name="Normal 5 14 3" xfId="18065" xr:uid="{B65D1845-6295-4727-960F-6A092DC5B0DE}"/>
    <cellStyle name="Normal 5 15" xfId="19187" xr:uid="{C77F2B1A-2466-48D7-8E89-D4E7CD76306C}"/>
    <cellStyle name="Normal 5 16" xfId="9888" xr:uid="{D478926E-C910-40F5-B585-B5440DF53AF5}"/>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2 2 2" xfId="27202" xr:uid="{ACE295FB-E3F2-4A18-A27C-5B75206E9A8A}"/>
    <cellStyle name="Normal 5 2 10 2 2 3" xfId="17903" xr:uid="{6BE28938-558F-4DCC-A844-A67789B03F98}"/>
    <cellStyle name="Normal 5 2 10 2 3" xfId="22985" xr:uid="{3EDB8373-BFEB-4695-9AA4-ED930760EAD5}"/>
    <cellStyle name="Normal 5 2 10 2 4" xfId="13686" xr:uid="{3C5D06C9-E567-4E3F-8C18-9F0E28AF998B}"/>
    <cellStyle name="Normal 5 2 10 3" xfId="6432" xr:uid="{00000000-0005-0000-0000-0000EE160000}"/>
    <cellStyle name="Normal 5 2 10 3 2" xfId="25057" xr:uid="{896773C1-979F-42FE-80E7-E9D800CDDEC7}"/>
    <cellStyle name="Normal 5 2 10 3 3" xfId="15758" xr:uid="{F39A5D1D-132D-40D2-9AEB-E09C06398859}"/>
    <cellStyle name="Normal 5 2 10 4" xfId="20840" xr:uid="{F68D0B0B-2CFC-47B9-B054-4B6800170B92}"/>
    <cellStyle name="Normal 5 2 10 5" xfId="11541" xr:uid="{06D106D7-074A-4001-B907-067B2C04EC87}"/>
    <cellStyle name="Normal 5 2 11" xfId="2562" xr:uid="{00000000-0005-0000-0000-0000EF160000}"/>
    <cellStyle name="Normal 5 2 11 2" xfId="6845" xr:uid="{00000000-0005-0000-0000-0000F0160000}"/>
    <cellStyle name="Normal 5 2 11 2 2" xfId="25470" xr:uid="{FA7F7043-E5A3-4D37-8CD5-AA772CEFA53B}"/>
    <cellStyle name="Normal 5 2 11 2 3" xfId="16171" xr:uid="{CB554993-2BCF-40E7-819A-947EF24EBF98}"/>
    <cellStyle name="Normal 5 2 11 3" xfId="21253" xr:uid="{7F3911AC-EF0D-4576-BF53-6613895F4908}"/>
    <cellStyle name="Normal 5 2 11 4" xfId="11954" xr:uid="{6F45B839-FE75-4298-9770-2E5F4148C649}"/>
    <cellStyle name="Normal 5 2 12" xfId="4780" xr:uid="{00000000-0005-0000-0000-0000F1160000}"/>
    <cellStyle name="Normal 5 2 12 2" xfId="23405" xr:uid="{B39FE542-979A-4727-89B1-14A0DD3079B7}"/>
    <cellStyle name="Normal 5 2 12 3" xfId="14106" xr:uid="{F6E769BE-A06D-4648-9E1A-FCE8EF212251}"/>
    <cellStyle name="Normal 5 2 13" xfId="8744" xr:uid="{40D5DF2B-E9DF-4D52-AAE0-3E5A94050B59}"/>
    <cellStyle name="Normal 5 2 13 2" xfId="27367" xr:uid="{87572D94-261C-44BC-B5D9-1163D8B1A8AA}"/>
    <cellStyle name="Normal 5 2 13 3" xfId="18068" xr:uid="{6161E25A-4932-4EB6-BB56-F4E3A6C91E1F}"/>
    <cellStyle name="Normal 5 2 14" xfId="19188" xr:uid="{83EB185B-AAF2-46A2-B02A-D8D7E185B164}"/>
    <cellStyle name="Normal 5 2 15" xfId="9889" xr:uid="{67A9FF5C-B8CE-4FFA-9D1C-FA7EEF49979F}"/>
    <cellStyle name="Normal 5 2 2" xfId="408" xr:uid="{00000000-0005-0000-0000-0000F2160000}"/>
    <cellStyle name="Normal 5 2 2 10" xfId="2563" xr:uid="{00000000-0005-0000-0000-0000F3160000}"/>
    <cellStyle name="Normal 5 2 2 10 2" xfId="6846" xr:uid="{00000000-0005-0000-0000-0000F4160000}"/>
    <cellStyle name="Normal 5 2 2 10 2 2" xfId="25471" xr:uid="{C839D5F2-EC53-4CEE-809A-1CA23F866A83}"/>
    <cellStyle name="Normal 5 2 2 10 2 3" xfId="16172" xr:uid="{4BBB58C8-1973-4295-BAE2-31F5BC320558}"/>
    <cellStyle name="Normal 5 2 2 10 3" xfId="21254" xr:uid="{C9CA3A98-AD87-4A19-94B7-FDA29637699C}"/>
    <cellStyle name="Normal 5 2 2 10 4" xfId="11955" xr:uid="{216B6E8F-9323-45AA-A542-A606A2B3B7F4}"/>
    <cellStyle name="Normal 5 2 2 11" xfId="4781" xr:uid="{00000000-0005-0000-0000-0000F5160000}"/>
    <cellStyle name="Normal 5 2 2 11 2" xfId="23406" xr:uid="{E3CB7A0D-59E7-472F-BF60-D903915E44B1}"/>
    <cellStyle name="Normal 5 2 2 11 3" xfId="14107" xr:uid="{8790F242-2845-4B76-A548-07E03453E21F}"/>
    <cellStyle name="Normal 5 2 2 12" xfId="8753" xr:uid="{96D04E2F-D92F-448D-9FDA-8261D8BEE094}"/>
    <cellStyle name="Normal 5 2 2 12 2" xfId="27376" xr:uid="{AD4069F8-8842-4376-92CF-B4252B77EDD8}"/>
    <cellStyle name="Normal 5 2 2 12 3" xfId="18077" xr:uid="{C983C6A7-43C7-4553-9D71-0C92F0D91C73}"/>
    <cellStyle name="Normal 5 2 2 13" xfId="19189" xr:uid="{B1ECA483-0342-4E97-9C78-069C4FC160B4}"/>
    <cellStyle name="Normal 5 2 2 14" xfId="9890" xr:uid="{D4144314-D37E-4D4A-9174-9BED0D21A35C}"/>
    <cellStyle name="Normal 5 2 2 2" xfId="409" xr:uid="{00000000-0005-0000-0000-0000F6160000}"/>
    <cellStyle name="Normal 5 2 2 2 10" xfId="4782" xr:uid="{00000000-0005-0000-0000-0000F7160000}"/>
    <cellStyle name="Normal 5 2 2 2 10 2" xfId="23407" xr:uid="{95706D39-2E7B-4CB0-9105-569AA81B1AC1}"/>
    <cellStyle name="Normal 5 2 2 2 10 3" xfId="14108" xr:uid="{560E568C-07B5-41F7-B5E6-ECC5853AC850}"/>
    <cellStyle name="Normal 5 2 2 2 11" xfId="8771" xr:uid="{0E58ED1C-12F1-4692-801F-170CA6F7CBDB}"/>
    <cellStyle name="Normal 5 2 2 2 11 2" xfId="27394" xr:uid="{9A766424-91A1-49DA-9CDE-2C20EDE18144}"/>
    <cellStyle name="Normal 5 2 2 2 11 3" xfId="18095" xr:uid="{551CCB82-E934-4607-B145-CB2B54CC95E1}"/>
    <cellStyle name="Normal 5 2 2 2 12" xfId="19190" xr:uid="{476A1479-218E-4F50-9D18-9438E805A62B}"/>
    <cellStyle name="Normal 5 2 2 2 13" xfId="9891" xr:uid="{CFDA3315-DF34-4F3F-8EC6-C69B6D6D5C26}"/>
    <cellStyle name="Normal 5 2 2 2 2" xfId="410" xr:uid="{00000000-0005-0000-0000-0000F8160000}"/>
    <cellStyle name="Normal 5 2 2 2 2 10" xfId="8829" xr:uid="{AC161972-21E9-4E03-8D2E-9F95632CB08D}"/>
    <cellStyle name="Normal 5 2 2 2 2 10 2" xfId="27452" xr:uid="{B832D543-C004-475A-8EEE-0EA3DF9C925C}"/>
    <cellStyle name="Normal 5 2 2 2 2 10 3" xfId="18153" xr:uid="{2C997545-3FC0-4B56-B500-C968FD85B53F}"/>
    <cellStyle name="Normal 5 2 2 2 2 11" xfId="19191" xr:uid="{1DDE8785-1374-4A7D-9367-A58B5BB9F8F1}"/>
    <cellStyle name="Normal 5 2 2 2 2 12" xfId="9892" xr:uid="{5480E573-311C-44D5-845E-0FC7D8ECD08E}"/>
    <cellStyle name="Normal 5 2 2 2 2 2" xfId="411" xr:uid="{00000000-0005-0000-0000-0000F9160000}"/>
    <cellStyle name="Normal 5 2 2 2 2 2 10" xfId="19192" xr:uid="{FA857E25-8797-4054-87E9-24E544F2E0B1}"/>
    <cellStyle name="Normal 5 2 2 2 2 2 11" xfId="9893" xr:uid="{9089431D-ACA6-4C13-AB57-9651ED19908E}"/>
    <cellStyle name="Normal 5 2 2 2 2 2 2" xfId="412" xr:uid="{00000000-0005-0000-0000-0000FA160000}"/>
    <cellStyle name="Normal 5 2 2 2 2 2 2 10" xfId="9894" xr:uid="{1A470EFF-F2B8-4932-94F4-8A75577DE76B}"/>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2 2 2" xfId="25968" xr:uid="{2255F3EF-02B5-46CD-BD1C-05BBD249F3C0}"/>
    <cellStyle name="Normal 5 2 2 2 2 2 2 2 2 2 3" xfId="16669" xr:uid="{9C243940-8490-41A6-8112-A94435FC41BD}"/>
    <cellStyle name="Normal 5 2 2 2 2 2 2 2 2 3" xfId="21751" xr:uid="{91DD701A-4CF0-4238-A853-31AA08C75F61}"/>
    <cellStyle name="Normal 5 2 2 2 2 2 2 2 2 4" xfId="12452" xr:uid="{E1EB9BDD-1BC1-43F5-8B35-2996B7ECF7E6}"/>
    <cellStyle name="Normal 5 2 2 2 2 2 2 2 3" xfId="5198" xr:uid="{00000000-0005-0000-0000-0000FE160000}"/>
    <cellStyle name="Normal 5 2 2 2 2 2 2 2 3 2" xfId="23823" xr:uid="{700163CE-8382-48AE-B946-298C5D3B8D8A}"/>
    <cellStyle name="Normal 5 2 2 2 2 2 2 2 3 3" xfId="14524" xr:uid="{C790A683-A908-4FA8-8C2F-B2A38834EB50}"/>
    <cellStyle name="Normal 5 2 2 2 2 2 2 2 4" xfId="9564" xr:uid="{15884BE4-44C0-46E7-A184-FC102AAADEB4}"/>
    <cellStyle name="Normal 5 2 2 2 2 2 2 2 4 2" xfId="28178" xr:uid="{C61D728F-C7AE-4028-91CD-EF179CDB96DE}"/>
    <cellStyle name="Normal 5 2 2 2 2 2 2 2 4 3" xfId="18879" xr:uid="{87FC60EF-FE40-4D9E-B450-651E21C62066}"/>
    <cellStyle name="Normal 5 2 2 2 2 2 2 2 5" xfId="19606" xr:uid="{B9D672EE-C894-48D1-9695-2E775CC6CFA4}"/>
    <cellStyle name="Normal 5 2 2 2 2 2 2 2 6" xfId="10307" xr:uid="{070366D9-98C8-4E34-8C8C-79BACFEB0840}"/>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2 2 2" xfId="26381" xr:uid="{41AE187A-0AA5-41A4-BC06-021FFED1724D}"/>
    <cellStyle name="Normal 5 2 2 2 2 2 2 3 2 2 3" xfId="17082" xr:uid="{48D047A8-EDBE-48A8-9FD6-C25F73069C60}"/>
    <cellStyle name="Normal 5 2 2 2 2 2 2 3 2 3" xfId="22164" xr:uid="{CC83DB4E-2148-4B0B-9D04-A0E1F9DB905B}"/>
    <cellStyle name="Normal 5 2 2 2 2 2 2 3 2 4" xfId="12865" xr:uid="{C723405C-5CE5-454A-AFE1-6C6A8054FBFC}"/>
    <cellStyle name="Normal 5 2 2 2 2 2 2 3 3" xfId="5611" xr:uid="{00000000-0005-0000-0000-000002170000}"/>
    <cellStyle name="Normal 5 2 2 2 2 2 2 3 3 2" xfId="24236" xr:uid="{2A2C971E-8326-4626-88F8-BFC756B42A84}"/>
    <cellStyle name="Normal 5 2 2 2 2 2 2 3 3 3" xfId="14937" xr:uid="{D3338C0C-B51A-4D18-A2EC-E44FAC22D0AA}"/>
    <cellStyle name="Normal 5 2 2 2 2 2 2 3 4" xfId="20019" xr:uid="{7568427A-6E6A-4D3E-88CE-32079CE3D82F}"/>
    <cellStyle name="Normal 5 2 2 2 2 2 2 3 5" xfId="10720" xr:uid="{456FD186-9F43-44D7-8A11-32015679EF58}"/>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2 2 2" xfId="26794" xr:uid="{DDEBA4D4-7BDF-4EF5-A8CC-2CEC95891A57}"/>
    <cellStyle name="Normal 5 2 2 2 2 2 2 4 2 2 3" xfId="17495" xr:uid="{CC28FE07-0888-4189-BC84-D7232F74CA24}"/>
    <cellStyle name="Normal 5 2 2 2 2 2 2 4 2 3" xfId="22577" xr:uid="{A3A44A22-56B1-4006-A20F-80016A70ECAE}"/>
    <cellStyle name="Normal 5 2 2 2 2 2 2 4 2 4" xfId="13278" xr:uid="{8C40FC5B-73C1-4057-A338-B67F35B76E63}"/>
    <cellStyle name="Normal 5 2 2 2 2 2 2 4 3" xfId="6024" xr:uid="{00000000-0005-0000-0000-000006170000}"/>
    <cellStyle name="Normal 5 2 2 2 2 2 2 4 3 2" xfId="24649" xr:uid="{648E0C8D-12B5-49C4-BB91-58C13D5AC0FD}"/>
    <cellStyle name="Normal 5 2 2 2 2 2 2 4 3 3" xfId="15350" xr:uid="{B57BE80C-8DA6-417E-B83D-8C0FC24536F2}"/>
    <cellStyle name="Normal 5 2 2 2 2 2 2 4 4" xfId="20432" xr:uid="{2CBB3462-026B-4D71-975E-A37ED86DC102}"/>
    <cellStyle name="Normal 5 2 2 2 2 2 2 4 5" xfId="11133" xr:uid="{9ED52033-8D44-44F4-A13B-B397876A7598}"/>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2 2 2" xfId="27207" xr:uid="{4A150741-07B6-41AE-9290-D17702C95F58}"/>
    <cellStyle name="Normal 5 2 2 2 2 2 2 5 2 2 3" xfId="17908" xr:uid="{BDBCB959-F51E-4655-94BF-4EBEC701C367}"/>
    <cellStyle name="Normal 5 2 2 2 2 2 2 5 2 3" xfId="22990" xr:uid="{02BF98CF-8EFD-4AA7-AD44-9EE9A1505AA8}"/>
    <cellStyle name="Normal 5 2 2 2 2 2 2 5 2 4" xfId="13691" xr:uid="{E67CDB70-6E04-421B-BCB1-92716741A627}"/>
    <cellStyle name="Normal 5 2 2 2 2 2 2 5 3" xfId="6437" xr:uid="{00000000-0005-0000-0000-00000A170000}"/>
    <cellStyle name="Normal 5 2 2 2 2 2 2 5 3 2" xfId="25062" xr:uid="{10417A3E-6116-4BB9-A8C0-9068BDE9222F}"/>
    <cellStyle name="Normal 5 2 2 2 2 2 2 5 3 3" xfId="15763" xr:uid="{4EE83AEE-525F-456A-A5FF-90225E39FF33}"/>
    <cellStyle name="Normal 5 2 2 2 2 2 2 5 4" xfId="20845" xr:uid="{3F38BFC9-F902-4DA3-8B21-581C7D4B3DB1}"/>
    <cellStyle name="Normal 5 2 2 2 2 2 2 5 5" xfId="11546" xr:uid="{8745506B-ADF3-42B5-8763-130A408C2386}"/>
    <cellStyle name="Normal 5 2 2 2 2 2 2 6" xfId="2567" xr:uid="{00000000-0005-0000-0000-00000B170000}"/>
    <cellStyle name="Normal 5 2 2 2 2 2 2 6 2" xfId="6850" xr:uid="{00000000-0005-0000-0000-00000C170000}"/>
    <cellStyle name="Normal 5 2 2 2 2 2 2 6 2 2" xfId="25475" xr:uid="{5AEE4C8B-A4B3-467D-A054-3A397301D1CA}"/>
    <cellStyle name="Normal 5 2 2 2 2 2 2 6 2 3" xfId="16176" xr:uid="{627433DA-9671-41BF-BBC2-8C54C7213C95}"/>
    <cellStyle name="Normal 5 2 2 2 2 2 2 6 3" xfId="21258" xr:uid="{ED4CB9AE-1294-4B31-B761-E0E886EC7EFA}"/>
    <cellStyle name="Normal 5 2 2 2 2 2 2 6 4" xfId="11959" xr:uid="{EDD5242B-0222-488E-8EA7-C1CB5F2B5F1F}"/>
    <cellStyle name="Normal 5 2 2 2 2 2 2 7" xfId="4785" xr:uid="{00000000-0005-0000-0000-00000D170000}"/>
    <cellStyle name="Normal 5 2 2 2 2 2 2 7 2" xfId="23410" xr:uid="{91DB85B0-4D3D-4727-8B80-886292048294}"/>
    <cellStyle name="Normal 5 2 2 2 2 2 2 7 3" xfId="14111" xr:uid="{0DEF8BE1-6D12-46CC-8721-8ACF60A4D896}"/>
    <cellStyle name="Normal 5 2 2 2 2 2 2 8" xfId="9139" xr:uid="{CFCC7179-F81D-4929-81F2-C6E64655A093}"/>
    <cellStyle name="Normal 5 2 2 2 2 2 2 8 2" xfId="27762" xr:uid="{AF687AE9-CFBA-4138-87B4-872F81CB4BCF}"/>
    <cellStyle name="Normal 5 2 2 2 2 2 2 8 3" xfId="18463" xr:uid="{57BD4B35-CD26-4581-AAA2-7A2AD714E8EA}"/>
    <cellStyle name="Normal 5 2 2 2 2 2 2 9" xfId="19193" xr:uid="{746B182D-68CC-473E-AD04-6DAD3E4FF29D}"/>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2 2 2" xfId="25967" xr:uid="{368C27EC-4A0A-4EC4-8DE3-75F6E2624D3A}"/>
    <cellStyle name="Normal 5 2 2 2 2 2 3 2 2 3" xfId="16668" xr:uid="{E98A6AD2-E094-43AE-8464-E5C8FAC67F94}"/>
    <cellStyle name="Normal 5 2 2 2 2 2 3 2 3" xfId="21750" xr:uid="{5BE42B54-DB50-45AB-AE23-C107800B6241}"/>
    <cellStyle name="Normal 5 2 2 2 2 2 3 2 4" xfId="12451" xr:uid="{B415DFB4-C6AE-4F71-8510-0CCA1BC905AA}"/>
    <cellStyle name="Normal 5 2 2 2 2 2 3 3" xfId="5197" xr:uid="{00000000-0005-0000-0000-000011170000}"/>
    <cellStyle name="Normal 5 2 2 2 2 2 3 3 2" xfId="23822" xr:uid="{79F15094-6784-47C4-95F2-54474976F88E}"/>
    <cellStyle name="Normal 5 2 2 2 2 2 3 3 3" xfId="14523" xr:uid="{5E174C6A-7D9C-4626-B7A4-7C9B06202CD9}"/>
    <cellStyle name="Normal 5 2 2 2 2 2 3 4" xfId="9357" xr:uid="{1809EB60-9E69-4954-99A5-643CD830C5FB}"/>
    <cellStyle name="Normal 5 2 2 2 2 2 3 4 2" xfId="27971" xr:uid="{34B2D103-D1D6-44AA-AB25-B531E4B2428B}"/>
    <cellStyle name="Normal 5 2 2 2 2 2 3 4 3" xfId="18672" xr:uid="{CBC78FF3-B8D9-4F5E-B34C-BD0177A6FB8F}"/>
    <cellStyle name="Normal 5 2 2 2 2 2 3 5" xfId="19605" xr:uid="{6DCB1C6E-902F-4A5B-9C64-6971B7098D94}"/>
    <cellStyle name="Normal 5 2 2 2 2 2 3 6" xfId="10306" xr:uid="{681DB677-60C8-449B-9C2D-AAC72EECB694}"/>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2 2 2" xfId="26380" xr:uid="{5AF879CA-C402-4E32-BDE4-95B303275C9B}"/>
    <cellStyle name="Normal 5 2 2 2 2 2 4 2 2 3" xfId="17081" xr:uid="{AD7EC230-29A2-4CFE-BE54-2A11C7E471A6}"/>
    <cellStyle name="Normal 5 2 2 2 2 2 4 2 3" xfId="22163" xr:uid="{3F99FE50-92B5-4C7D-8DC2-003703FB7979}"/>
    <cellStyle name="Normal 5 2 2 2 2 2 4 2 4" xfId="12864" xr:uid="{AFCB84B2-EA98-419E-AF29-DDB3F62D6D2F}"/>
    <cellStyle name="Normal 5 2 2 2 2 2 4 3" xfId="5610" xr:uid="{00000000-0005-0000-0000-000015170000}"/>
    <cellStyle name="Normal 5 2 2 2 2 2 4 3 2" xfId="24235" xr:uid="{45505123-7533-4FDD-8C4E-EFB3F450BBA9}"/>
    <cellStyle name="Normal 5 2 2 2 2 2 4 3 3" xfId="14936" xr:uid="{351B6490-A6BA-46C6-BA38-46D10772B7F4}"/>
    <cellStyle name="Normal 5 2 2 2 2 2 4 4" xfId="20018" xr:uid="{7DACA0A3-3E3D-4096-BC9A-216254F7843C}"/>
    <cellStyle name="Normal 5 2 2 2 2 2 4 5" xfId="10719" xr:uid="{DF73282B-B5D5-42A0-A1B4-EFC6179D7FF2}"/>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2 2 2" xfId="26793" xr:uid="{EC19966F-6143-4980-86A7-88BD2554A790}"/>
    <cellStyle name="Normal 5 2 2 2 2 2 5 2 2 3" xfId="17494" xr:uid="{85441EEB-B743-4432-AEA6-1B4A510269A5}"/>
    <cellStyle name="Normal 5 2 2 2 2 2 5 2 3" xfId="22576" xr:uid="{DBF4F12C-4F2C-4A38-81F3-DE4FB4A4C79D}"/>
    <cellStyle name="Normal 5 2 2 2 2 2 5 2 4" xfId="13277" xr:uid="{836E2CD7-8F14-4C48-8929-2F0568717712}"/>
    <cellStyle name="Normal 5 2 2 2 2 2 5 3" xfId="6023" xr:uid="{00000000-0005-0000-0000-000019170000}"/>
    <cellStyle name="Normal 5 2 2 2 2 2 5 3 2" xfId="24648" xr:uid="{17BD0E64-5041-4C5E-9976-D5E10B80C592}"/>
    <cellStyle name="Normal 5 2 2 2 2 2 5 3 3" xfId="15349" xr:uid="{31A6092D-C5B4-4766-B085-BFEA47624078}"/>
    <cellStyle name="Normal 5 2 2 2 2 2 5 4" xfId="20431" xr:uid="{0908E4B5-DB4F-425C-A4B7-527964BDE43A}"/>
    <cellStyle name="Normal 5 2 2 2 2 2 5 5" xfId="11132" xr:uid="{38765AC2-1A4B-480D-A859-93C370CA5776}"/>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2 2 2" xfId="27206" xr:uid="{2DD58616-FCCE-400C-9286-435AC652AB3F}"/>
    <cellStyle name="Normal 5 2 2 2 2 2 6 2 2 3" xfId="17907" xr:uid="{CA36B8C8-8B00-43D9-914E-4E89C6F057B9}"/>
    <cellStyle name="Normal 5 2 2 2 2 2 6 2 3" xfId="22989" xr:uid="{9E095AF9-F04F-4229-968F-F6F398597B34}"/>
    <cellStyle name="Normal 5 2 2 2 2 2 6 2 4" xfId="13690" xr:uid="{04A3489A-ECC5-4735-A8F7-5A36D32B4816}"/>
    <cellStyle name="Normal 5 2 2 2 2 2 6 3" xfId="6436" xr:uid="{00000000-0005-0000-0000-00001D170000}"/>
    <cellStyle name="Normal 5 2 2 2 2 2 6 3 2" xfId="25061" xr:uid="{F516D717-65E8-47A9-A3AB-F5B51EF0F456}"/>
    <cellStyle name="Normal 5 2 2 2 2 2 6 3 3" xfId="15762" xr:uid="{18CE662A-6C7E-4F1E-A290-4D7ADE5DE85E}"/>
    <cellStyle name="Normal 5 2 2 2 2 2 6 4" xfId="20844" xr:uid="{BC9BAE28-AD3D-4CAB-84C9-1874CE84212B}"/>
    <cellStyle name="Normal 5 2 2 2 2 2 6 5" xfId="11545" xr:uid="{FD655800-85FD-4DED-AE29-C8040AFC7EC5}"/>
    <cellStyle name="Normal 5 2 2 2 2 2 7" xfId="2566" xr:uid="{00000000-0005-0000-0000-00001E170000}"/>
    <cellStyle name="Normal 5 2 2 2 2 2 7 2" xfId="6849" xr:uid="{00000000-0005-0000-0000-00001F170000}"/>
    <cellStyle name="Normal 5 2 2 2 2 2 7 2 2" xfId="25474" xr:uid="{D5B2A123-B989-4C65-A18D-9030EF062BD5}"/>
    <cellStyle name="Normal 5 2 2 2 2 2 7 2 3" xfId="16175" xr:uid="{763486A0-9A24-46E3-8538-F9C4ADB3BC80}"/>
    <cellStyle name="Normal 5 2 2 2 2 2 7 3" xfId="21257" xr:uid="{15A0C063-D032-4A30-878F-9B0C4E4D0FDF}"/>
    <cellStyle name="Normal 5 2 2 2 2 2 7 4" xfId="11958" xr:uid="{E06F03FD-57ED-4E69-BA23-DAA3B5F7E4C6}"/>
    <cellStyle name="Normal 5 2 2 2 2 2 8" xfId="4784" xr:uid="{00000000-0005-0000-0000-000020170000}"/>
    <cellStyle name="Normal 5 2 2 2 2 2 8 2" xfId="23409" xr:uid="{BE3D9A12-C83E-48FD-9986-BC9B211D0545}"/>
    <cellStyle name="Normal 5 2 2 2 2 2 8 3" xfId="14110" xr:uid="{D0604DF1-2A5B-48D7-B9F9-90A863677E24}"/>
    <cellStyle name="Normal 5 2 2 2 2 2 9" xfId="8932" xr:uid="{8A89D9DD-5FCE-4028-8D52-F4758EFA866E}"/>
    <cellStyle name="Normal 5 2 2 2 2 2 9 2" xfId="27555" xr:uid="{F2EB9CD8-5FC8-43F2-B667-7C656ACD640E}"/>
    <cellStyle name="Normal 5 2 2 2 2 2 9 3" xfId="18256" xr:uid="{2B96281F-7929-426B-B480-8CC933B56F5E}"/>
    <cellStyle name="Normal 5 2 2 2 2 3" xfId="413" xr:uid="{00000000-0005-0000-0000-000021170000}"/>
    <cellStyle name="Normal 5 2 2 2 2 3 10" xfId="9895" xr:uid="{41E5536C-CFEC-4391-A5F0-830657EB9FDE}"/>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2 2 2" xfId="25969" xr:uid="{81CE4923-B170-4285-B759-60CE8E880E79}"/>
    <cellStyle name="Normal 5 2 2 2 2 3 2 2 2 3" xfId="16670" xr:uid="{A536AAC5-AA33-4DFD-81C0-F2993160737D}"/>
    <cellStyle name="Normal 5 2 2 2 2 3 2 2 3" xfId="21752" xr:uid="{61269D87-0D29-4E58-968B-B79190386FF7}"/>
    <cellStyle name="Normal 5 2 2 2 2 3 2 2 4" xfId="12453" xr:uid="{22089A0A-255F-4E9F-8156-948B30DF6A29}"/>
    <cellStyle name="Normal 5 2 2 2 2 3 2 3" xfId="5199" xr:uid="{00000000-0005-0000-0000-000025170000}"/>
    <cellStyle name="Normal 5 2 2 2 2 3 2 3 2" xfId="23824" xr:uid="{5B603413-FFA5-4383-AA46-FC2D4A78836A}"/>
    <cellStyle name="Normal 5 2 2 2 2 3 2 3 3" xfId="14525" xr:uid="{ACDD78C3-B282-4659-A6E9-9440DFDB8396}"/>
    <cellStyle name="Normal 5 2 2 2 2 3 2 4" xfId="9461" xr:uid="{815E4D9A-ED64-4B6C-A17A-F6D83CC40A47}"/>
    <cellStyle name="Normal 5 2 2 2 2 3 2 4 2" xfId="28075" xr:uid="{0F0F32E5-17D3-4289-AA6D-69E5AAEFC9E7}"/>
    <cellStyle name="Normal 5 2 2 2 2 3 2 4 3" xfId="18776" xr:uid="{FB9BBB94-B90E-4600-ACBF-0061AB64EB05}"/>
    <cellStyle name="Normal 5 2 2 2 2 3 2 5" xfId="19607" xr:uid="{FF5D0E78-D0E4-4AA3-BCEE-C938243601CA}"/>
    <cellStyle name="Normal 5 2 2 2 2 3 2 6" xfId="10308" xr:uid="{2266B97B-F48D-4F69-B9FD-8CA4843241D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2 2 2" xfId="26382" xr:uid="{12AF48DB-6DF0-40CE-9285-DEA46B879C54}"/>
    <cellStyle name="Normal 5 2 2 2 2 3 3 2 2 3" xfId="17083" xr:uid="{9AD3EB93-0C6F-4C89-BBE3-59E1FCD03A3C}"/>
    <cellStyle name="Normal 5 2 2 2 2 3 3 2 3" xfId="22165" xr:uid="{15CBF198-3BE1-4DDE-8D0D-0180635DC810}"/>
    <cellStyle name="Normal 5 2 2 2 2 3 3 2 4" xfId="12866" xr:uid="{5190D166-0294-49F2-8085-39AF020C1400}"/>
    <cellStyle name="Normal 5 2 2 2 2 3 3 3" xfId="5612" xr:uid="{00000000-0005-0000-0000-000029170000}"/>
    <cellStyle name="Normal 5 2 2 2 2 3 3 3 2" xfId="24237" xr:uid="{F7CABDAB-E637-4826-BCF5-47F25F0CF900}"/>
    <cellStyle name="Normal 5 2 2 2 2 3 3 3 3" xfId="14938" xr:uid="{CD13B0C3-57F9-4ABA-965B-C11FE280149B}"/>
    <cellStyle name="Normal 5 2 2 2 2 3 3 4" xfId="20020" xr:uid="{0174EC23-EA60-4719-A0FD-DD16D352B9DA}"/>
    <cellStyle name="Normal 5 2 2 2 2 3 3 5" xfId="10721" xr:uid="{353D5A9B-9B26-4F0D-942C-BD2212F41518}"/>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2 2 2" xfId="26795" xr:uid="{1C2CC691-02DB-48AF-BE89-70CEC0B0585F}"/>
    <cellStyle name="Normal 5 2 2 2 2 3 4 2 2 3" xfId="17496" xr:uid="{AB2F5CE5-DC65-4819-B2A4-442890A778D3}"/>
    <cellStyle name="Normal 5 2 2 2 2 3 4 2 3" xfId="22578" xr:uid="{0CDF0666-E77F-46F1-9213-52603A171909}"/>
    <cellStyle name="Normal 5 2 2 2 2 3 4 2 4" xfId="13279" xr:uid="{89F0FFAB-958B-4AF6-8107-1D574A61DAD7}"/>
    <cellStyle name="Normal 5 2 2 2 2 3 4 3" xfId="6025" xr:uid="{00000000-0005-0000-0000-00002D170000}"/>
    <cellStyle name="Normal 5 2 2 2 2 3 4 3 2" xfId="24650" xr:uid="{494F7578-BCC2-4D03-B761-140322DB3EFB}"/>
    <cellStyle name="Normal 5 2 2 2 2 3 4 3 3" xfId="15351" xr:uid="{5E751C4B-5900-46BA-8B53-4D9726C91AA7}"/>
    <cellStyle name="Normal 5 2 2 2 2 3 4 4" xfId="20433" xr:uid="{DB0ABC00-2AD6-4F0C-9157-344593EDF458}"/>
    <cellStyle name="Normal 5 2 2 2 2 3 4 5" xfId="11134" xr:uid="{5EFC150E-3BD7-494D-8906-572CEA35BC12}"/>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2 2 2" xfId="27208" xr:uid="{A3F1891A-3C0F-4FB4-887C-8CB82D65C805}"/>
    <cellStyle name="Normal 5 2 2 2 2 3 5 2 2 3" xfId="17909" xr:uid="{8A65B177-AA33-4503-80C5-77D90897334E}"/>
    <cellStyle name="Normal 5 2 2 2 2 3 5 2 3" xfId="22991" xr:uid="{13AA850D-0EF7-4AAF-BFFE-71A8040B97DD}"/>
    <cellStyle name="Normal 5 2 2 2 2 3 5 2 4" xfId="13692" xr:uid="{BB148CB0-C60A-49EB-8705-E9D17E981067}"/>
    <cellStyle name="Normal 5 2 2 2 2 3 5 3" xfId="6438" xr:uid="{00000000-0005-0000-0000-000031170000}"/>
    <cellStyle name="Normal 5 2 2 2 2 3 5 3 2" xfId="25063" xr:uid="{48747455-CC19-480F-8DD8-651AE56CDF68}"/>
    <cellStyle name="Normal 5 2 2 2 2 3 5 3 3" xfId="15764" xr:uid="{6542FD35-A197-4BFD-8BA5-430C500A9286}"/>
    <cellStyle name="Normal 5 2 2 2 2 3 5 4" xfId="20846" xr:uid="{4347B249-AD0E-4E40-8CB6-CBF734462A1F}"/>
    <cellStyle name="Normal 5 2 2 2 2 3 5 5" xfId="11547" xr:uid="{65E9550C-8027-4258-AAEF-1FEB9FF896FF}"/>
    <cellStyle name="Normal 5 2 2 2 2 3 6" xfId="2568" xr:uid="{00000000-0005-0000-0000-000032170000}"/>
    <cellStyle name="Normal 5 2 2 2 2 3 6 2" xfId="6851" xr:uid="{00000000-0005-0000-0000-000033170000}"/>
    <cellStyle name="Normal 5 2 2 2 2 3 6 2 2" xfId="25476" xr:uid="{8022669C-DA48-4384-B593-7F312954681B}"/>
    <cellStyle name="Normal 5 2 2 2 2 3 6 2 3" xfId="16177" xr:uid="{ACE37D51-9383-421E-BB55-7775B5E2AB6E}"/>
    <cellStyle name="Normal 5 2 2 2 2 3 6 3" xfId="21259" xr:uid="{4225F072-5D91-4C85-BB8B-934023EAF6F2}"/>
    <cellStyle name="Normal 5 2 2 2 2 3 6 4" xfId="11960" xr:uid="{8EFD3EB6-3D31-4E8C-9A24-326DC2EB85E8}"/>
    <cellStyle name="Normal 5 2 2 2 2 3 7" xfId="4786" xr:uid="{00000000-0005-0000-0000-000034170000}"/>
    <cellStyle name="Normal 5 2 2 2 2 3 7 2" xfId="23411" xr:uid="{73780EB1-C209-43B4-9DDC-A3D263AEB65D}"/>
    <cellStyle name="Normal 5 2 2 2 2 3 7 3" xfId="14112" xr:uid="{3FD0F494-9F91-4437-9DFB-D4B33C3E2F74}"/>
    <cellStyle name="Normal 5 2 2 2 2 3 8" xfId="9036" xr:uid="{2B9BC3AC-900A-42EE-A23F-E5574B6E75BC}"/>
    <cellStyle name="Normal 5 2 2 2 2 3 8 2" xfId="27659" xr:uid="{FC45C487-A78C-4561-8285-73591B68A6D7}"/>
    <cellStyle name="Normal 5 2 2 2 2 3 8 3" xfId="18360" xr:uid="{B4B3AD7A-C2AF-4CCA-BEF7-6FF78941DAF2}"/>
    <cellStyle name="Normal 5 2 2 2 2 3 9" xfId="19194" xr:uid="{B8A346E0-5FED-4F62-93F5-BC5C1F29D03F}"/>
    <cellStyle name="Normal 5 2 2 2 2 4" xfId="884" xr:uid="{00000000-0005-0000-0000-000035170000}"/>
    <cellStyle name="Normal 5 2 2 2 2 4 2" xfId="3119" xr:uid="{00000000-0005-0000-0000-000036170000}"/>
    <cellStyle name="Normal 5 2 2 2 2 4 2 2" xfId="7341" xr:uid="{00000000-0005-0000-0000-000037170000}"/>
    <cellStyle name="Normal 5 2 2 2 2 4 2 2 2" xfId="25966" xr:uid="{9B69C690-4C18-4437-982B-FC8ECD02AD6D}"/>
    <cellStyle name="Normal 5 2 2 2 2 4 2 2 3" xfId="16667" xr:uid="{DFA9EB1B-B53C-4FB1-AEA1-ABD4667B2AD0}"/>
    <cellStyle name="Normal 5 2 2 2 2 4 2 3" xfId="21749" xr:uid="{183B6839-A82E-4065-98AF-5A9AD98322D5}"/>
    <cellStyle name="Normal 5 2 2 2 2 4 2 4" xfId="12450" xr:uid="{2E1D34A0-7F72-4AF8-85A1-7C57A3477462}"/>
    <cellStyle name="Normal 5 2 2 2 2 4 3" xfId="5196" xr:uid="{00000000-0005-0000-0000-000038170000}"/>
    <cellStyle name="Normal 5 2 2 2 2 4 3 2" xfId="23821" xr:uid="{7BB894C3-CADA-41A2-8000-29C8713A65BA}"/>
    <cellStyle name="Normal 5 2 2 2 2 4 3 3" xfId="14522" xr:uid="{7DA94751-C6DD-4177-A55C-8FCC58DEE988}"/>
    <cellStyle name="Normal 5 2 2 2 2 4 4" xfId="9254" xr:uid="{B0B4DA0D-4C0F-4712-8BF0-280C2A85D575}"/>
    <cellStyle name="Normal 5 2 2 2 2 4 4 2" xfId="27868" xr:uid="{DDADDB3E-CB3F-4857-84E7-50FC6CEE9701}"/>
    <cellStyle name="Normal 5 2 2 2 2 4 4 3" xfId="18569" xr:uid="{E95BC7CE-5CE5-4B21-9E70-143FFF9E924E}"/>
    <cellStyle name="Normal 5 2 2 2 2 4 5" xfId="19604" xr:uid="{0EEC9A1F-D133-4828-AC07-BC804D7D99F0}"/>
    <cellStyle name="Normal 5 2 2 2 2 4 6" xfId="10305" xr:uid="{89A5CC8C-458D-41D1-9537-FE76E30A687B}"/>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2 2 2" xfId="26379" xr:uid="{2F019D17-A548-46A7-B2AA-7F073B8C2083}"/>
    <cellStyle name="Normal 5 2 2 2 2 5 2 2 3" xfId="17080" xr:uid="{9A654B1C-0915-44D2-829C-1EABBA6B5861}"/>
    <cellStyle name="Normal 5 2 2 2 2 5 2 3" xfId="22162" xr:uid="{5D68C744-CB8A-421C-B24C-38993134BC6A}"/>
    <cellStyle name="Normal 5 2 2 2 2 5 2 4" xfId="12863" xr:uid="{09D80FB1-EF62-4916-B92C-0936257621C7}"/>
    <cellStyle name="Normal 5 2 2 2 2 5 3" xfId="5609" xr:uid="{00000000-0005-0000-0000-00003C170000}"/>
    <cellStyle name="Normal 5 2 2 2 2 5 3 2" xfId="24234" xr:uid="{D7E4F25F-24BE-4CC0-A85B-51966F259478}"/>
    <cellStyle name="Normal 5 2 2 2 2 5 3 3" xfId="14935" xr:uid="{B671307A-C0CE-4B32-A5D7-04B03F798542}"/>
    <cellStyle name="Normal 5 2 2 2 2 5 4" xfId="20017" xr:uid="{292A4BB2-B7A7-4D45-B4FD-BE4D4C3CD2D4}"/>
    <cellStyle name="Normal 5 2 2 2 2 5 5" xfId="10718" xr:uid="{91292B2E-78E9-4D1E-BD18-F62668CA42A2}"/>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2 2 2" xfId="26792" xr:uid="{0419C400-6D5D-4C77-B822-94C61604DC1A}"/>
    <cellStyle name="Normal 5 2 2 2 2 6 2 2 3" xfId="17493" xr:uid="{30BB2819-97D4-4DD8-B75E-D30EE8996813}"/>
    <cellStyle name="Normal 5 2 2 2 2 6 2 3" xfId="22575" xr:uid="{6E6A9C2A-2A0E-4CED-A497-74F2CBB229F9}"/>
    <cellStyle name="Normal 5 2 2 2 2 6 2 4" xfId="13276" xr:uid="{B75ADF17-479D-47D2-A5C1-6B95C664AE87}"/>
    <cellStyle name="Normal 5 2 2 2 2 6 3" xfId="6022" xr:uid="{00000000-0005-0000-0000-000040170000}"/>
    <cellStyle name="Normal 5 2 2 2 2 6 3 2" xfId="24647" xr:uid="{BFDA9D89-D794-4644-B121-BD901A98EA56}"/>
    <cellStyle name="Normal 5 2 2 2 2 6 3 3" xfId="15348" xr:uid="{5288D92B-7099-4D36-A6AA-6C7E09F775F7}"/>
    <cellStyle name="Normal 5 2 2 2 2 6 4" xfId="20430" xr:uid="{92EE5569-87AD-450C-85E8-6AF1E83AB86C}"/>
    <cellStyle name="Normal 5 2 2 2 2 6 5" xfId="11131" xr:uid="{AD5499E3-A8AA-4B55-A27A-054FEAECAF09}"/>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2 2 2" xfId="27205" xr:uid="{7DE7DFCB-8597-457C-A5E2-A1B4F5278CEF}"/>
    <cellStyle name="Normal 5 2 2 2 2 7 2 2 3" xfId="17906" xr:uid="{EC870687-AF73-4F1A-8386-8BE589E5CD7D}"/>
    <cellStyle name="Normal 5 2 2 2 2 7 2 3" xfId="22988" xr:uid="{1F73CC1A-869D-4168-A2AC-6D7EA7FF7BF8}"/>
    <cellStyle name="Normal 5 2 2 2 2 7 2 4" xfId="13689" xr:uid="{2AAE6D58-7A66-4950-8A68-BC20D31894C1}"/>
    <cellStyle name="Normal 5 2 2 2 2 7 3" xfId="6435" xr:uid="{00000000-0005-0000-0000-000044170000}"/>
    <cellStyle name="Normal 5 2 2 2 2 7 3 2" xfId="25060" xr:uid="{9D7E3817-4726-45C5-9953-570C246FEA60}"/>
    <cellStyle name="Normal 5 2 2 2 2 7 3 3" xfId="15761" xr:uid="{7A5F1FED-0276-41BA-8383-9C4612C05C5E}"/>
    <cellStyle name="Normal 5 2 2 2 2 7 4" xfId="20843" xr:uid="{0F52FE9D-CA32-4A9C-921C-23067F68740C}"/>
    <cellStyle name="Normal 5 2 2 2 2 7 5" xfId="11544" xr:uid="{ECC685F5-E56B-471D-9F8F-53FB5AB5FC3D}"/>
    <cellStyle name="Normal 5 2 2 2 2 8" xfId="2565" xr:uid="{00000000-0005-0000-0000-000045170000}"/>
    <cellStyle name="Normal 5 2 2 2 2 8 2" xfId="6848" xr:uid="{00000000-0005-0000-0000-000046170000}"/>
    <cellStyle name="Normal 5 2 2 2 2 8 2 2" xfId="25473" xr:uid="{B7EC4FB0-236F-4047-8A46-BFCEBD7D22C5}"/>
    <cellStyle name="Normal 5 2 2 2 2 8 2 3" xfId="16174" xr:uid="{F0461E29-2CC4-4BC2-9EEA-6D238FDDE592}"/>
    <cellStyle name="Normal 5 2 2 2 2 8 3" xfId="21256" xr:uid="{AFF86F04-DE40-4AD9-8AF3-1647789DFF09}"/>
    <cellStyle name="Normal 5 2 2 2 2 8 4" xfId="11957" xr:uid="{CC0EFFDB-ACDB-4B77-9C67-D55F0570D5DF}"/>
    <cellStyle name="Normal 5 2 2 2 2 9" xfId="4783" xr:uid="{00000000-0005-0000-0000-000047170000}"/>
    <cellStyle name="Normal 5 2 2 2 2 9 2" xfId="23408" xr:uid="{470DB379-20D0-4E5F-AB4F-9A63ABB8469B}"/>
    <cellStyle name="Normal 5 2 2 2 2 9 3" xfId="14109" xr:uid="{8B979B27-3911-4454-9D56-631372CD1754}"/>
    <cellStyle name="Normal 5 2 2 2 3" xfId="414" xr:uid="{00000000-0005-0000-0000-000048170000}"/>
    <cellStyle name="Normal 5 2 2 2 3 10" xfId="19195" xr:uid="{488F2088-CB27-4B1F-A1D7-0240C7EBDEDF}"/>
    <cellStyle name="Normal 5 2 2 2 3 11" xfId="9896" xr:uid="{49573D80-A714-4B62-B40A-CC41FBE89C2B}"/>
    <cellStyle name="Normal 5 2 2 2 3 2" xfId="415" xr:uid="{00000000-0005-0000-0000-000049170000}"/>
    <cellStyle name="Normal 5 2 2 2 3 2 10" xfId="9897" xr:uid="{C29E7E76-0D6D-4DA5-B2A3-F8C71DA009D8}"/>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2 2 2" xfId="25971" xr:uid="{D709C734-53D2-4B45-A19D-72E3F47ECF7E}"/>
    <cellStyle name="Normal 5 2 2 2 3 2 2 2 2 3" xfId="16672" xr:uid="{044C96C4-A656-482A-AF94-900DC9F04C80}"/>
    <cellStyle name="Normal 5 2 2 2 3 2 2 2 3" xfId="21754" xr:uid="{DAC04940-2A7A-4FFE-A5DD-D98D7AB9A360}"/>
    <cellStyle name="Normal 5 2 2 2 3 2 2 2 4" xfId="12455" xr:uid="{170788CA-1F8A-43AF-8DC8-D7C0151136E0}"/>
    <cellStyle name="Normal 5 2 2 2 3 2 2 3" xfId="5201" xr:uid="{00000000-0005-0000-0000-00004D170000}"/>
    <cellStyle name="Normal 5 2 2 2 3 2 2 3 2" xfId="23826" xr:uid="{2AA0DAAF-015B-49BF-A88E-88E355FB47F2}"/>
    <cellStyle name="Normal 5 2 2 2 3 2 2 3 3" xfId="14527" xr:uid="{DA72674A-24C3-4EEB-B8BE-DD05EAC00526}"/>
    <cellStyle name="Normal 5 2 2 2 3 2 2 4" xfId="9506" xr:uid="{65E8E1F9-5B62-47C9-8131-412DF42F5268}"/>
    <cellStyle name="Normal 5 2 2 2 3 2 2 4 2" xfId="28120" xr:uid="{9019C381-DA0A-459B-818F-778C931EC147}"/>
    <cellStyle name="Normal 5 2 2 2 3 2 2 4 3" xfId="18821" xr:uid="{6E24884D-BF59-4964-B067-06FE4C15AAD8}"/>
    <cellStyle name="Normal 5 2 2 2 3 2 2 5" xfId="19609" xr:uid="{3A9A4A06-EAC2-4BCC-A3CB-676CDD1811E9}"/>
    <cellStyle name="Normal 5 2 2 2 3 2 2 6" xfId="10310" xr:uid="{5B612239-90AA-4622-A6FA-BA629B262F54}"/>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2 2 2" xfId="26384" xr:uid="{661F4FA8-6968-4C0E-876B-48AA2BCDA149}"/>
    <cellStyle name="Normal 5 2 2 2 3 2 3 2 2 3" xfId="17085" xr:uid="{28EC7762-761C-4E3B-876B-66F05F0F920B}"/>
    <cellStyle name="Normal 5 2 2 2 3 2 3 2 3" xfId="22167" xr:uid="{C6C90FB7-9153-4481-A003-7C1EBEF1A04A}"/>
    <cellStyle name="Normal 5 2 2 2 3 2 3 2 4" xfId="12868" xr:uid="{074E44CD-CEE3-4B0D-A103-31D545AE6323}"/>
    <cellStyle name="Normal 5 2 2 2 3 2 3 3" xfId="5614" xr:uid="{00000000-0005-0000-0000-000051170000}"/>
    <cellStyle name="Normal 5 2 2 2 3 2 3 3 2" xfId="24239" xr:uid="{BFF3A6FE-7771-4F8A-B45F-BDFCF4832A0D}"/>
    <cellStyle name="Normal 5 2 2 2 3 2 3 3 3" xfId="14940" xr:uid="{E1DCD05E-2D58-4608-90A3-F069B301E746}"/>
    <cellStyle name="Normal 5 2 2 2 3 2 3 4" xfId="20022" xr:uid="{03037243-7488-4BFF-9D43-BB7A05D96E7B}"/>
    <cellStyle name="Normal 5 2 2 2 3 2 3 5" xfId="10723" xr:uid="{BA6921D8-781B-4D58-9368-42A836AD4D36}"/>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2 2 2" xfId="26797" xr:uid="{0C817617-6782-4310-8859-39C99DE5965F}"/>
    <cellStyle name="Normal 5 2 2 2 3 2 4 2 2 3" xfId="17498" xr:uid="{E520BB3A-B75C-4F0C-9D38-F92933023602}"/>
    <cellStyle name="Normal 5 2 2 2 3 2 4 2 3" xfId="22580" xr:uid="{E9E18A4C-9B76-4CA7-B6A3-BA423690014E}"/>
    <cellStyle name="Normal 5 2 2 2 3 2 4 2 4" xfId="13281" xr:uid="{9A1856DF-C767-40C5-AAAE-BF62F0B416F3}"/>
    <cellStyle name="Normal 5 2 2 2 3 2 4 3" xfId="6027" xr:uid="{00000000-0005-0000-0000-000055170000}"/>
    <cellStyle name="Normal 5 2 2 2 3 2 4 3 2" xfId="24652" xr:uid="{245F90DA-6F9D-4B2A-B7FD-A0090C379A21}"/>
    <cellStyle name="Normal 5 2 2 2 3 2 4 3 3" xfId="15353" xr:uid="{D51C57C1-7CB8-4943-BB98-7FCAA5AEDA66}"/>
    <cellStyle name="Normal 5 2 2 2 3 2 4 4" xfId="20435" xr:uid="{1F829347-24AB-4E8C-8E2D-8A75988A8AE7}"/>
    <cellStyle name="Normal 5 2 2 2 3 2 4 5" xfId="11136" xr:uid="{7FC7B2CD-9474-485B-B5CA-9816F6D48F15}"/>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2 2 2" xfId="27210" xr:uid="{1C5EFF17-F5E0-45A5-BBD0-76FA40A4E3D2}"/>
    <cellStyle name="Normal 5 2 2 2 3 2 5 2 2 3" xfId="17911" xr:uid="{588538E0-AF7A-476E-8438-53D03E9B9693}"/>
    <cellStyle name="Normal 5 2 2 2 3 2 5 2 3" xfId="22993" xr:uid="{56D25A88-0E01-47BF-955E-318368166470}"/>
    <cellStyle name="Normal 5 2 2 2 3 2 5 2 4" xfId="13694" xr:uid="{53E35E1A-5D3F-4373-9C4B-D434089BB141}"/>
    <cellStyle name="Normal 5 2 2 2 3 2 5 3" xfId="6440" xr:uid="{00000000-0005-0000-0000-000059170000}"/>
    <cellStyle name="Normal 5 2 2 2 3 2 5 3 2" xfId="25065" xr:uid="{FA704828-9E4B-4676-8CBE-194E4340502C}"/>
    <cellStyle name="Normal 5 2 2 2 3 2 5 3 3" xfId="15766" xr:uid="{4CA57CFF-4605-4DC0-AF4D-5AC9487164F3}"/>
    <cellStyle name="Normal 5 2 2 2 3 2 5 4" xfId="20848" xr:uid="{E941C403-27CF-49CE-8634-C2FDD7429642}"/>
    <cellStyle name="Normal 5 2 2 2 3 2 5 5" xfId="11549" xr:uid="{E73BD88D-F1C4-45BE-86B0-F1CA9E8F92A3}"/>
    <cellStyle name="Normal 5 2 2 2 3 2 6" xfId="2570" xr:uid="{00000000-0005-0000-0000-00005A170000}"/>
    <cellStyle name="Normal 5 2 2 2 3 2 6 2" xfId="6853" xr:uid="{00000000-0005-0000-0000-00005B170000}"/>
    <cellStyle name="Normal 5 2 2 2 3 2 6 2 2" xfId="25478" xr:uid="{F7E41DEC-8A01-4903-9788-FE1DBAAC7B8A}"/>
    <cellStyle name="Normal 5 2 2 2 3 2 6 2 3" xfId="16179" xr:uid="{FDF03C5F-38A9-4433-8C9F-6944411483E4}"/>
    <cellStyle name="Normal 5 2 2 2 3 2 6 3" xfId="21261" xr:uid="{471B9011-281E-4504-A1E7-33D34645F64B}"/>
    <cellStyle name="Normal 5 2 2 2 3 2 6 4" xfId="11962" xr:uid="{B9B5895D-D6C9-49D0-81F4-24FACBB4F1D1}"/>
    <cellStyle name="Normal 5 2 2 2 3 2 7" xfId="4788" xr:uid="{00000000-0005-0000-0000-00005C170000}"/>
    <cellStyle name="Normal 5 2 2 2 3 2 7 2" xfId="23413" xr:uid="{6B0A87C6-A5CD-467A-9F40-AA412F449AD3}"/>
    <cellStyle name="Normal 5 2 2 2 3 2 7 3" xfId="14114" xr:uid="{A4736EA4-0F6B-4EF2-8C4A-64051A989931}"/>
    <cellStyle name="Normal 5 2 2 2 3 2 8" xfId="9081" xr:uid="{B0400C6D-4400-4F06-9092-2DCAD3324CF1}"/>
    <cellStyle name="Normal 5 2 2 2 3 2 8 2" xfId="27704" xr:uid="{65D21657-57C5-4F3C-AA73-90FE4870F76C}"/>
    <cellStyle name="Normal 5 2 2 2 3 2 8 3" xfId="18405" xr:uid="{38D93B06-CA4F-4B70-917D-0B6D901E87DC}"/>
    <cellStyle name="Normal 5 2 2 2 3 2 9" xfId="19196" xr:uid="{A14CFDC0-E398-4D73-AB27-C9ADD1C8613F}"/>
    <cellStyle name="Normal 5 2 2 2 3 3" xfId="888" xr:uid="{00000000-0005-0000-0000-00005D170000}"/>
    <cellStyle name="Normal 5 2 2 2 3 3 2" xfId="3123" xr:uid="{00000000-0005-0000-0000-00005E170000}"/>
    <cellStyle name="Normal 5 2 2 2 3 3 2 2" xfId="7345" xr:uid="{00000000-0005-0000-0000-00005F170000}"/>
    <cellStyle name="Normal 5 2 2 2 3 3 2 2 2" xfId="25970" xr:uid="{769AB1B8-A846-4ECD-914B-F0CF78C6C6AE}"/>
    <cellStyle name="Normal 5 2 2 2 3 3 2 2 3" xfId="16671" xr:uid="{555C7408-DA29-4E96-862A-5ACF13CCE527}"/>
    <cellStyle name="Normal 5 2 2 2 3 3 2 3" xfId="21753" xr:uid="{A87E687D-C8FA-4495-B4AC-20148A2AD7C8}"/>
    <cellStyle name="Normal 5 2 2 2 3 3 2 4" xfId="12454" xr:uid="{4429ACF2-F2B0-418E-8EE7-5713DD9B3920}"/>
    <cellStyle name="Normal 5 2 2 2 3 3 3" xfId="5200" xr:uid="{00000000-0005-0000-0000-000060170000}"/>
    <cellStyle name="Normal 5 2 2 2 3 3 3 2" xfId="23825" xr:uid="{45C9EE2E-0E0B-4732-99C8-6BB44DB13BE1}"/>
    <cellStyle name="Normal 5 2 2 2 3 3 3 3" xfId="14526" xr:uid="{789D6FAC-272E-4E6F-8695-7BBD2B7AE8CF}"/>
    <cellStyle name="Normal 5 2 2 2 3 3 4" xfId="9299" xr:uid="{85780536-A38F-4D86-8846-D9FA6BB2D61D}"/>
    <cellStyle name="Normal 5 2 2 2 3 3 4 2" xfId="27913" xr:uid="{6393B8E5-1191-4560-A76A-B8F730E7843D}"/>
    <cellStyle name="Normal 5 2 2 2 3 3 4 3" xfId="18614" xr:uid="{BCE50C0A-CC1F-45B9-9606-5CD608C70FEF}"/>
    <cellStyle name="Normal 5 2 2 2 3 3 5" xfId="19608" xr:uid="{D171FFB1-256B-4AC9-BB78-2D4C1498D16A}"/>
    <cellStyle name="Normal 5 2 2 2 3 3 6" xfId="10309" xr:uid="{61249DCC-B124-4871-800D-C3414898CAD4}"/>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2 2 2" xfId="26383" xr:uid="{C0D6FF7C-0C18-44F1-945D-3075C240FAC7}"/>
    <cellStyle name="Normal 5 2 2 2 3 4 2 2 3" xfId="17084" xr:uid="{017D87D7-C28D-44BE-A84F-97EEBF9CAE41}"/>
    <cellStyle name="Normal 5 2 2 2 3 4 2 3" xfId="22166" xr:uid="{6F9E116F-053E-42E6-AB78-8E7970D26958}"/>
    <cellStyle name="Normal 5 2 2 2 3 4 2 4" xfId="12867" xr:uid="{72ADEFA3-0F3C-4ACE-B680-57EE75BB126E}"/>
    <cellStyle name="Normal 5 2 2 2 3 4 3" xfId="5613" xr:uid="{00000000-0005-0000-0000-000064170000}"/>
    <cellStyle name="Normal 5 2 2 2 3 4 3 2" xfId="24238" xr:uid="{751203CE-5B08-43D7-A225-3CD1E29B7BD3}"/>
    <cellStyle name="Normal 5 2 2 2 3 4 3 3" xfId="14939" xr:uid="{61134C64-343E-4315-A462-01B366B0D1C7}"/>
    <cellStyle name="Normal 5 2 2 2 3 4 4" xfId="20021" xr:uid="{1B258016-F90A-4FBB-A00F-5077F835BCAB}"/>
    <cellStyle name="Normal 5 2 2 2 3 4 5" xfId="10722" xr:uid="{3DC30B95-AB16-42AD-A3D0-3C6D7783F8FE}"/>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2 2 2" xfId="26796" xr:uid="{5B198167-1F44-4E8D-829B-685C8B182E4D}"/>
    <cellStyle name="Normal 5 2 2 2 3 5 2 2 3" xfId="17497" xr:uid="{42469FF1-94D4-4BC8-8E4C-832958552FC0}"/>
    <cellStyle name="Normal 5 2 2 2 3 5 2 3" xfId="22579" xr:uid="{4C88E98F-7BA3-4D02-9B88-A9A831835AD5}"/>
    <cellStyle name="Normal 5 2 2 2 3 5 2 4" xfId="13280" xr:uid="{F48040F7-F83A-4B24-8BF1-D7AEB8219E11}"/>
    <cellStyle name="Normal 5 2 2 2 3 5 3" xfId="6026" xr:uid="{00000000-0005-0000-0000-000068170000}"/>
    <cellStyle name="Normal 5 2 2 2 3 5 3 2" xfId="24651" xr:uid="{ACFE5725-A134-4C50-8F1E-58D862E7138B}"/>
    <cellStyle name="Normal 5 2 2 2 3 5 3 3" xfId="15352" xr:uid="{8AF4BF57-1723-44B3-8D34-E8F43E88BBF4}"/>
    <cellStyle name="Normal 5 2 2 2 3 5 4" xfId="20434" xr:uid="{4FCFC6B9-E0F3-4400-A57E-3F763A34C72C}"/>
    <cellStyle name="Normal 5 2 2 2 3 5 5" xfId="11135" xr:uid="{7A5B2279-518B-4364-A6BB-BC48664AAFF9}"/>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2 2 2" xfId="27209" xr:uid="{B7D9CBD2-346E-4A5C-8C97-01951836785F}"/>
    <cellStyle name="Normal 5 2 2 2 3 6 2 2 3" xfId="17910" xr:uid="{74B48F90-1D26-44F5-AD06-AC295D7AE700}"/>
    <cellStyle name="Normal 5 2 2 2 3 6 2 3" xfId="22992" xr:uid="{9DB653B3-10F6-4BC3-9C66-1A2623314C41}"/>
    <cellStyle name="Normal 5 2 2 2 3 6 2 4" xfId="13693" xr:uid="{3C27E735-6FA9-4B1A-8BBC-CBDEE03591EC}"/>
    <cellStyle name="Normal 5 2 2 2 3 6 3" xfId="6439" xr:uid="{00000000-0005-0000-0000-00006C170000}"/>
    <cellStyle name="Normal 5 2 2 2 3 6 3 2" xfId="25064" xr:uid="{01B1D3C2-95F3-4086-8D3F-9024709A58C6}"/>
    <cellStyle name="Normal 5 2 2 2 3 6 3 3" xfId="15765" xr:uid="{1D569FE0-5EF9-431B-B434-679A277BB9B0}"/>
    <cellStyle name="Normal 5 2 2 2 3 6 4" xfId="20847" xr:uid="{B4309E24-F3F0-4E25-AE27-8A9FF2463439}"/>
    <cellStyle name="Normal 5 2 2 2 3 6 5" xfId="11548" xr:uid="{031F0DBA-C3BA-4EFF-8270-9697EDF16C35}"/>
    <cellStyle name="Normal 5 2 2 2 3 7" xfId="2569" xr:uid="{00000000-0005-0000-0000-00006D170000}"/>
    <cellStyle name="Normal 5 2 2 2 3 7 2" xfId="6852" xr:uid="{00000000-0005-0000-0000-00006E170000}"/>
    <cellStyle name="Normal 5 2 2 2 3 7 2 2" xfId="25477" xr:uid="{460E5B71-0E1F-43BF-853B-15F18FE3B081}"/>
    <cellStyle name="Normal 5 2 2 2 3 7 2 3" xfId="16178" xr:uid="{690AF13F-D03C-4DF1-B855-053E686F8329}"/>
    <cellStyle name="Normal 5 2 2 2 3 7 3" xfId="21260" xr:uid="{EFB8933F-0354-4415-BBAC-32A4B15669E7}"/>
    <cellStyle name="Normal 5 2 2 2 3 7 4" xfId="11961" xr:uid="{358AE145-FD71-4F50-B364-1B007751E997}"/>
    <cellStyle name="Normal 5 2 2 2 3 8" xfId="4787" xr:uid="{00000000-0005-0000-0000-00006F170000}"/>
    <cellStyle name="Normal 5 2 2 2 3 8 2" xfId="23412" xr:uid="{9499AF80-2991-4B6F-A461-126EF3229B41}"/>
    <cellStyle name="Normal 5 2 2 2 3 8 3" xfId="14113" xr:uid="{9A293CAB-6A73-4804-A076-0B2559FFDFFA}"/>
    <cellStyle name="Normal 5 2 2 2 3 9" xfId="8874" xr:uid="{D7CEB9F3-DFA5-483F-B08A-C4A582DD7FE8}"/>
    <cellStyle name="Normal 5 2 2 2 3 9 2" xfId="27497" xr:uid="{1026C717-7F31-4B37-B9B8-139BAD0D34C9}"/>
    <cellStyle name="Normal 5 2 2 2 3 9 3" xfId="18198" xr:uid="{37E13D1E-77B8-4C81-8344-FB6A646EB739}"/>
    <cellStyle name="Normal 5 2 2 2 4" xfId="416" xr:uid="{00000000-0005-0000-0000-000070170000}"/>
    <cellStyle name="Normal 5 2 2 2 4 10" xfId="9898" xr:uid="{F93A7B77-EC43-4E3A-8E0D-173A2A4072ED}"/>
    <cellStyle name="Normal 5 2 2 2 4 2" xfId="890" xr:uid="{00000000-0005-0000-0000-000071170000}"/>
    <cellStyle name="Normal 5 2 2 2 4 2 2" xfId="3125" xr:uid="{00000000-0005-0000-0000-000072170000}"/>
    <cellStyle name="Normal 5 2 2 2 4 2 2 2" xfId="7347" xr:uid="{00000000-0005-0000-0000-000073170000}"/>
    <cellStyle name="Normal 5 2 2 2 4 2 2 2 2" xfId="25972" xr:uid="{09186BA4-2BD0-4886-A8F8-EC9988F74DCD}"/>
    <cellStyle name="Normal 5 2 2 2 4 2 2 2 3" xfId="16673" xr:uid="{926B9090-4653-4BA7-A056-73EF0BE964D9}"/>
    <cellStyle name="Normal 5 2 2 2 4 2 2 3" xfId="21755" xr:uid="{4977FFE7-2F61-468B-8131-92EFF6CB2942}"/>
    <cellStyle name="Normal 5 2 2 2 4 2 2 4" xfId="12456" xr:uid="{35A5895A-EE79-4FE1-A4EB-8BF1368392B6}"/>
    <cellStyle name="Normal 5 2 2 2 4 2 3" xfId="5202" xr:uid="{00000000-0005-0000-0000-000074170000}"/>
    <cellStyle name="Normal 5 2 2 2 4 2 3 2" xfId="23827" xr:uid="{68122D51-761A-4731-B3AA-8F9E655189C6}"/>
    <cellStyle name="Normal 5 2 2 2 4 2 3 3" xfId="14528" xr:uid="{C0860F92-DF50-4EA1-826E-EA450E6D1F11}"/>
    <cellStyle name="Normal 5 2 2 2 4 2 4" xfId="9403" xr:uid="{DDA7C497-662A-4A76-A324-A27E6A0A2B3D}"/>
    <cellStyle name="Normal 5 2 2 2 4 2 4 2" xfId="28017" xr:uid="{E1863ED1-4801-4A3B-AEF1-07319959EF21}"/>
    <cellStyle name="Normal 5 2 2 2 4 2 4 3" xfId="18718" xr:uid="{72946615-72B6-46A1-BA83-CEC1EFCC9907}"/>
    <cellStyle name="Normal 5 2 2 2 4 2 5" xfId="19610" xr:uid="{3CBA418D-C02D-4486-B4DF-64D2245DA0B7}"/>
    <cellStyle name="Normal 5 2 2 2 4 2 6" xfId="10311" xr:uid="{91F64A94-2F2B-42A3-B0E2-3AD13846EC96}"/>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2 2 2" xfId="26385" xr:uid="{29547445-3114-4C21-8076-BB6334F3E7D4}"/>
    <cellStyle name="Normal 5 2 2 2 4 3 2 2 3" xfId="17086" xr:uid="{832BBA76-B132-4CA8-A0E6-DE260B05D075}"/>
    <cellStyle name="Normal 5 2 2 2 4 3 2 3" xfId="22168" xr:uid="{C7854C8D-508C-4B79-8D29-389A5CD92EC2}"/>
    <cellStyle name="Normal 5 2 2 2 4 3 2 4" xfId="12869" xr:uid="{9833D287-9328-4BF6-A9FA-CF3EC5939E27}"/>
    <cellStyle name="Normal 5 2 2 2 4 3 3" xfId="5615" xr:uid="{00000000-0005-0000-0000-000078170000}"/>
    <cellStyle name="Normal 5 2 2 2 4 3 3 2" xfId="24240" xr:uid="{9DB0C87B-B479-4A57-8FFE-603880F5F6A2}"/>
    <cellStyle name="Normal 5 2 2 2 4 3 3 3" xfId="14941" xr:uid="{1C89332E-2476-48C2-996F-A49D55D76243}"/>
    <cellStyle name="Normal 5 2 2 2 4 3 4" xfId="20023" xr:uid="{EFD85810-0F8D-4CC0-9F14-3675C07DA8D4}"/>
    <cellStyle name="Normal 5 2 2 2 4 3 5" xfId="10724" xr:uid="{D21B8BE8-A43D-440A-89D1-1E94040535C7}"/>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2 2 2" xfId="26798" xr:uid="{EB2C93B3-CEB0-49EA-A321-50A9ED4054FB}"/>
    <cellStyle name="Normal 5 2 2 2 4 4 2 2 3" xfId="17499" xr:uid="{860DE892-2E49-47A6-8874-467C00C99CA4}"/>
    <cellStyle name="Normal 5 2 2 2 4 4 2 3" xfId="22581" xr:uid="{B3EACDFE-FE6D-4123-807C-F3CD4DEA5DFF}"/>
    <cellStyle name="Normal 5 2 2 2 4 4 2 4" xfId="13282" xr:uid="{E892E866-301B-4E71-A338-3885C86111EA}"/>
    <cellStyle name="Normal 5 2 2 2 4 4 3" xfId="6028" xr:uid="{00000000-0005-0000-0000-00007C170000}"/>
    <cellStyle name="Normal 5 2 2 2 4 4 3 2" xfId="24653" xr:uid="{B953D1B9-3A36-4CFA-86BB-4B92D18F3048}"/>
    <cellStyle name="Normal 5 2 2 2 4 4 3 3" xfId="15354" xr:uid="{B8C65A51-2EC1-4FDB-A6AD-E5F31D6DB4EE}"/>
    <cellStyle name="Normal 5 2 2 2 4 4 4" xfId="20436" xr:uid="{8BE810C0-BB9A-4A6F-9319-8C786E55AD86}"/>
    <cellStyle name="Normal 5 2 2 2 4 4 5" xfId="11137" xr:uid="{79F2499D-CAC7-4128-BBF1-6DB4ABC93923}"/>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2 2 2" xfId="27211" xr:uid="{2D96DCD5-7404-4405-94CE-C5B1D3F8D4C4}"/>
    <cellStyle name="Normal 5 2 2 2 4 5 2 2 3" xfId="17912" xr:uid="{8777C953-B8BE-44FC-8A0A-357C85B87675}"/>
    <cellStyle name="Normal 5 2 2 2 4 5 2 3" xfId="22994" xr:uid="{D40CF201-538D-4C81-8BEE-6CDB123A9959}"/>
    <cellStyle name="Normal 5 2 2 2 4 5 2 4" xfId="13695" xr:uid="{184F7A5C-DA8E-4E53-BDB8-26499D21ECBC}"/>
    <cellStyle name="Normal 5 2 2 2 4 5 3" xfId="6441" xr:uid="{00000000-0005-0000-0000-000080170000}"/>
    <cellStyle name="Normal 5 2 2 2 4 5 3 2" xfId="25066" xr:uid="{C1B18549-3E21-469C-9B30-D0B823730DE9}"/>
    <cellStyle name="Normal 5 2 2 2 4 5 3 3" xfId="15767" xr:uid="{BD6D242C-DFD1-427F-8475-3418718C6220}"/>
    <cellStyle name="Normal 5 2 2 2 4 5 4" xfId="20849" xr:uid="{AB08D2E8-8185-4270-BC28-4D05C8B52A2C}"/>
    <cellStyle name="Normal 5 2 2 2 4 5 5" xfId="11550" xr:uid="{4EA48FC7-5FB7-4D73-8700-0227BE02C851}"/>
    <cellStyle name="Normal 5 2 2 2 4 6" xfId="2571" xr:uid="{00000000-0005-0000-0000-000081170000}"/>
    <cellStyle name="Normal 5 2 2 2 4 6 2" xfId="6854" xr:uid="{00000000-0005-0000-0000-000082170000}"/>
    <cellStyle name="Normal 5 2 2 2 4 6 2 2" xfId="25479" xr:uid="{30B5EC89-3A53-411A-A5FF-935AA05A13F7}"/>
    <cellStyle name="Normal 5 2 2 2 4 6 2 3" xfId="16180" xr:uid="{8404E7BF-D29B-4A6E-8E9B-F7F4337D9741}"/>
    <cellStyle name="Normal 5 2 2 2 4 6 3" xfId="21262" xr:uid="{146F4D2B-DE99-47FB-A78E-58271487CF37}"/>
    <cellStyle name="Normal 5 2 2 2 4 6 4" xfId="11963" xr:uid="{9BAC94D6-62A7-48E8-987F-B6398C09802B}"/>
    <cellStyle name="Normal 5 2 2 2 4 7" xfId="4789" xr:uid="{00000000-0005-0000-0000-000083170000}"/>
    <cellStyle name="Normal 5 2 2 2 4 7 2" xfId="23414" xr:uid="{D0884089-19A7-4B9A-ADF7-18998C23BE35}"/>
    <cellStyle name="Normal 5 2 2 2 4 7 3" xfId="14115" xr:uid="{54DCEA2D-EA1B-452B-BBB4-0EB54FEFE104}"/>
    <cellStyle name="Normal 5 2 2 2 4 8" xfId="8978" xr:uid="{5B5F86B4-BA0F-43A7-920A-E466FD014739}"/>
    <cellStyle name="Normal 5 2 2 2 4 8 2" xfId="27601" xr:uid="{E5528B2F-E9C3-4F0A-8D6E-4DD7EA79ECBC}"/>
    <cellStyle name="Normal 5 2 2 2 4 8 3" xfId="18302" xr:uid="{3014602A-FEFC-49FB-8706-21034EDC4BF4}"/>
    <cellStyle name="Normal 5 2 2 2 4 9" xfId="19197" xr:uid="{DAEA14A6-AA5B-4432-9FE3-43A0814AACC8}"/>
    <cellStyle name="Normal 5 2 2 2 5" xfId="883" xr:uid="{00000000-0005-0000-0000-000084170000}"/>
    <cellStyle name="Normal 5 2 2 2 5 2" xfId="3118" xr:uid="{00000000-0005-0000-0000-000085170000}"/>
    <cellStyle name="Normal 5 2 2 2 5 2 2" xfId="7340" xr:uid="{00000000-0005-0000-0000-000086170000}"/>
    <cellStyle name="Normal 5 2 2 2 5 2 2 2" xfId="25965" xr:uid="{15C7F980-1E59-4E17-9BAA-B9CA936D6856}"/>
    <cellStyle name="Normal 5 2 2 2 5 2 2 3" xfId="16666" xr:uid="{4DD5854D-3F75-4133-9B73-953DE130369C}"/>
    <cellStyle name="Normal 5 2 2 2 5 2 3" xfId="21748" xr:uid="{2E8D617E-F663-41F9-BDFB-3CADBDD525B0}"/>
    <cellStyle name="Normal 5 2 2 2 5 2 4" xfId="12449" xr:uid="{FA3B93B1-A0FD-4DE0-AB48-15EEF937D7A7}"/>
    <cellStyle name="Normal 5 2 2 2 5 3" xfId="5195" xr:uid="{00000000-0005-0000-0000-000087170000}"/>
    <cellStyle name="Normal 5 2 2 2 5 3 2" xfId="23820" xr:uid="{99C4069F-002F-498B-A5B0-983AF437B517}"/>
    <cellStyle name="Normal 5 2 2 2 5 3 3" xfId="14521" xr:uid="{62453529-B329-42E3-BC21-2122165492A1}"/>
    <cellStyle name="Normal 5 2 2 2 5 4" xfId="9195" xr:uid="{A7E71EA0-2CA4-4918-870E-A32EEF45C61A}"/>
    <cellStyle name="Normal 5 2 2 2 5 4 2" xfId="27810" xr:uid="{80B11995-9878-4639-BA8C-F45720625432}"/>
    <cellStyle name="Normal 5 2 2 2 5 4 3" xfId="18511" xr:uid="{E098B951-F50D-4E5B-94E1-6C11C1B14C97}"/>
    <cellStyle name="Normal 5 2 2 2 5 5" xfId="19603" xr:uid="{0BA99BC0-A5C0-43EC-B13F-54A23531F517}"/>
    <cellStyle name="Normal 5 2 2 2 5 6" xfId="10304" xr:uid="{EB38BD81-804A-44AB-B60D-9B9A84C92B24}"/>
    <cellStyle name="Normal 5 2 2 2 6" xfId="1301" xr:uid="{00000000-0005-0000-0000-000088170000}"/>
    <cellStyle name="Normal 5 2 2 2 6 2" xfId="3531" xr:uid="{00000000-0005-0000-0000-000089170000}"/>
    <cellStyle name="Normal 5 2 2 2 6 2 2" xfId="7753" xr:uid="{00000000-0005-0000-0000-00008A170000}"/>
    <cellStyle name="Normal 5 2 2 2 6 2 2 2" xfId="26378" xr:uid="{892C2C7D-8229-4A40-B9D2-435EC2270B9B}"/>
    <cellStyle name="Normal 5 2 2 2 6 2 2 3" xfId="17079" xr:uid="{21262960-1A3E-4AB7-8BB2-183D9A132961}"/>
    <cellStyle name="Normal 5 2 2 2 6 2 3" xfId="22161" xr:uid="{5EB9BBF3-0723-4CAB-B23B-AE92EC29C908}"/>
    <cellStyle name="Normal 5 2 2 2 6 2 4" xfId="12862" xr:uid="{902E294D-3AB8-496D-8E7F-2BFB36527606}"/>
    <cellStyle name="Normal 5 2 2 2 6 3" xfId="5608" xr:uid="{00000000-0005-0000-0000-00008B170000}"/>
    <cellStyle name="Normal 5 2 2 2 6 3 2" xfId="24233" xr:uid="{3BEC341B-5501-4EC3-A26D-B33DDA2DD7CC}"/>
    <cellStyle name="Normal 5 2 2 2 6 3 3" xfId="14934" xr:uid="{656C1CA9-4C35-465B-8484-94AB3D180A9D}"/>
    <cellStyle name="Normal 5 2 2 2 6 4" xfId="20016" xr:uid="{3A1B9E81-87F7-45A1-9782-CF59648C703F}"/>
    <cellStyle name="Normal 5 2 2 2 6 5" xfId="10717" xr:uid="{2DED376C-D890-4C9F-AEA5-C7EDB577580F}"/>
    <cellStyle name="Normal 5 2 2 2 7" xfId="1714" xr:uid="{00000000-0005-0000-0000-00008C170000}"/>
    <cellStyle name="Normal 5 2 2 2 7 2" xfId="3944" xr:uid="{00000000-0005-0000-0000-00008D170000}"/>
    <cellStyle name="Normal 5 2 2 2 7 2 2" xfId="8166" xr:uid="{00000000-0005-0000-0000-00008E170000}"/>
    <cellStyle name="Normal 5 2 2 2 7 2 2 2" xfId="26791" xr:uid="{8A1EFF4C-206D-4D02-AB92-E07BEA79F04C}"/>
    <cellStyle name="Normal 5 2 2 2 7 2 2 3" xfId="17492" xr:uid="{3471A3CA-BA2F-451F-B944-2B1C2E5AF6B5}"/>
    <cellStyle name="Normal 5 2 2 2 7 2 3" xfId="22574" xr:uid="{94BEC706-15D8-4531-9E94-5E0464EAEAB4}"/>
    <cellStyle name="Normal 5 2 2 2 7 2 4" xfId="13275" xr:uid="{23057383-601C-4AAD-BD40-3FC15062935E}"/>
    <cellStyle name="Normal 5 2 2 2 7 3" xfId="6021" xr:uid="{00000000-0005-0000-0000-00008F170000}"/>
    <cellStyle name="Normal 5 2 2 2 7 3 2" xfId="24646" xr:uid="{FFA209FD-1760-4480-8D9B-E5065439F226}"/>
    <cellStyle name="Normal 5 2 2 2 7 3 3" xfId="15347" xr:uid="{E0B90A3C-1B22-43D0-B109-D4F2D130FCC3}"/>
    <cellStyle name="Normal 5 2 2 2 7 4" xfId="20429" xr:uid="{DBB0B83D-2064-4879-81D0-6E3C08FAB6F3}"/>
    <cellStyle name="Normal 5 2 2 2 7 5" xfId="11130" xr:uid="{BA20A2B9-742C-43B8-BAE9-AD5A7AFFEC85}"/>
    <cellStyle name="Normal 5 2 2 2 8" xfId="2128" xr:uid="{00000000-0005-0000-0000-000090170000}"/>
    <cellStyle name="Normal 5 2 2 2 8 2" xfId="4357" xr:uid="{00000000-0005-0000-0000-000091170000}"/>
    <cellStyle name="Normal 5 2 2 2 8 2 2" xfId="8579" xr:uid="{00000000-0005-0000-0000-000092170000}"/>
    <cellStyle name="Normal 5 2 2 2 8 2 2 2" xfId="27204" xr:uid="{F7D5243E-1E43-4457-BB73-FA9B0B1061AC}"/>
    <cellStyle name="Normal 5 2 2 2 8 2 2 3" xfId="17905" xr:uid="{CC15BE12-0C9D-4AAB-9B71-CC85C9708864}"/>
    <cellStyle name="Normal 5 2 2 2 8 2 3" xfId="22987" xr:uid="{FC0A0F44-C01D-4A4C-905E-056609270458}"/>
    <cellStyle name="Normal 5 2 2 2 8 2 4" xfId="13688" xr:uid="{E91D1BBA-5DC3-4F9C-B0FD-E23994DA0B22}"/>
    <cellStyle name="Normal 5 2 2 2 8 3" xfId="6434" xr:uid="{00000000-0005-0000-0000-000093170000}"/>
    <cellStyle name="Normal 5 2 2 2 8 3 2" xfId="25059" xr:uid="{56A576DE-1D7B-40F6-8130-5B1C85E0ABE8}"/>
    <cellStyle name="Normal 5 2 2 2 8 3 3" xfId="15760" xr:uid="{EB187AD1-81AA-421B-95A8-8CBB23E46A3A}"/>
    <cellStyle name="Normal 5 2 2 2 8 4" xfId="20842" xr:uid="{F1BB1A60-F8FB-4FCE-9D41-2FF11E6432A8}"/>
    <cellStyle name="Normal 5 2 2 2 8 5" xfId="11543" xr:uid="{9D2622D2-111E-4019-9AB9-180303945A14}"/>
    <cellStyle name="Normal 5 2 2 2 9" xfId="2564" xr:uid="{00000000-0005-0000-0000-000094170000}"/>
    <cellStyle name="Normal 5 2 2 2 9 2" xfId="6847" xr:uid="{00000000-0005-0000-0000-000095170000}"/>
    <cellStyle name="Normal 5 2 2 2 9 2 2" xfId="25472" xr:uid="{6703164E-22D5-40B1-8D57-7088B9A39700}"/>
    <cellStyle name="Normal 5 2 2 2 9 2 3" xfId="16173" xr:uid="{06D10DF2-3E0B-4DE9-BC32-1683FEA6697C}"/>
    <cellStyle name="Normal 5 2 2 2 9 3" xfId="21255" xr:uid="{827AF222-97E8-4227-9469-44AF9D63104D}"/>
    <cellStyle name="Normal 5 2 2 2 9 4" xfId="11956" xr:uid="{901D8B1A-50CA-466F-82C1-64E7E7916B4E}"/>
    <cellStyle name="Normal 5 2 2 3" xfId="417" xr:uid="{00000000-0005-0000-0000-000096170000}"/>
    <cellStyle name="Normal 5 2 2 3 10" xfId="8828" xr:uid="{5CED8211-F967-469B-812B-9DF6FC250177}"/>
    <cellStyle name="Normal 5 2 2 3 10 2" xfId="27451" xr:uid="{C223BB77-F251-4EAF-92AF-C25267A54138}"/>
    <cellStyle name="Normal 5 2 2 3 10 3" xfId="18152" xr:uid="{45C498D7-1015-49C4-ABBE-FF4AD1562A1B}"/>
    <cellStyle name="Normal 5 2 2 3 11" xfId="19198" xr:uid="{C4A074EC-0BE2-4069-8125-7B57663865A0}"/>
    <cellStyle name="Normal 5 2 2 3 12" xfId="9899" xr:uid="{232A9617-F695-4B57-ACED-91EF94B25500}"/>
    <cellStyle name="Normal 5 2 2 3 2" xfId="418" xr:uid="{00000000-0005-0000-0000-000097170000}"/>
    <cellStyle name="Normal 5 2 2 3 2 10" xfId="19199" xr:uid="{8A1EEF5F-0DB9-422A-B63E-594BD60CE3B7}"/>
    <cellStyle name="Normal 5 2 2 3 2 11" xfId="9900" xr:uid="{4CD7978F-273B-421D-A581-5A52761D65C2}"/>
    <cellStyle name="Normal 5 2 2 3 2 2" xfId="419" xr:uid="{00000000-0005-0000-0000-000098170000}"/>
    <cellStyle name="Normal 5 2 2 3 2 2 10" xfId="9901" xr:uid="{C5E36D0E-6505-4663-980C-90796C85E13B}"/>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2 2 2" xfId="25975" xr:uid="{5A3B44CD-0A46-4830-9D72-ACD8F8A01D0F}"/>
    <cellStyle name="Normal 5 2 2 3 2 2 2 2 2 3" xfId="16676" xr:uid="{1CA4D59A-DD62-45BA-A1F5-91D007B4DB14}"/>
    <cellStyle name="Normal 5 2 2 3 2 2 2 2 3" xfId="21758" xr:uid="{BD77C354-7E75-42B5-A6AF-A6B497DF6D07}"/>
    <cellStyle name="Normal 5 2 2 3 2 2 2 2 4" xfId="12459" xr:uid="{88BCFCFD-1BE7-4BCB-A440-03FEDDCB3693}"/>
    <cellStyle name="Normal 5 2 2 3 2 2 2 3" xfId="5205" xr:uid="{00000000-0005-0000-0000-00009C170000}"/>
    <cellStyle name="Normal 5 2 2 3 2 2 2 3 2" xfId="23830" xr:uid="{FA49D99A-200A-4AAA-9AF1-C58EB79C7BCB}"/>
    <cellStyle name="Normal 5 2 2 3 2 2 2 3 3" xfId="14531" xr:uid="{47C4826E-D30D-407A-82FB-4F071AE75FCB}"/>
    <cellStyle name="Normal 5 2 2 3 2 2 2 4" xfId="9563" xr:uid="{804E641C-B5FA-46A3-B805-C1D4AF390C28}"/>
    <cellStyle name="Normal 5 2 2 3 2 2 2 4 2" xfId="28177" xr:uid="{731DCD78-E1A3-4725-8066-BD92E28DD8E5}"/>
    <cellStyle name="Normal 5 2 2 3 2 2 2 4 3" xfId="18878" xr:uid="{FE2F6A4B-BFA9-4D53-B93A-8B0E136635AB}"/>
    <cellStyle name="Normal 5 2 2 3 2 2 2 5" xfId="19613" xr:uid="{325C39D4-1550-425F-A0DF-194C737F81F2}"/>
    <cellStyle name="Normal 5 2 2 3 2 2 2 6" xfId="10314" xr:uid="{0C6C27E2-97BB-43F8-B645-4D0DC131F669}"/>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2 2 2" xfId="26388" xr:uid="{99870ACC-26DF-4AE2-A5C1-A078FDFF98C0}"/>
    <cellStyle name="Normal 5 2 2 3 2 2 3 2 2 3" xfId="17089" xr:uid="{185703CD-F665-4319-B0FC-AB637844859F}"/>
    <cellStyle name="Normal 5 2 2 3 2 2 3 2 3" xfId="22171" xr:uid="{3A22EE35-A638-4918-85E7-F41FAE050768}"/>
    <cellStyle name="Normal 5 2 2 3 2 2 3 2 4" xfId="12872" xr:uid="{15E3E377-919D-4799-9250-186DC30CD0C9}"/>
    <cellStyle name="Normal 5 2 2 3 2 2 3 3" xfId="5618" xr:uid="{00000000-0005-0000-0000-0000A0170000}"/>
    <cellStyle name="Normal 5 2 2 3 2 2 3 3 2" xfId="24243" xr:uid="{E70F76A5-3D64-4E1C-89F4-838DDBC28F60}"/>
    <cellStyle name="Normal 5 2 2 3 2 2 3 3 3" xfId="14944" xr:uid="{A55FCC93-B50E-48DA-B93B-4790A7E4E066}"/>
    <cellStyle name="Normal 5 2 2 3 2 2 3 4" xfId="20026" xr:uid="{6CD93660-532D-48E4-BAD7-D878340426CD}"/>
    <cellStyle name="Normal 5 2 2 3 2 2 3 5" xfId="10727" xr:uid="{1FB92F39-01FD-4C6B-A15E-A0BFA8E2024B}"/>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2 2 2" xfId="26801" xr:uid="{1AE91532-1043-451F-B94C-D07AAE4DD9C6}"/>
    <cellStyle name="Normal 5 2 2 3 2 2 4 2 2 3" xfId="17502" xr:uid="{2E4DD97B-E72B-4A60-93B3-7FE2E2CA55C7}"/>
    <cellStyle name="Normal 5 2 2 3 2 2 4 2 3" xfId="22584" xr:uid="{99566C55-18E8-4F9D-B1DC-8A9304F84861}"/>
    <cellStyle name="Normal 5 2 2 3 2 2 4 2 4" xfId="13285" xr:uid="{C1224960-546B-469C-B36C-1FF4E4861FF9}"/>
    <cellStyle name="Normal 5 2 2 3 2 2 4 3" xfId="6031" xr:uid="{00000000-0005-0000-0000-0000A4170000}"/>
    <cellStyle name="Normal 5 2 2 3 2 2 4 3 2" xfId="24656" xr:uid="{EDE330AC-4C28-4556-99EA-95FF1D49F1D4}"/>
    <cellStyle name="Normal 5 2 2 3 2 2 4 3 3" xfId="15357" xr:uid="{99D09D02-6506-4910-B448-C9B4AD5DB7AD}"/>
    <cellStyle name="Normal 5 2 2 3 2 2 4 4" xfId="20439" xr:uid="{29C02C5F-716C-42FD-A669-33DF988417BA}"/>
    <cellStyle name="Normal 5 2 2 3 2 2 4 5" xfId="11140" xr:uid="{319E133F-FDF6-4428-8C08-92FE9FEC7164}"/>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2 2 2" xfId="27214" xr:uid="{474B211A-7B74-4007-8DCC-D13654BAD164}"/>
    <cellStyle name="Normal 5 2 2 3 2 2 5 2 2 3" xfId="17915" xr:uid="{9AC77398-F58D-4A0D-B917-934130F12D44}"/>
    <cellStyle name="Normal 5 2 2 3 2 2 5 2 3" xfId="22997" xr:uid="{DB1A6CB9-55AA-4C18-AFF1-C607B3DC1FF2}"/>
    <cellStyle name="Normal 5 2 2 3 2 2 5 2 4" xfId="13698" xr:uid="{293D739B-5C4D-4315-8522-02CB414CA102}"/>
    <cellStyle name="Normal 5 2 2 3 2 2 5 3" xfId="6444" xr:uid="{00000000-0005-0000-0000-0000A8170000}"/>
    <cellStyle name="Normal 5 2 2 3 2 2 5 3 2" xfId="25069" xr:uid="{771D6E77-0B1A-4136-AA6E-CE30758F52C3}"/>
    <cellStyle name="Normal 5 2 2 3 2 2 5 3 3" xfId="15770" xr:uid="{7061483E-BE27-462F-AA2F-E4C62C58E3C4}"/>
    <cellStyle name="Normal 5 2 2 3 2 2 5 4" xfId="20852" xr:uid="{DEBB8049-E5B8-4D34-9E3D-D0452A390C99}"/>
    <cellStyle name="Normal 5 2 2 3 2 2 5 5" xfId="11553" xr:uid="{7419F4C5-F2FD-42AC-B320-BE66B71E9169}"/>
    <cellStyle name="Normal 5 2 2 3 2 2 6" xfId="2574" xr:uid="{00000000-0005-0000-0000-0000A9170000}"/>
    <cellStyle name="Normal 5 2 2 3 2 2 6 2" xfId="6857" xr:uid="{00000000-0005-0000-0000-0000AA170000}"/>
    <cellStyle name="Normal 5 2 2 3 2 2 6 2 2" xfId="25482" xr:uid="{0068580C-D65A-4029-9D4B-8EA19F5F6D83}"/>
    <cellStyle name="Normal 5 2 2 3 2 2 6 2 3" xfId="16183" xr:uid="{366DBC15-2622-4A53-B311-65D08D806BA1}"/>
    <cellStyle name="Normal 5 2 2 3 2 2 6 3" xfId="21265" xr:uid="{1946D3BE-379A-443F-8E10-D8B2518F1A8F}"/>
    <cellStyle name="Normal 5 2 2 3 2 2 6 4" xfId="11966" xr:uid="{C3C4637C-806B-44E4-AB7B-B5DDE067987A}"/>
    <cellStyle name="Normal 5 2 2 3 2 2 7" xfId="4792" xr:uid="{00000000-0005-0000-0000-0000AB170000}"/>
    <cellStyle name="Normal 5 2 2 3 2 2 7 2" xfId="23417" xr:uid="{0010AEF9-DEBC-45D1-8013-574BC7958705}"/>
    <cellStyle name="Normal 5 2 2 3 2 2 7 3" xfId="14118" xr:uid="{8763F90B-49A8-462F-9F88-A17B184D60CE}"/>
    <cellStyle name="Normal 5 2 2 3 2 2 8" xfId="9138" xr:uid="{BE73D583-3CAB-48A9-8A6F-E88EE69D1D1D}"/>
    <cellStyle name="Normal 5 2 2 3 2 2 8 2" xfId="27761" xr:uid="{CA9CFE3A-B3A9-4402-AC05-8526030A4C56}"/>
    <cellStyle name="Normal 5 2 2 3 2 2 8 3" xfId="18462" xr:uid="{F06DA98A-F39D-4948-862D-52DDFEA025B0}"/>
    <cellStyle name="Normal 5 2 2 3 2 2 9" xfId="19200" xr:uid="{67EB1FB0-8618-44B9-B165-05D5E1DC1B76}"/>
    <cellStyle name="Normal 5 2 2 3 2 3" xfId="892" xr:uid="{00000000-0005-0000-0000-0000AC170000}"/>
    <cellStyle name="Normal 5 2 2 3 2 3 2" xfId="3127" xr:uid="{00000000-0005-0000-0000-0000AD170000}"/>
    <cellStyle name="Normal 5 2 2 3 2 3 2 2" xfId="7349" xr:uid="{00000000-0005-0000-0000-0000AE170000}"/>
    <cellStyle name="Normal 5 2 2 3 2 3 2 2 2" xfId="25974" xr:uid="{280DD058-3CE9-4FDE-B5D0-8DE3BDC73A54}"/>
    <cellStyle name="Normal 5 2 2 3 2 3 2 2 3" xfId="16675" xr:uid="{B0DF3DDA-1D97-4D73-B455-7E19EE0F8075}"/>
    <cellStyle name="Normal 5 2 2 3 2 3 2 3" xfId="21757" xr:uid="{626A28A3-4C37-4690-8897-769D4478470D}"/>
    <cellStyle name="Normal 5 2 2 3 2 3 2 4" xfId="12458" xr:uid="{0A2990C8-5198-4F80-9091-AC51B565EA84}"/>
    <cellStyle name="Normal 5 2 2 3 2 3 3" xfId="5204" xr:uid="{00000000-0005-0000-0000-0000AF170000}"/>
    <cellStyle name="Normal 5 2 2 3 2 3 3 2" xfId="23829" xr:uid="{14041828-5D18-4850-9680-D4B8417A6355}"/>
    <cellStyle name="Normal 5 2 2 3 2 3 3 3" xfId="14530" xr:uid="{C5EA8008-02BB-46FF-9538-2D2230015864}"/>
    <cellStyle name="Normal 5 2 2 3 2 3 4" xfId="9356" xr:uid="{58BAA3B3-A7A2-4F6F-9929-D8BE9F0A557D}"/>
    <cellStyle name="Normal 5 2 2 3 2 3 4 2" xfId="27970" xr:uid="{CADD3BC5-65CF-4595-800F-43905EC20C91}"/>
    <cellStyle name="Normal 5 2 2 3 2 3 4 3" xfId="18671" xr:uid="{70492AFA-DC6C-46CC-9FED-AFE593D54862}"/>
    <cellStyle name="Normal 5 2 2 3 2 3 5" xfId="19612" xr:uid="{0DF75FE8-1B4C-4F6A-AD28-1F72865442F6}"/>
    <cellStyle name="Normal 5 2 2 3 2 3 6" xfId="10313" xr:uid="{8C83AE44-BEC2-4D44-B92E-C1FD08AE0BFB}"/>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2 2 2" xfId="26387" xr:uid="{BA152140-FCDF-4ACA-A80D-059CB26708D8}"/>
    <cellStyle name="Normal 5 2 2 3 2 4 2 2 3" xfId="17088" xr:uid="{98EFCDAF-D40F-47EA-A1CD-C4E74F30364B}"/>
    <cellStyle name="Normal 5 2 2 3 2 4 2 3" xfId="22170" xr:uid="{98E3C1F7-9D9D-4DA8-AE28-1D582DE1D668}"/>
    <cellStyle name="Normal 5 2 2 3 2 4 2 4" xfId="12871" xr:uid="{A4A5B626-1E9A-43A3-BAC6-9B4A279183D2}"/>
    <cellStyle name="Normal 5 2 2 3 2 4 3" xfId="5617" xr:uid="{00000000-0005-0000-0000-0000B3170000}"/>
    <cellStyle name="Normal 5 2 2 3 2 4 3 2" xfId="24242" xr:uid="{B1B875C2-8AA1-4E92-A14B-C5C48F06DE6E}"/>
    <cellStyle name="Normal 5 2 2 3 2 4 3 3" xfId="14943" xr:uid="{79B7FC79-AF9F-4C22-BD17-A9C26686AE8D}"/>
    <cellStyle name="Normal 5 2 2 3 2 4 4" xfId="20025" xr:uid="{51A6E4FB-86FA-443D-B32D-4396A445979B}"/>
    <cellStyle name="Normal 5 2 2 3 2 4 5" xfId="10726" xr:uid="{61DE8286-7BD5-4755-B246-5919788DAD2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2 2 2" xfId="26800" xr:uid="{1B7B8B5E-960E-49C7-BED2-6FA918E06D42}"/>
    <cellStyle name="Normal 5 2 2 3 2 5 2 2 3" xfId="17501" xr:uid="{763EBECB-AC78-446C-AB2A-B8A9211114E9}"/>
    <cellStyle name="Normal 5 2 2 3 2 5 2 3" xfId="22583" xr:uid="{1133356C-388B-4D30-9250-82043060DD63}"/>
    <cellStyle name="Normal 5 2 2 3 2 5 2 4" xfId="13284" xr:uid="{974A7ADE-AE6C-44AE-8B60-42C385448E6F}"/>
    <cellStyle name="Normal 5 2 2 3 2 5 3" xfId="6030" xr:uid="{00000000-0005-0000-0000-0000B7170000}"/>
    <cellStyle name="Normal 5 2 2 3 2 5 3 2" xfId="24655" xr:uid="{DCC30AFF-55A3-4B9F-9F77-DB981FFED8B6}"/>
    <cellStyle name="Normal 5 2 2 3 2 5 3 3" xfId="15356" xr:uid="{124184E1-7E13-4EC3-B297-02A80C0A4836}"/>
    <cellStyle name="Normal 5 2 2 3 2 5 4" xfId="20438" xr:uid="{4D3AFBDB-D455-43AA-B8FB-9E37F0722F87}"/>
    <cellStyle name="Normal 5 2 2 3 2 5 5" xfId="11139" xr:uid="{89CC8C7C-9F9B-44A6-B8EB-638F72BBE9F2}"/>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2 2 2" xfId="27213" xr:uid="{62C543EC-A851-48B8-9F38-057425393E46}"/>
    <cellStyle name="Normal 5 2 2 3 2 6 2 2 3" xfId="17914" xr:uid="{C0F9250A-9E82-414A-B424-113C4B55B224}"/>
    <cellStyle name="Normal 5 2 2 3 2 6 2 3" xfId="22996" xr:uid="{B6C5E4C8-4A4B-42BC-B67C-C84626F15602}"/>
    <cellStyle name="Normal 5 2 2 3 2 6 2 4" xfId="13697" xr:uid="{D4EB00ED-1851-4CF1-A4DB-94F86CDD3C18}"/>
    <cellStyle name="Normal 5 2 2 3 2 6 3" xfId="6443" xr:uid="{00000000-0005-0000-0000-0000BB170000}"/>
    <cellStyle name="Normal 5 2 2 3 2 6 3 2" xfId="25068" xr:uid="{4A8342CB-6719-4434-8998-BB5E7E64F5EE}"/>
    <cellStyle name="Normal 5 2 2 3 2 6 3 3" xfId="15769" xr:uid="{1BD49052-B13E-4A0A-95CA-7CC0FEC35AF4}"/>
    <cellStyle name="Normal 5 2 2 3 2 6 4" xfId="20851" xr:uid="{4D6EB13F-628A-458A-903C-C78E8CD50970}"/>
    <cellStyle name="Normal 5 2 2 3 2 6 5" xfId="11552" xr:uid="{EA3D7A48-7E74-4BA7-9C4B-38206A2E817C}"/>
    <cellStyle name="Normal 5 2 2 3 2 7" xfId="2573" xr:uid="{00000000-0005-0000-0000-0000BC170000}"/>
    <cellStyle name="Normal 5 2 2 3 2 7 2" xfId="6856" xr:uid="{00000000-0005-0000-0000-0000BD170000}"/>
    <cellStyle name="Normal 5 2 2 3 2 7 2 2" xfId="25481" xr:uid="{3FFC966D-F81B-443C-9250-AD4BC0B07636}"/>
    <cellStyle name="Normal 5 2 2 3 2 7 2 3" xfId="16182" xr:uid="{D49D1E22-8B7A-4CE6-869E-9F272468968B}"/>
    <cellStyle name="Normal 5 2 2 3 2 7 3" xfId="21264" xr:uid="{0B94913D-FD23-4B00-BC4A-9FCCFCE68B0B}"/>
    <cellStyle name="Normal 5 2 2 3 2 7 4" xfId="11965" xr:uid="{F5A5594B-F4D5-49F8-940E-961C9ACD0394}"/>
    <cellStyle name="Normal 5 2 2 3 2 8" xfId="4791" xr:uid="{00000000-0005-0000-0000-0000BE170000}"/>
    <cellStyle name="Normal 5 2 2 3 2 8 2" xfId="23416" xr:uid="{5EFFFAC7-B2F6-4068-B50E-C1C35D7722E1}"/>
    <cellStyle name="Normal 5 2 2 3 2 8 3" xfId="14117" xr:uid="{BE3E2841-A39A-401D-B709-8C87527801B7}"/>
    <cellStyle name="Normal 5 2 2 3 2 9" xfId="8931" xr:uid="{E27E09D3-2564-4B82-8EA4-A27330B6B436}"/>
    <cellStyle name="Normal 5 2 2 3 2 9 2" xfId="27554" xr:uid="{A671EC43-2FC5-4737-B258-288E858C311A}"/>
    <cellStyle name="Normal 5 2 2 3 2 9 3" xfId="18255" xr:uid="{3953AC83-EB5A-4B23-99F1-1AE3F9FD1BDA}"/>
    <cellStyle name="Normal 5 2 2 3 3" xfId="420" xr:uid="{00000000-0005-0000-0000-0000BF170000}"/>
    <cellStyle name="Normal 5 2 2 3 3 10" xfId="9902" xr:uid="{7F2CE681-4F80-44DB-81B2-4628F5EF624B}"/>
    <cellStyle name="Normal 5 2 2 3 3 2" xfId="894" xr:uid="{00000000-0005-0000-0000-0000C0170000}"/>
    <cellStyle name="Normal 5 2 2 3 3 2 2" xfId="3129" xr:uid="{00000000-0005-0000-0000-0000C1170000}"/>
    <cellStyle name="Normal 5 2 2 3 3 2 2 2" xfId="7351" xr:uid="{00000000-0005-0000-0000-0000C2170000}"/>
    <cellStyle name="Normal 5 2 2 3 3 2 2 2 2" xfId="25976" xr:uid="{D255B4DD-08FC-4FD3-AC42-015C7634E63D}"/>
    <cellStyle name="Normal 5 2 2 3 3 2 2 2 3" xfId="16677" xr:uid="{2B2DF7D4-05F3-4446-A8BA-7BB760AD07DB}"/>
    <cellStyle name="Normal 5 2 2 3 3 2 2 3" xfId="21759" xr:uid="{8232D2FB-B760-4C07-8530-9366E15567E7}"/>
    <cellStyle name="Normal 5 2 2 3 3 2 2 4" xfId="12460" xr:uid="{FEA9635E-8F02-4EFE-9C22-D741A7F0D5C6}"/>
    <cellStyle name="Normal 5 2 2 3 3 2 3" xfId="5206" xr:uid="{00000000-0005-0000-0000-0000C3170000}"/>
    <cellStyle name="Normal 5 2 2 3 3 2 3 2" xfId="23831" xr:uid="{53CBC2BB-7C57-480F-92B3-E20C3B6F7B9A}"/>
    <cellStyle name="Normal 5 2 2 3 3 2 3 3" xfId="14532" xr:uid="{1BE19EAA-EEE0-42DE-997B-B0AC3594E344}"/>
    <cellStyle name="Normal 5 2 2 3 3 2 4" xfId="9460" xr:uid="{423E0BE9-24F3-4EF0-8962-2565594BF831}"/>
    <cellStyle name="Normal 5 2 2 3 3 2 4 2" xfId="28074" xr:uid="{61A65461-FD05-4EC7-9966-24CAF62E941E}"/>
    <cellStyle name="Normal 5 2 2 3 3 2 4 3" xfId="18775" xr:uid="{7972559C-7810-4F8B-BF07-A2A74236BEF0}"/>
    <cellStyle name="Normal 5 2 2 3 3 2 5" xfId="19614" xr:uid="{AC1AA46E-4335-4955-B1D3-77728486DCCC}"/>
    <cellStyle name="Normal 5 2 2 3 3 2 6" xfId="10315" xr:uid="{EB69684F-9C73-4C3F-8B82-883C9B1B9336}"/>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2 2 2" xfId="26389" xr:uid="{76909468-F80C-4338-B4F0-A0ACD0548841}"/>
    <cellStyle name="Normal 5 2 2 3 3 3 2 2 3" xfId="17090" xr:uid="{BFBC6335-58D4-416F-B1D4-F4298376721C}"/>
    <cellStyle name="Normal 5 2 2 3 3 3 2 3" xfId="22172" xr:uid="{D0D894A1-E15B-4C2D-A0ED-0C0B5E295214}"/>
    <cellStyle name="Normal 5 2 2 3 3 3 2 4" xfId="12873" xr:uid="{39D57A22-515E-43B0-977F-C8A85123E7DD}"/>
    <cellStyle name="Normal 5 2 2 3 3 3 3" xfId="5619" xr:uid="{00000000-0005-0000-0000-0000C7170000}"/>
    <cellStyle name="Normal 5 2 2 3 3 3 3 2" xfId="24244" xr:uid="{2E571130-0AB5-4046-AF61-D5A79F1AA42D}"/>
    <cellStyle name="Normal 5 2 2 3 3 3 3 3" xfId="14945" xr:uid="{33525779-6474-48AF-AD02-1880BA2DE0F4}"/>
    <cellStyle name="Normal 5 2 2 3 3 3 4" xfId="20027" xr:uid="{4FA923AC-D2A2-4885-A4E5-52533B58B362}"/>
    <cellStyle name="Normal 5 2 2 3 3 3 5" xfId="10728" xr:uid="{91CFF8D9-B617-4061-AB66-2569054A247D}"/>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2 2 2" xfId="26802" xr:uid="{4DBC79DD-B59C-4F54-A5A0-AA0611782479}"/>
    <cellStyle name="Normal 5 2 2 3 3 4 2 2 3" xfId="17503" xr:uid="{EDB552DE-FBB1-4A4D-93E6-B7D619675487}"/>
    <cellStyle name="Normal 5 2 2 3 3 4 2 3" xfId="22585" xr:uid="{68B17246-7C1E-4699-BBF7-2BCAB4A57906}"/>
    <cellStyle name="Normal 5 2 2 3 3 4 2 4" xfId="13286" xr:uid="{DE062672-E8B0-4C3A-9C96-7D46C6FBD022}"/>
    <cellStyle name="Normal 5 2 2 3 3 4 3" xfId="6032" xr:uid="{00000000-0005-0000-0000-0000CB170000}"/>
    <cellStyle name="Normal 5 2 2 3 3 4 3 2" xfId="24657" xr:uid="{D06B3990-D5DB-4C86-8FC5-86E2034EB4B6}"/>
    <cellStyle name="Normal 5 2 2 3 3 4 3 3" xfId="15358" xr:uid="{91615A9C-0C68-4847-A8AB-206BEBF5C422}"/>
    <cellStyle name="Normal 5 2 2 3 3 4 4" xfId="20440" xr:uid="{036B9162-B41D-4460-8AD2-927895D2E377}"/>
    <cellStyle name="Normal 5 2 2 3 3 4 5" xfId="11141" xr:uid="{7CF60C2C-B32E-4757-9E46-056325A870FE}"/>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2 2 2" xfId="27215" xr:uid="{9FD20CE7-66D4-43D9-AD75-777A08ACC69D}"/>
    <cellStyle name="Normal 5 2 2 3 3 5 2 2 3" xfId="17916" xr:uid="{50B8F6BC-6187-4A71-BE8B-BC1E23451D84}"/>
    <cellStyle name="Normal 5 2 2 3 3 5 2 3" xfId="22998" xr:uid="{38DE849B-667E-4E8D-AF86-2CB1DFF2B790}"/>
    <cellStyle name="Normal 5 2 2 3 3 5 2 4" xfId="13699" xr:uid="{78181264-A568-4FCF-8D2C-D8F20875D00A}"/>
    <cellStyle name="Normal 5 2 2 3 3 5 3" xfId="6445" xr:uid="{00000000-0005-0000-0000-0000CF170000}"/>
    <cellStyle name="Normal 5 2 2 3 3 5 3 2" xfId="25070" xr:uid="{59D17FF7-755B-491B-A2EE-A57C4E7E3D6F}"/>
    <cellStyle name="Normal 5 2 2 3 3 5 3 3" xfId="15771" xr:uid="{ABCA5FA7-11A9-4714-9226-6DF2CBE1F339}"/>
    <cellStyle name="Normal 5 2 2 3 3 5 4" xfId="20853" xr:uid="{050414F0-8EBA-4DBA-9E8B-591871024A02}"/>
    <cellStyle name="Normal 5 2 2 3 3 5 5" xfId="11554" xr:uid="{04E81250-CDE9-4BC9-AC52-0F8AFA33184A}"/>
    <cellStyle name="Normal 5 2 2 3 3 6" xfId="2575" xr:uid="{00000000-0005-0000-0000-0000D0170000}"/>
    <cellStyle name="Normal 5 2 2 3 3 6 2" xfId="6858" xr:uid="{00000000-0005-0000-0000-0000D1170000}"/>
    <cellStyle name="Normal 5 2 2 3 3 6 2 2" xfId="25483" xr:uid="{C03BA305-EC39-467F-A485-03759AB0549E}"/>
    <cellStyle name="Normal 5 2 2 3 3 6 2 3" xfId="16184" xr:uid="{4C173524-0071-47A0-8CF5-73AC14E59844}"/>
    <cellStyle name="Normal 5 2 2 3 3 6 3" xfId="21266" xr:uid="{FFBFDBFA-E586-4E51-AD32-DD796BB7A7A2}"/>
    <cellStyle name="Normal 5 2 2 3 3 6 4" xfId="11967" xr:uid="{37948027-CB60-429E-89AB-631347A90341}"/>
    <cellStyle name="Normal 5 2 2 3 3 7" xfId="4793" xr:uid="{00000000-0005-0000-0000-0000D2170000}"/>
    <cellStyle name="Normal 5 2 2 3 3 7 2" xfId="23418" xr:uid="{73355C7F-9343-407F-9CB5-0FCF66061BD0}"/>
    <cellStyle name="Normal 5 2 2 3 3 7 3" xfId="14119" xr:uid="{2191C4A9-4494-477D-87B8-6BB9D76F4401}"/>
    <cellStyle name="Normal 5 2 2 3 3 8" xfId="9035" xr:uid="{6AC57173-16AF-4847-A277-E4254AACDA36}"/>
    <cellStyle name="Normal 5 2 2 3 3 8 2" xfId="27658" xr:uid="{2AFA14E3-6A35-4278-85FE-5FEED7504AAA}"/>
    <cellStyle name="Normal 5 2 2 3 3 8 3" xfId="18359" xr:uid="{95A0FF0B-C47B-4659-915B-7F231390378B}"/>
    <cellStyle name="Normal 5 2 2 3 3 9" xfId="19201" xr:uid="{AEF89042-48B3-4CEB-9B9F-D9B5197569E6}"/>
    <cellStyle name="Normal 5 2 2 3 4" xfId="891" xr:uid="{00000000-0005-0000-0000-0000D3170000}"/>
    <cellStyle name="Normal 5 2 2 3 4 2" xfId="3126" xr:uid="{00000000-0005-0000-0000-0000D4170000}"/>
    <cellStyle name="Normal 5 2 2 3 4 2 2" xfId="7348" xr:uid="{00000000-0005-0000-0000-0000D5170000}"/>
    <cellStyle name="Normal 5 2 2 3 4 2 2 2" xfId="25973" xr:uid="{11C8FD89-7DD5-4272-A06B-A40C0DCE5E58}"/>
    <cellStyle name="Normal 5 2 2 3 4 2 2 3" xfId="16674" xr:uid="{32B31220-91AC-4C2A-B758-6E9D010762ED}"/>
    <cellStyle name="Normal 5 2 2 3 4 2 3" xfId="21756" xr:uid="{45066B41-FF75-4608-BE3E-FB303A522DFD}"/>
    <cellStyle name="Normal 5 2 2 3 4 2 4" xfId="12457" xr:uid="{C5908FF1-3D77-4C42-AFBA-88FE1454F0E7}"/>
    <cellStyle name="Normal 5 2 2 3 4 3" xfId="5203" xr:uid="{00000000-0005-0000-0000-0000D6170000}"/>
    <cellStyle name="Normal 5 2 2 3 4 3 2" xfId="23828" xr:uid="{BE29B4FE-4167-42B5-812D-8F43ED182907}"/>
    <cellStyle name="Normal 5 2 2 3 4 3 3" xfId="14529" xr:uid="{F39BAC00-CCEF-481A-9FC4-AA7C21A4BE1F}"/>
    <cellStyle name="Normal 5 2 2 3 4 4" xfId="9253" xr:uid="{A5C3AAF9-67DD-41B1-A0BF-05B69F588F71}"/>
    <cellStyle name="Normal 5 2 2 3 4 4 2" xfId="27867" xr:uid="{0ACA73D0-B974-4C86-9BBA-82DC48AE40D7}"/>
    <cellStyle name="Normal 5 2 2 3 4 4 3" xfId="18568" xr:uid="{0158655B-2F30-495B-A616-517D9C221225}"/>
    <cellStyle name="Normal 5 2 2 3 4 5" xfId="19611" xr:uid="{9ADF0775-E270-44F0-8A22-A7BD3A2BEDC2}"/>
    <cellStyle name="Normal 5 2 2 3 4 6" xfId="10312" xr:uid="{AF572E38-1FD1-4E1E-AA6F-FCB3BFE960B5}"/>
    <cellStyle name="Normal 5 2 2 3 5" xfId="1309" xr:uid="{00000000-0005-0000-0000-0000D7170000}"/>
    <cellStyle name="Normal 5 2 2 3 5 2" xfId="3539" xr:uid="{00000000-0005-0000-0000-0000D8170000}"/>
    <cellStyle name="Normal 5 2 2 3 5 2 2" xfId="7761" xr:uid="{00000000-0005-0000-0000-0000D9170000}"/>
    <cellStyle name="Normal 5 2 2 3 5 2 2 2" xfId="26386" xr:uid="{005D016C-0963-474C-ACE6-B0C3153DE108}"/>
    <cellStyle name="Normal 5 2 2 3 5 2 2 3" xfId="17087" xr:uid="{6764C0B6-9EDB-481C-9497-A7DCC49812C7}"/>
    <cellStyle name="Normal 5 2 2 3 5 2 3" xfId="22169" xr:uid="{7B528D7D-D9BC-4962-BC15-062AB4EBF527}"/>
    <cellStyle name="Normal 5 2 2 3 5 2 4" xfId="12870" xr:uid="{FAF17EFE-39EB-48BB-B948-1CEAC0382B2C}"/>
    <cellStyle name="Normal 5 2 2 3 5 3" xfId="5616" xr:uid="{00000000-0005-0000-0000-0000DA170000}"/>
    <cellStyle name="Normal 5 2 2 3 5 3 2" xfId="24241" xr:uid="{AA969DB2-3255-4DDE-A2FA-D5FB5F8F91B0}"/>
    <cellStyle name="Normal 5 2 2 3 5 3 3" xfId="14942" xr:uid="{391DBD3E-549E-4C9C-A86B-EAFE75DA69C3}"/>
    <cellStyle name="Normal 5 2 2 3 5 4" xfId="20024" xr:uid="{2073DC55-5025-49F3-989C-F3E9803FC431}"/>
    <cellStyle name="Normal 5 2 2 3 5 5" xfId="10725" xr:uid="{595C3E61-E331-46B3-902F-E98D3CFE57C4}"/>
    <cellStyle name="Normal 5 2 2 3 6" xfId="1722" xr:uid="{00000000-0005-0000-0000-0000DB170000}"/>
    <cellStyle name="Normal 5 2 2 3 6 2" xfId="3952" xr:uid="{00000000-0005-0000-0000-0000DC170000}"/>
    <cellStyle name="Normal 5 2 2 3 6 2 2" xfId="8174" xr:uid="{00000000-0005-0000-0000-0000DD170000}"/>
    <cellStyle name="Normal 5 2 2 3 6 2 2 2" xfId="26799" xr:uid="{A5A55DE2-87DB-452C-AAA7-804283BC8FD6}"/>
    <cellStyle name="Normal 5 2 2 3 6 2 2 3" xfId="17500" xr:uid="{F950154A-6341-4636-AF73-A107C32E10D3}"/>
    <cellStyle name="Normal 5 2 2 3 6 2 3" xfId="22582" xr:uid="{DA5AFAB2-C5A5-47A6-A57A-5A0F301D1822}"/>
    <cellStyle name="Normal 5 2 2 3 6 2 4" xfId="13283" xr:uid="{094D71C9-A82D-4333-AB00-B43DF630EA38}"/>
    <cellStyle name="Normal 5 2 2 3 6 3" xfId="6029" xr:uid="{00000000-0005-0000-0000-0000DE170000}"/>
    <cellStyle name="Normal 5 2 2 3 6 3 2" xfId="24654" xr:uid="{99A38E1B-5F54-4975-9803-91B4820214CE}"/>
    <cellStyle name="Normal 5 2 2 3 6 3 3" xfId="15355" xr:uid="{F9212CCB-6F99-446B-9704-5DF4ED6FECF1}"/>
    <cellStyle name="Normal 5 2 2 3 6 4" xfId="20437" xr:uid="{61550616-9913-41B0-A9D0-265B201D2E08}"/>
    <cellStyle name="Normal 5 2 2 3 6 5" xfId="11138" xr:uid="{E798F15A-BD27-44DB-8FDF-8FA80AE79631}"/>
    <cellStyle name="Normal 5 2 2 3 7" xfId="2136" xr:uid="{00000000-0005-0000-0000-0000DF170000}"/>
    <cellStyle name="Normal 5 2 2 3 7 2" xfId="4365" xr:uid="{00000000-0005-0000-0000-0000E0170000}"/>
    <cellStyle name="Normal 5 2 2 3 7 2 2" xfId="8587" xr:uid="{00000000-0005-0000-0000-0000E1170000}"/>
    <cellStyle name="Normal 5 2 2 3 7 2 2 2" xfId="27212" xr:uid="{4AC5596F-CCE6-45A3-84ED-C314EDA38AA4}"/>
    <cellStyle name="Normal 5 2 2 3 7 2 2 3" xfId="17913" xr:uid="{78098B7A-EDEF-463B-8E02-D3A99BEA8C38}"/>
    <cellStyle name="Normal 5 2 2 3 7 2 3" xfId="22995" xr:uid="{55C56693-3F48-439A-B088-72FB2D20264A}"/>
    <cellStyle name="Normal 5 2 2 3 7 2 4" xfId="13696" xr:uid="{F64B9B7B-D376-46E8-8CF6-A8BB7733737C}"/>
    <cellStyle name="Normal 5 2 2 3 7 3" xfId="6442" xr:uid="{00000000-0005-0000-0000-0000E2170000}"/>
    <cellStyle name="Normal 5 2 2 3 7 3 2" xfId="25067" xr:uid="{632AD30F-57B0-4204-98CD-03F408127527}"/>
    <cellStyle name="Normal 5 2 2 3 7 3 3" xfId="15768" xr:uid="{C3ACF3D9-E4D3-4610-AEDB-F224A373250E}"/>
    <cellStyle name="Normal 5 2 2 3 7 4" xfId="20850" xr:uid="{83FF4387-3CD3-4A44-B450-50CABF16BF5F}"/>
    <cellStyle name="Normal 5 2 2 3 7 5" xfId="11551" xr:uid="{6CB4FF61-1364-43B5-84C5-A8F32B5FD97A}"/>
    <cellStyle name="Normal 5 2 2 3 8" xfId="2572" xr:uid="{00000000-0005-0000-0000-0000E3170000}"/>
    <cellStyle name="Normal 5 2 2 3 8 2" xfId="6855" xr:uid="{00000000-0005-0000-0000-0000E4170000}"/>
    <cellStyle name="Normal 5 2 2 3 8 2 2" xfId="25480" xr:uid="{EE7A2FA3-6B91-4E1A-8608-5CA817154845}"/>
    <cellStyle name="Normal 5 2 2 3 8 2 3" xfId="16181" xr:uid="{EAC7B9FE-CF46-41AB-B52C-2EC3552729BD}"/>
    <cellStyle name="Normal 5 2 2 3 8 3" xfId="21263" xr:uid="{1B1C44DB-EAC9-4A9B-84C1-73BAC03A6D17}"/>
    <cellStyle name="Normal 5 2 2 3 8 4" xfId="11964" xr:uid="{507E1E9E-E960-4E7C-8A8E-5141E9BD0481}"/>
    <cellStyle name="Normal 5 2 2 3 9" xfId="4790" xr:uid="{00000000-0005-0000-0000-0000E5170000}"/>
    <cellStyle name="Normal 5 2 2 3 9 2" xfId="23415" xr:uid="{F2BC0E08-6067-48DC-BB0D-841AC7E7FFCB}"/>
    <cellStyle name="Normal 5 2 2 3 9 3" xfId="14116" xr:uid="{6A2FB945-EF59-482D-A614-B1DCC24A1C06}"/>
    <cellStyle name="Normal 5 2 2 4" xfId="421" xr:uid="{00000000-0005-0000-0000-0000E6170000}"/>
    <cellStyle name="Normal 5 2 2 4 10" xfId="19202" xr:uid="{8C8E38F7-1CAE-487B-9816-01A02729BE7B}"/>
    <cellStyle name="Normal 5 2 2 4 11" xfId="9903" xr:uid="{8D554E32-36D1-476E-8558-2FDDBA3C317B}"/>
    <cellStyle name="Normal 5 2 2 4 2" xfId="422" xr:uid="{00000000-0005-0000-0000-0000E7170000}"/>
    <cellStyle name="Normal 5 2 2 4 2 10" xfId="9904" xr:uid="{724E6CA8-55DC-43B7-A53D-C379A275425B}"/>
    <cellStyle name="Normal 5 2 2 4 2 2" xfId="896" xr:uid="{00000000-0005-0000-0000-0000E8170000}"/>
    <cellStyle name="Normal 5 2 2 4 2 2 2" xfId="3131" xr:uid="{00000000-0005-0000-0000-0000E9170000}"/>
    <cellStyle name="Normal 5 2 2 4 2 2 2 2" xfId="7353" xr:uid="{00000000-0005-0000-0000-0000EA170000}"/>
    <cellStyle name="Normal 5 2 2 4 2 2 2 2 2" xfId="25978" xr:uid="{B505CFEB-074B-4BB1-AC13-2E9D3FF6DC65}"/>
    <cellStyle name="Normal 5 2 2 4 2 2 2 2 3" xfId="16679" xr:uid="{38861195-E1D0-4825-A021-D67B58E5C40C}"/>
    <cellStyle name="Normal 5 2 2 4 2 2 2 3" xfId="21761" xr:uid="{0AF97FD7-2179-4945-8BB5-4EF6FB1C3F69}"/>
    <cellStyle name="Normal 5 2 2 4 2 2 2 4" xfId="12462" xr:uid="{59F13427-307F-4CE8-9139-AEC084987F71}"/>
    <cellStyle name="Normal 5 2 2 4 2 2 3" xfId="5208" xr:uid="{00000000-0005-0000-0000-0000EB170000}"/>
    <cellStyle name="Normal 5 2 2 4 2 2 3 2" xfId="23833" xr:uid="{CF9F36D5-FA70-4107-924F-BB5F53FF8370}"/>
    <cellStyle name="Normal 5 2 2 4 2 2 3 3" xfId="14534" xr:uid="{3F2B5D49-7278-4D63-B863-C2EA03C0737B}"/>
    <cellStyle name="Normal 5 2 2 4 2 2 4" xfId="9488" xr:uid="{2997B11D-E810-48A4-BD3C-4498479B295E}"/>
    <cellStyle name="Normal 5 2 2 4 2 2 4 2" xfId="28102" xr:uid="{1C33C668-6A8E-4DB6-9C9D-DBE212C5C87F}"/>
    <cellStyle name="Normal 5 2 2 4 2 2 4 3" xfId="18803" xr:uid="{F0B9788C-5BC7-4ABD-98C0-2FDA32F60B11}"/>
    <cellStyle name="Normal 5 2 2 4 2 2 5" xfId="19616" xr:uid="{CE133A91-FB0C-418A-8402-0B756C407FC3}"/>
    <cellStyle name="Normal 5 2 2 4 2 2 6" xfId="10317" xr:uid="{2A1C8F3B-B42B-43F5-8B2E-4223E38A3016}"/>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2 2 2" xfId="26391" xr:uid="{2600B618-9184-467E-A730-41A37F349CA5}"/>
    <cellStyle name="Normal 5 2 2 4 2 3 2 2 3" xfId="17092" xr:uid="{75AE8775-8603-444A-8836-7A3717EA1EA3}"/>
    <cellStyle name="Normal 5 2 2 4 2 3 2 3" xfId="22174" xr:uid="{4260107C-A9B8-4A98-9A04-C5EF5DC80D78}"/>
    <cellStyle name="Normal 5 2 2 4 2 3 2 4" xfId="12875" xr:uid="{6B2E1F03-DCFE-4596-BA22-4B6619857D98}"/>
    <cellStyle name="Normal 5 2 2 4 2 3 3" xfId="5621" xr:uid="{00000000-0005-0000-0000-0000EF170000}"/>
    <cellStyle name="Normal 5 2 2 4 2 3 3 2" xfId="24246" xr:uid="{536D5AC3-7ECF-4ED1-A777-F07236A5371C}"/>
    <cellStyle name="Normal 5 2 2 4 2 3 3 3" xfId="14947" xr:uid="{3AE303EB-9487-4175-A0AF-5062934C803F}"/>
    <cellStyle name="Normal 5 2 2 4 2 3 4" xfId="20029" xr:uid="{85D3A6B3-8DCF-4DDD-9903-9051936068FD}"/>
    <cellStyle name="Normal 5 2 2 4 2 3 5" xfId="10730" xr:uid="{A97A5CE5-D681-4E67-B3F1-334244901E97}"/>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2 2 2" xfId="26804" xr:uid="{98E1086C-5C6E-48F8-9CAD-51BF0A2C7F6A}"/>
    <cellStyle name="Normal 5 2 2 4 2 4 2 2 3" xfId="17505" xr:uid="{70330D6C-CF1A-4DF2-A25F-B524F58CEFC0}"/>
    <cellStyle name="Normal 5 2 2 4 2 4 2 3" xfId="22587" xr:uid="{B7966DDF-EA30-4D64-A979-5665A7F122E1}"/>
    <cellStyle name="Normal 5 2 2 4 2 4 2 4" xfId="13288" xr:uid="{2FB19957-7B8F-44CD-AA93-2BAE7BDD4CD7}"/>
    <cellStyle name="Normal 5 2 2 4 2 4 3" xfId="6034" xr:uid="{00000000-0005-0000-0000-0000F3170000}"/>
    <cellStyle name="Normal 5 2 2 4 2 4 3 2" xfId="24659" xr:uid="{2054AD4A-0D4F-43BD-886F-E08EAD4C3BBB}"/>
    <cellStyle name="Normal 5 2 2 4 2 4 3 3" xfId="15360" xr:uid="{A6E15F7E-872A-46EE-9994-9BD0DA1BC7BD}"/>
    <cellStyle name="Normal 5 2 2 4 2 4 4" xfId="20442" xr:uid="{5CCBC41C-4F4A-4D6D-86F5-37547DEC04F0}"/>
    <cellStyle name="Normal 5 2 2 4 2 4 5" xfId="11143" xr:uid="{AA32F6D9-9A8B-4869-9DC6-1AC0D35AACF2}"/>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2 2 2" xfId="27217" xr:uid="{B9D37F50-055B-4F93-94C8-8E84B495B3AF}"/>
    <cellStyle name="Normal 5 2 2 4 2 5 2 2 3" xfId="17918" xr:uid="{101A61B4-DD12-455C-A9AE-5E436A393F75}"/>
    <cellStyle name="Normal 5 2 2 4 2 5 2 3" xfId="23000" xr:uid="{BE6A3BBE-181D-489A-B26B-907CD8E703A3}"/>
    <cellStyle name="Normal 5 2 2 4 2 5 2 4" xfId="13701" xr:uid="{AFF64A22-A458-42C5-90F6-327E60F4CABB}"/>
    <cellStyle name="Normal 5 2 2 4 2 5 3" xfId="6447" xr:uid="{00000000-0005-0000-0000-0000F7170000}"/>
    <cellStyle name="Normal 5 2 2 4 2 5 3 2" xfId="25072" xr:uid="{98B4B3FD-A9CA-4360-A67A-F38383C203D0}"/>
    <cellStyle name="Normal 5 2 2 4 2 5 3 3" xfId="15773" xr:uid="{18C7EFB3-B7BF-4BF9-8FA5-E143B4DCD752}"/>
    <cellStyle name="Normal 5 2 2 4 2 5 4" xfId="20855" xr:uid="{DD540F3A-F476-4F0C-872C-0DA1B278EA3D}"/>
    <cellStyle name="Normal 5 2 2 4 2 5 5" xfId="11556" xr:uid="{A3701C8A-245C-44EF-B9FB-A750356B702D}"/>
    <cellStyle name="Normal 5 2 2 4 2 6" xfId="2577" xr:uid="{00000000-0005-0000-0000-0000F8170000}"/>
    <cellStyle name="Normal 5 2 2 4 2 6 2" xfId="6860" xr:uid="{00000000-0005-0000-0000-0000F9170000}"/>
    <cellStyle name="Normal 5 2 2 4 2 6 2 2" xfId="25485" xr:uid="{FA507727-3825-43DC-9671-33BBCA05865B}"/>
    <cellStyle name="Normal 5 2 2 4 2 6 2 3" xfId="16186" xr:uid="{1C3FD928-0B8F-4F1A-B236-FBC500F815A7}"/>
    <cellStyle name="Normal 5 2 2 4 2 6 3" xfId="21268" xr:uid="{DF47A3A2-763B-46F0-B737-B2458AFCDD25}"/>
    <cellStyle name="Normal 5 2 2 4 2 6 4" xfId="11969" xr:uid="{B6A1ED95-F245-4EAC-8C73-C10498E17951}"/>
    <cellStyle name="Normal 5 2 2 4 2 7" xfId="4795" xr:uid="{00000000-0005-0000-0000-0000FA170000}"/>
    <cellStyle name="Normal 5 2 2 4 2 7 2" xfId="23420" xr:uid="{12757DA4-6D4B-4006-B70A-AB171D533E30}"/>
    <cellStyle name="Normal 5 2 2 4 2 7 3" xfId="14121" xr:uid="{A5D60174-50DA-4710-B184-55053B6945E8}"/>
    <cellStyle name="Normal 5 2 2 4 2 8" xfId="9063" xr:uid="{3B1AA107-8D7F-4938-A60C-EED41E9B9A2A}"/>
    <cellStyle name="Normal 5 2 2 4 2 8 2" xfId="27686" xr:uid="{CF6E0DF2-0AE0-469E-801B-BDAD4926740A}"/>
    <cellStyle name="Normal 5 2 2 4 2 8 3" xfId="18387" xr:uid="{D2C44F5B-5415-40EE-A438-030BDAA7B3ED}"/>
    <cellStyle name="Normal 5 2 2 4 2 9" xfId="19203" xr:uid="{0B9E2C7B-0CDD-4C7A-BC52-AB07F769EAAD}"/>
    <cellStyle name="Normal 5 2 2 4 3" xfId="895" xr:uid="{00000000-0005-0000-0000-0000FB170000}"/>
    <cellStyle name="Normal 5 2 2 4 3 2" xfId="3130" xr:uid="{00000000-0005-0000-0000-0000FC170000}"/>
    <cellStyle name="Normal 5 2 2 4 3 2 2" xfId="7352" xr:uid="{00000000-0005-0000-0000-0000FD170000}"/>
    <cellStyle name="Normal 5 2 2 4 3 2 2 2" xfId="25977" xr:uid="{7BE6AE12-70D5-4E65-B8A6-772F2C6AADFF}"/>
    <cellStyle name="Normal 5 2 2 4 3 2 2 3" xfId="16678" xr:uid="{C4A08341-0E77-4C5F-9BDD-905B5C18367F}"/>
    <cellStyle name="Normal 5 2 2 4 3 2 3" xfId="21760" xr:uid="{3D8D0875-61BB-47C2-B79A-31A8B5EB5547}"/>
    <cellStyle name="Normal 5 2 2 4 3 2 4" xfId="12461" xr:uid="{6E9D0934-F3B6-4658-82BD-9563070FDE4F}"/>
    <cellStyle name="Normal 5 2 2 4 3 3" xfId="5207" xr:uid="{00000000-0005-0000-0000-0000FE170000}"/>
    <cellStyle name="Normal 5 2 2 4 3 3 2" xfId="23832" xr:uid="{4BF56525-5CEF-461D-8CCF-16E5A4C38BAA}"/>
    <cellStyle name="Normal 5 2 2 4 3 3 3" xfId="14533" xr:uid="{BC986369-087E-49ED-9B15-45EDE0EE346A}"/>
    <cellStyle name="Normal 5 2 2 4 3 4" xfId="9281" xr:uid="{9304050F-95A7-4BE3-AD21-FEBB7D0875B2}"/>
    <cellStyle name="Normal 5 2 2 4 3 4 2" xfId="27895" xr:uid="{9C8805BD-481A-4650-9286-0AD501EC9198}"/>
    <cellStyle name="Normal 5 2 2 4 3 4 3" xfId="18596" xr:uid="{FACA2977-8263-40F8-9576-F187AEC6273F}"/>
    <cellStyle name="Normal 5 2 2 4 3 5" xfId="19615" xr:uid="{2DB1833B-D3A5-46C2-9A23-793B49D5D837}"/>
    <cellStyle name="Normal 5 2 2 4 3 6" xfId="10316" xr:uid="{8A67B601-5A5B-4210-A128-A24C4DA93622}"/>
    <cellStyle name="Normal 5 2 2 4 4" xfId="1313" xr:uid="{00000000-0005-0000-0000-0000FF170000}"/>
    <cellStyle name="Normal 5 2 2 4 4 2" xfId="3543" xr:uid="{00000000-0005-0000-0000-000000180000}"/>
    <cellStyle name="Normal 5 2 2 4 4 2 2" xfId="7765" xr:uid="{00000000-0005-0000-0000-000001180000}"/>
    <cellStyle name="Normal 5 2 2 4 4 2 2 2" xfId="26390" xr:uid="{F60BFB98-2477-4F81-AFAF-E475DE8F7355}"/>
    <cellStyle name="Normal 5 2 2 4 4 2 2 3" xfId="17091" xr:uid="{B99C921A-DD65-45FA-98A5-B7647BE69E71}"/>
    <cellStyle name="Normal 5 2 2 4 4 2 3" xfId="22173" xr:uid="{EB3435C5-00A7-4DE4-A783-FFF4D3F694B8}"/>
    <cellStyle name="Normal 5 2 2 4 4 2 4" xfId="12874" xr:uid="{ECD95452-F940-48C4-B386-1A12B85599E9}"/>
    <cellStyle name="Normal 5 2 2 4 4 3" xfId="5620" xr:uid="{00000000-0005-0000-0000-000002180000}"/>
    <cellStyle name="Normal 5 2 2 4 4 3 2" xfId="24245" xr:uid="{495345C3-8EC6-42BF-B5A9-8B5070393934}"/>
    <cellStyle name="Normal 5 2 2 4 4 3 3" xfId="14946" xr:uid="{3A46716D-86E6-4B1B-9D87-A7DCFC0C7C2F}"/>
    <cellStyle name="Normal 5 2 2 4 4 4" xfId="20028" xr:uid="{53761EE1-4F75-4AE4-92D9-4B0370BB50F2}"/>
    <cellStyle name="Normal 5 2 2 4 4 5" xfId="10729" xr:uid="{A7D932F0-1FE6-465D-9375-6E0EFF29767E}"/>
    <cellStyle name="Normal 5 2 2 4 5" xfId="1726" xr:uid="{00000000-0005-0000-0000-000003180000}"/>
    <cellStyle name="Normal 5 2 2 4 5 2" xfId="3956" xr:uid="{00000000-0005-0000-0000-000004180000}"/>
    <cellStyle name="Normal 5 2 2 4 5 2 2" xfId="8178" xr:uid="{00000000-0005-0000-0000-000005180000}"/>
    <cellStyle name="Normal 5 2 2 4 5 2 2 2" xfId="26803" xr:uid="{53161E70-9ED1-4C85-BC05-A76EF6BB133A}"/>
    <cellStyle name="Normal 5 2 2 4 5 2 2 3" xfId="17504" xr:uid="{F467993E-630E-4F88-AD0D-6B6BD2C7043B}"/>
    <cellStyle name="Normal 5 2 2 4 5 2 3" xfId="22586" xr:uid="{3E7FE950-C939-4A77-90AC-6CC19607FCAB}"/>
    <cellStyle name="Normal 5 2 2 4 5 2 4" xfId="13287" xr:uid="{1829D147-3F3D-428E-963D-42B7C1132A38}"/>
    <cellStyle name="Normal 5 2 2 4 5 3" xfId="6033" xr:uid="{00000000-0005-0000-0000-000006180000}"/>
    <cellStyle name="Normal 5 2 2 4 5 3 2" xfId="24658" xr:uid="{56EEA2F4-2C7F-486B-A6E4-867F295E85F2}"/>
    <cellStyle name="Normal 5 2 2 4 5 3 3" xfId="15359" xr:uid="{833BBA98-064B-4888-8C1B-B6470508DDF4}"/>
    <cellStyle name="Normal 5 2 2 4 5 4" xfId="20441" xr:uid="{D8E4CBE4-4675-4EFE-8C99-B1A9B557E50C}"/>
    <cellStyle name="Normal 5 2 2 4 5 5" xfId="11142" xr:uid="{4953B36F-65CB-48AB-9891-5D0E140ADDA1}"/>
    <cellStyle name="Normal 5 2 2 4 6" xfId="2140" xr:uid="{00000000-0005-0000-0000-000007180000}"/>
    <cellStyle name="Normal 5 2 2 4 6 2" xfId="4369" xr:uid="{00000000-0005-0000-0000-000008180000}"/>
    <cellStyle name="Normal 5 2 2 4 6 2 2" xfId="8591" xr:uid="{00000000-0005-0000-0000-000009180000}"/>
    <cellStyle name="Normal 5 2 2 4 6 2 2 2" xfId="27216" xr:uid="{BD5D9276-555A-4E13-BD0E-EE0933A14E75}"/>
    <cellStyle name="Normal 5 2 2 4 6 2 2 3" xfId="17917" xr:uid="{00B1A62F-CE81-4D3E-BB8A-F6F1F1421B3B}"/>
    <cellStyle name="Normal 5 2 2 4 6 2 3" xfId="22999" xr:uid="{C926C8AB-1272-4E84-B6B0-F9195538AFB9}"/>
    <cellStyle name="Normal 5 2 2 4 6 2 4" xfId="13700" xr:uid="{6CA1DFC6-AAE4-4CF4-AFC0-BC6D51EB1138}"/>
    <cellStyle name="Normal 5 2 2 4 6 3" xfId="6446" xr:uid="{00000000-0005-0000-0000-00000A180000}"/>
    <cellStyle name="Normal 5 2 2 4 6 3 2" xfId="25071" xr:uid="{68577A51-2BFE-45B2-8C60-CB39954A02FA}"/>
    <cellStyle name="Normal 5 2 2 4 6 3 3" xfId="15772" xr:uid="{BEAFE4D8-5598-429F-BC16-EF9E3A9CE74A}"/>
    <cellStyle name="Normal 5 2 2 4 6 4" xfId="20854" xr:uid="{963D2F1D-7CFF-41B6-B0A6-212C6053A226}"/>
    <cellStyle name="Normal 5 2 2 4 6 5" xfId="11555" xr:uid="{ABE4579F-3F4C-4054-BE51-DD6253ECFD38}"/>
    <cellStyle name="Normal 5 2 2 4 7" xfId="2576" xr:uid="{00000000-0005-0000-0000-00000B180000}"/>
    <cellStyle name="Normal 5 2 2 4 7 2" xfId="6859" xr:uid="{00000000-0005-0000-0000-00000C180000}"/>
    <cellStyle name="Normal 5 2 2 4 7 2 2" xfId="25484" xr:uid="{2F816EA9-1AA4-4A79-89FF-1440F788CF84}"/>
    <cellStyle name="Normal 5 2 2 4 7 2 3" xfId="16185" xr:uid="{26AE3247-7B78-4F82-9898-8A4818878E0D}"/>
    <cellStyle name="Normal 5 2 2 4 7 3" xfId="21267" xr:uid="{227AEA3F-AC1A-4D1E-A3C7-E12F599BD262}"/>
    <cellStyle name="Normal 5 2 2 4 7 4" xfId="11968" xr:uid="{0940400D-3F3D-427E-9143-8921E89E6215}"/>
    <cellStyle name="Normal 5 2 2 4 8" xfId="4794" xr:uid="{00000000-0005-0000-0000-00000D180000}"/>
    <cellStyle name="Normal 5 2 2 4 8 2" xfId="23419" xr:uid="{F1EA17F7-126D-46C4-AB54-5CDDA75A27C0}"/>
    <cellStyle name="Normal 5 2 2 4 8 3" xfId="14120" xr:uid="{8FFF1DA8-1BBA-4DBC-896F-0D10B728284C}"/>
    <cellStyle name="Normal 5 2 2 4 9" xfId="8856" xr:uid="{8A537EF5-BE1D-4B82-9546-B2DC1F74308F}"/>
    <cellStyle name="Normal 5 2 2 4 9 2" xfId="27479" xr:uid="{0F6E9B2C-C5AE-42A6-AD39-0448F78DB803}"/>
    <cellStyle name="Normal 5 2 2 4 9 3" xfId="18180" xr:uid="{F7F46C3D-BC1F-4FB0-AE68-B68378CD880F}"/>
    <cellStyle name="Normal 5 2 2 5" xfId="423" xr:uid="{00000000-0005-0000-0000-00000E180000}"/>
    <cellStyle name="Normal 5 2 2 5 10" xfId="9905" xr:uid="{F44DBCC9-D8DC-412C-8814-D758A1EC8827}"/>
    <cellStyle name="Normal 5 2 2 5 2" xfId="897" xr:uid="{00000000-0005-0000-0000-00000F180000}"/>
    <cellStyle name="Normal 5 2 2 5 2 2" xfId="3132" xr:uid="{00000000-0005-0000-0000-000010180000}"/>
    <cellStyle name="Normal 5 2 2 5 2 2 2" xfId="7354" xr:uid="{00000000-0005-0000-0000-000011180000}"/>
    <cellStyle name="Normal 5 2 2 5 2 2 2 2" xfId="25979" xr:uid="{CEC05BE3-B3CC-45DC-BC62-C25B1BE9F8AA}"/>
    <cellStyle name="Normal 5 2 2 5 2 2 2 3" xfId="16680" xr:uid="{6EA0E667-C52F-48FE-9A2A-1C998C1C1684}"/>
    <cellStyle name="Normal 5 2 2 5 2 2 3" xfId="21762" xr:uid="{96AFDD17-48C0-4682-AAFB-EBF96053CA72}"/>
    <cellStyle name="Normal 5 2 2 5 2 2 4" xfId="12463" xr:uid="{832F0A9C-32AF-4A17-91A0-BDE17EBD241B}"/>
    <cellStyle name="Normal 5 2 2 5 2 3" xfId="5209" xr:uid="{00000000-0005-0000-0000-000012180000}"/>
    <cellStyle name="Normal 5 2 2 5 2 3 2" xfId="23834" xr:uid="{1DFCA34A-D1E1-4D84-A9A8-2CEEDC6EFE92}"/>
    <cellStyle name="Normal 5 2 2 5 2 3 3" xfId="14535" xr:uid="{A766F85C-09A9-4031-AA77-8ADDF4EB1BE6}"/>
    <cellStyle name="Normal 5 2 2 5 2 4" xfId="9397" xr:uid="{3CB0B9A4-F907-4F52-ACFC-7970F7AF9B13}"/>
    <cellStyle name="Normal 5 2 2 5 2 4 2" xfId="28011" xr:uid="{97E32421-B5B4-4750-BD11-4C8953983151}"/>
    <cellStyle name="Normal 5 2 2 5 2 4 3" xfId="18712" xr:uid="{B80D5122-557F-453A-9229-DF8DD7527925}"/>
    <cellStyle name="Normal 5 2 2 5 2 5" xfId="19617" xr:uid="{4C00C4E7-C427-48CF-82A0-B694470B36C9}"/>
    <cellStyle name="Normal 5 2 2 5 2 6" xfId="10318" xr:uid="{D44D0B75-F05C-499A-A4E5-7837D275A00F}"/>
    <cellStyle name="Normal 5 2 2 5 3" xfId="1315" xr:uid="{00000000-0005-0000-0000-000013180000}"/>
    <cellStyle name="Normal 5 2 2 5 3 2" xfId="3545" xr:uid="{00000000-0005-0000-0000-000014180000}"/>
    <cellStyle name="Normal 5 2 2 5 3 2 2" xfId="7767" xr:uid="{00000000-0005-0000-0000-000015180000}"/>
    <cellStyle name="Normal 5 2 2 5 3 2 2 2" xfId="26392" xr:uid="{96D2ACE0-6946-48E7-B49C-75C4BBBCF037}"/>
    <cellStyle name="Normal 5 2 2 5 3 2 2 3" xfId="17093" xr:uid="{490EB0AA-0B5C-48F5-AFE5-0D3641EB7C91}"/>
    <cellStyle name="Normal 5 2 2 5 3 2 3" xfId="22175" xr:uid="{9D73F493-9426-4ED3-BB6E-CDDDE6C2FC3B}"/>
    <cellStyle name="Normal 5 2 2 5 3 2 4" xfId="12876" xr:uid="{27221195-97DB-4B14-AA68-109A3EEC6ED4}"/>
    <cellStyle name="Normal 5 2 2 5 3 3" xfId="5622" xr:uid="{00000000-0005-0000-0000-000016180000}"/>
    <cellStyle name="Normal 5 2 2 5 3 3 2" xfId="24247" xr:uid="{2A91D4D4-6949-409D-881B-E7CA1F88BC8A}"/>
    <cellStyle name="Normal 5 2 2 5 3 3 3" xfId="14948" xr:uid="{1B0EA90D-A9F3-4325-969A-F963B1690076}"/>
    <cellStyle name="Normal 5 2 2 5 3 4" xfId="20030" xr:uid="{B7F16F57-B373-45DE-9CFB-65D77D49795A}"/>
    <cellStyle name="Normal 5 2 2 5 3 5" xfId="10731" xr:uid="{C05CF06F-B9C7-401C-BD48-C76211AB7E5A}"/>
    <cellStyle name="Normal 5 2 2 5 4" xfId="1728" xr:uid="{00000000-0005-0000-0000-000017180000}"/>
    <cellStyle name="Normal 5 2 2 5 4 2" xfId="3958" xr:uid="{00000000-0005-0000-0000-000018180000}"/>
    <cellStyle name="Normal 5 2 2 5 4 2 2" xfId="8180" xr:uid="{00000000-0005-0000-0000-000019180000}"/>
    <cellStyle name="Normal 5 2 2 5 4 2 2 2" xfId="26805" xr:uid="{0E9A0B1E-42DA-4738-A709-1305133C802F}"/>
    <cellStyle name="Normal 5 2 2 5 4 2 2 3" xfId="17506" xr:uid="{D73D4404-447C-429B-BBAE-9E76CCC587B1}"/>
    <cellStyle name="Normal 5 2 2 5 4 2 3" xfId="22588" xr:uid="{4B29EFFE-DB2F-448B-82B3-CF5D54CE560E}"/>
    <cellStyle name="Normal 5 2 2 5 4 2 4" xfId="13289" xr:uid="{5D10D8D6-A08D-40F2-B0A9-9D20420AA690}"/>
    <cellStyle name="Normal 5 2 2 5 4 3" xfId="6035" xr:uid="{00000000-0005-0000-0000-00001A180000}"/>
    <cellStyle name="Normal 5 2 2 5 4 3 2" xfId="24660" xr:uid="{E569B032-1F6C-46E9-8CC5-72868BCDB467}"/>
    <cellStyle name="Normal 5 2 2 5 4 3 3" xfId="15361" xr:uid="{2E7BC939-6C33-4812-95F1-8A1E77094C1F}"/>
    <cellStyle name="Normal 5 2 2 5 4 4" xfId="20443" xr:uid="{3ED98F68-8481-497D-9DAE-88AB79DD7380}"/>
    <cellStyle name="Normal 5 2 2 5 4 5" xfId="11144" xr:uid="{50E88E6D-5941-4FBD-82A2-4A4EF8505638}"/>
    <cellStyle name="Normal 5 2 2 5 5" xfId="2142" xr:uid="{00000000-0005-0000-0000-00001B180000}"/>
    <cellStyle name="Normal 5 2 2 5 5 2" xfId="4371" xr:uid="{00000000-0005-0000-0000-00001C180000}"/>
    <cellStyle name="Normal 5 2 2 5 5 2 2" xfId="8593" xr:uid="{00000000-0005-0000-0000-00001D180000}"/>
    <cellStyle name="Normal 5 2 2 5 5 2 2 2" xfId="27218" xr:uid="{DBE69E2D-808A-4EDB-8680-7EAD4BFF8D52}"/>
    <cellStyle name="Normal 5 2 2 5 5 2 2 3" xfId="17919" xr:uid="{84A67011-D246-48ED-96FB-7257E9A1DFB9}"/>
    <cellStyle name="Normal 5 2 2 5 5 2 3" xfId="23001" xr:uid="{F01412AE-C22A-4521-893E-2921FF00B130}"/>
    <cellStyle name="Normal 5 2 2 5 5 2 4" xfId="13702" xr:uid="{D5E60729-4C10-4431-9BD0-E3E00D64220F}"/>
    <cellStyle name="Normal 5 2 2 5 5 3" xfId="6448" xr:uid="{00000000-0005-0000-0000-00001E180000}"/>
    <cellStyle name="Normal 5 2 2 5 5 3 2" xfId="25073" xr:uid="{1DD3B9A7-90C8-4CA2-8130-5031951A6530}"/>
    <cellStyle name="Normal 5 2 2 5 5 3 3" xfId="15774" xr:uid="{AE8EB059-262F-4064-94BD-8D373D0AA707}"/>
    <cellStyle name="Normal 5 2 2 5 5 4" xfId="20856" xr:uid="{4140BD15-4F23-40F5-9287-DEA9F68FFB09}"/>
    <cellStyle name="Normal 5 2 2 5 5 5" xfId="11557" xr:uid="{BF9A3842-BB8F-4CBE-BBCA-1606D2C70EDE}"/>
    <cellStyle name="Normal 5 2 2 5 6" xfId="2578" xr:uid="{00000000-0005-0000-0000-00001F180000}"/>
    <cellStyle name="Normal 5 2 2 5 6 2" xfId="6861" xr:uid="{00000000-0005-0000-0000-000020180000}"/>
    <cellStyle name="Normal 5 2 2 5 6 2 2" xfId="25486" xr:uid="{DC56FDC6-D30A-4A11-8843-65B5880B0D14}"/>
    <cellStyle name="Normal 5 2 2 5 6 2 3" xfId="16187" xr:uid="{4717DF3E-CC66-4E62-AAD8-5692ED33C195}"/>
    <cellStyle name="Normal 5 2 2 5 6 3" xfId="21269" xr:uid="{6789ADAC-8440-40BB-A738-4844A60A89B4}"/>
    <cellStyle name="Normal 5 2 2 5 6 4" xfId="11970" xr:uid="{DE4AFB81-8E82-46E0-BFA5-0E66F3FCAE3F}"/>
    <cellStyle name="Normal 5 2 2 5 7" xfId="4796" xr:uid="{00000000-0005-0000-0000-000021180000}"/>
    <cellStyle name="Normal 5 2 2 5 7 2" xfId="23421" xr:uid="{B62C999B-AAA0-411B-8743-39F741A44353}"/>
    <cellStyle name="Normal 5 2 2 5 7 3" xfId="14122" xr:uid="{0ED5CB4D-938E-4E15-B960-66EB45EEAF31}"/>
    <cellStyle name="Normal 5 2 2 5 8" xfId="8972" xr:uid="{3CCC8856-6464-4309-A4F9-43F74A48C503}"/>
    <cellStyle name="Normal 5 2 2 5 8 2" xfId="27595" xr:uid="{6829D190-D1EC-4164-B15B-D07C5CBF01D6}"/>
    <cellStyle name="Normal 5 2 2 5 8 3" xfId="18296" xr:uid="{3A2E29C5-C5F3-4AF3-B742-C6B19BFF4C34}"/>
    <cellStyle name="Normal 5 2 2 5 9" xfId="19204" xr:uid="{DE142A3A-FCA9-47B9-8E31-E2BC0CDE616F}"/>
    <cellStyle name="Normal 5 2 2 6" xfId="882" xr:uid="{00000000-0005-0000-0000-000022180000}"/>
    <cellStyle name="Normal 5 2 2 6 2" xfId="3117" xr:uid="{00000000-0005-0000-0000-000023180000}"/>
    <cellStyle name="Normal 5 2 2 6 2 2" xfId="7339" xr:uid="{00000000-0005-0000-0000-000024180000}"/>
    <cellStyle name="Normal 5 2 2 6 2 2 2" xfId="25964" xr:uid="{51061723-F146-4E7B-93A4-F3E6C790A7C6}"/>
    <cellStyle name="Normal 5 2 2 6 2 2 3" xfId="16665" xr:uid="{C07CA313-55FA-4B31-8039-F64011A5418D}"/>
    <cellStyle name="Normal 5 2 2 6 2 3" xfId="21747" xr:uid="{FA9ADF57-6C70-41FD-BA6D-91DE08945DFA}"/>
    <cellStyle name="Normal 5 2 2 6 2 4" xfId="12448" xr:uid="{B2595E40-B12A-4FA9-B5A7-2D448FECBB75}"/>
    <cellStyle name="Normal 5 2 2 6 3" xfId="5194" xr:uid="{00000000-0005-0000-0000-000025180000}"/>
    <cellStyle name="Normal 5 2 2 6 3 2" xfId="23819" xr:uid="{3310BE78-8996-4B84-AE51-5E546BD7DF4D}"/>
    <cellStyle name="Normal 5 2 2 6 3 3" xfId="14520" xr:uid="{308586DD-8B3F-43DA-9EA0-B68716AA73F0}"/>
    <cellStyle name="Normal 5 2 2 6 4" xfId="9175" xr:uid="{A0BC076A-DB75-4963-A17E-57836FA6391D}"/>
    <cellStyle name="Normal 5 2 2 6 4 2" xfId="27792" xr:uid="{4A8A7B39-4605-400F-90D4-39A7F951771D}"/>
    <cellStyle name="Normal 5 2 2 6 4 3" xfId="18493" xr:uid="{FA27293A-D96E-4093-B872-595E0C0E1912}"/>
    <cellStyle name="Normal 5 2 2 6 5" xfId="19602" xr:uid="{B840BABF-86F1-48F3-B996-06D340CBD2CD}"/>
    <cellStyle name="Normal 5 2 2 6 6" xfId="10303" xr:uid="{01B9A03D-E0B6-434E-A004-D4A3F4CC9E9F}"/>
    <cellStyle name="Normal 5 2 2 7" xfId="1300" xr:uid="{00000000-0005-0000-0000-000026180000}"/>
    <cellStyle name="Normal 5 2 2 7 2" xfId="3530" xr:uid="{00000000-0005-0000-0000-000027180000}"/>
    <cellStyle name="Normal 5 2 2 7 2 2" xfId="7752" xr:uid="{00000000-0005-0000-0000-000028180000}"/>
    <cellStyle name="Normal 5 2 2 7 2 2 2" xfId="26377" xr:uid="{C1AFB58E-16D7-40E4-8356-3D4CA972D1A2}"/>
    <cellStyle name="Normal 5 2 2 7 2 2 3" xfId="17078" xr:uid="{639F9EBC-2DAF-4970-8B85-67CD470CEA8B}"/>
    <cellStyle name="Normal 5 2 2 7 2 3" xfId="22160" xr:uid="{A9B2C2C0-FDA2-4AB8-AA1D-988DE0D42CC3}"/>
    <cellStyle name="Normal 5 2 2 7 2 4" xfId="12861" xr:uid="{193FCA97-9EB6-4468-B944-3F22CD57BA7C}"/>
    <cellStyle name="Normal 5 2 2 7 3" xfId="5607" xr:uid="{00000000-0005-0000-0000-000029180000}"/>
    <cellStyle name="Normal 5 2 2 7 3 2" xfId="24232" xr:uid="{3F75682F-97E2-4DF2-ADFC-D22E2FF97991}"/>
    <cellStyle name="Normal 5 2 2 7 3 3" xfId="14933" xr:uid="{2C2026B3-BD0C-4993-BFAB-88D852103D5E}"/>
    <cellStyle name="Normal 5 2 2 7 4" xfId="20015" xr:uid="{4F069809-3856-435F-A975-4689C124E0DA}"/>
    <cellStyle name="Normal 5 2 2 7 5" xfId="10716" xr:uid="{122459FE-E589-4DDF-A6A1-B9D323239C22}"/>
    <cellStyle name="Normal 5 2 2 8" xfId="1713" xr:uid="{00000000-0005-0000-0000-00002A180000}"/>
    <cellStyle name="Normal 5 2 2 8 2" xfId="3943" xr:uid="{00000000-0005-0000-0000-00002B180000}"/>
    <cellStyle name="Normal 5 2 2 8 2 2" xfId="8165" xr:uid="{00000000-0005-0000-0000-00002C180000}"/>
    <cellStyle name="Normal 5 2 2 8 2 2 2" xfId="26790" xr:uid="{9E3A298D-DBA2-4710-851D-AE9AC0552AD8}"/>
    <cellStyle name="Normal 5 2 2 8 2 2 3" xfId="17491" xr:uid="{BB2D6303-61A7-472D-AFFF-5C1A539ED5B7}"/>
    <cellStyle name="Normal 5 2 2 8 2 3" xfId="22573" xr:uid="{A13D03F5-D0DC-427B-8E5B-FC757F63B7E5}"/>
    <cellStyle name="Normal 5 2 2 8 2 4" xfId="13274" xr:uid="{F235B7A7-B58F-481E-A419-5B509FA68CFA}"/>
    <cellStyle name="Normal 5 2 2 8 3" xfId="6020" xr:uid="{00000000-0005-0000-0000-00002D180000}"/>
    <cellStyle name="Normal 5 2 2 8 3 2" xfId="24645" xr:uid="{8B3A860F-A4F7-4383-B81A-AEFB2E6F75FA}"/>
    <cellStyle name="Normal 5 2 2 8 3 3" xfId="15346" xr:uid="{27E428C7-4BD3-4EBC-AF00-9A279B9E8035}"/>
    <cellStyle name="Normal 5 2 2 8 4" xfId="20428" xr:uid="{B83EB744-A89C-4612-BF7B-927AA59C39CE}"/>
    <cellStyle name="Normal 5 2 2 8 5" xfId="11129" xr:uid="{868A7072-7596-4535-B621-CECDDEBC0A04}"/>
    <cellStyle name="Normal 5 2 2 9" xfId="2127" xr:uid="{00000000-0005-0000-0000-00002E180000}"/>
    <cellStyle name="Normal 5 2 2 9 2" xfId="4356" xr:uid="{00000000-0005-0000-0000-00002F180000}"/>
    <cellStyle name="Normal 5 2 2 9 2 2" xfId="8578" xr:uid="{00000000-0005-0000-0000-000030180000}"/>
    <cellStyle name="Normal 5 2 2 9 2 2 2" xfId="27203" xr:uid="{E758F49E-B5DE-435C-BB9F-820A05B133F0}"/>
    <cellStyle name="Normal 5 2 2 9 2 2 3" xfId="17904" xr:uid="{E1B0D371-2D4A-45C8-AA52-3495B5AC8A31}"/>
    <cellStyle name="Normal 5 2 2 9 2 3" xfId="22986" xr:uid="{B36A375A-678F-4246-A90C-20DB2B090984}"/>
    <cellStyle name="Normal 5 2 2 9 2 4" xfId="13687" xr:uid="{AA217340-3978-45CF-89E6-DD9BFB879307}"/>
    <cellStyle name="Normal 5 2 2 9 3" xfId="6433" xr:uid="{00000000-0005-0000-0000-000031180000}"/>
    <cellStyle name="Normal 5 2 2 9 3 2" xfId="25058" xr:uid="{43B174F3-F18A-4BE5-81F3-7C9BC1AFD610}"/>
    <cellStyle name="Normal 5 2 2 9 3 3" xfId="15759" xr:uid="{90531902-C342-4353-B58B-BB929B06078A}"/>
    <cellStyle name="Normal 5 2 2 9 4" xfId="20841" xr:uid="{AE7ADDF9-2A5E-4598-8496-69E0D513A549}"/>
    <cellStyle name="Normal 5 2 2 9 5" xfId="11542" xr:uid="{0AFDF7F4-30B0-4B2F-A494-654D1634CD51}"/>
    <cellStyle name="Normal 5 2 3" xfId="424" xr:uid="{00000000-0005-0000-0000-000032180000}"/>
    <cellStyle name="Normal 5 2 3 10" xfId="4797" xr:uid="{00000000-0005-0000-0000-000033180000}"/>
    <cellStyle name="Normal 5 2 3 10 2" xfId="23422" xr:uid="{015FBF2B-EB60-40D5-A327-1D533F5BD05A}"/>
    <cellStyle name="Normal 5 2 3 10 3" xfId="14123" xr:uid="{D845CD82-2B0B-40B5-A213-5F1967D49115}"/>
    <cellStyle name="Normal 5 2 3 11" xfId="8776" xr:uid="{883173D2-CE3E-48F3-8E13-32EAEF7B08C3}"/>
    <cellStyle name="Normal 5 2 3 11 2" xfId="27399" xr:uid="{6D59B173-A75C-4DAD-B918-C54BCA5270DA}"/>
    <cellStyle name="Normal 5 2 3 11 3" xfId="18100" xr:uid="{8CF4526D-69F6-4A21-ABFE-6821CF7561FB}"/>
    <cellStyle name="Normal 5 2 3 12" xfId="19205" xr:uid="{E1DE475C-E8BF-49DF-B607-B06D0A3C061F}"/>
    <cellStyle name="Normal 5 2 3 13" xfId="9906" xr:uid="{D7C3777E-B031-4C40-A7BA-D551158D631E}"/>
    <cellStyle name="Normal 5 2 3 2" xfId="425" xr:uid="{00000000-0005-0000-0000-000034180000}"/>
    <cellStyle name="Normal 5 2 3 2 10" xfId="8830" xr:uid="{287E15F2-6F23-4B3E-B8AA-9DE92D950FBA}"/>
    <cellStyle name="Normal 5 2 3 2 10 2" xfId="27453" xr:uid="{B919348F-D836-45F7-AC04-6AA5CA88B30F}"/>
    <cellStyle name="Normal 5 2 3 2 10 3" xfId="18154" xr:uid="{FDACC868-7D24-4EF7-927E-2842E2A0AEA9}"/>
    <cellStyle name="Normal 5 2 3 2 11" xfId="19206" xr:uid="{9626092A-F5E6-464D-BEBC-9357FFE1921B}"/>
    <cellStyle name="Normal 5 2 3 2 12" xfId="9907" xr:uid="{CEDFC0C6-1371-42A6-BF25-D56B925B0A5E}"/>
    <cellStyle name="Normal 5 2 3 2 2" xfId="426" xr:uid="{00000000-0005-0000-0000-000035180000}"/>
    <cellStyle name="Normal 5 2 3 2 2 10" xfId="19207" xr:uid="{C935C74F-F64E-4AB3-AF56-1584933A51C0}"/>
    <cellStyle name="Normal 5 2 3 2 2 11" xfId="9908" xr:uid="{BFBA46FF-9A7F-4A13-B36D-B3F827F369F6}"/>
    <cellStyle name="Normal 5 2 3 2 2 2" xfId="427" xr:uid="{00000000-0005-0000-0000-000036180000}"/>
    <cellStyle name="Normal 5 2 3 2 2 2 10" xfId="9909" xr:uid="{F840F893-5B1B-4692-817C-D5D936504C1A}"/>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2 2 2" xfId="25983" xr:uid="{2C975FFB-AA0F-47CF-9D06-108FB44CECC7}"/>
    <cellStyle name="Normal 5 2 3 2 2 2 2 2 2 3" xfId="16684" xr:uid="{09F0AF69-B06D-4FBF-87E2-24BDCF2F16FE}"/>
    <cellStyle name="Normal 5 2 3 2 2 2 2 2 3" xfId="21766" xr:uid="{E678A16E-F20F-4032-ACCA-4B163F7E2BB1}"/>
    <cellStyle name="Normal 5 2 3 2 2 2 2 2 4" xfId="12467" xr:uid="{564F8505-B90C-4FCE-B00D-668337183E38}"/>
    <cellStyle name="Normal 5 2 3 2 2 2 2 3" xfId="5213" xr:uid="{00000000-0005-0000-0000-00003A180000}"/>
    <cellStyle name="Normal 5 2 3 2 2 2 2 3 2" xfId="23838" xr:uid="{C424B72A-5424-44CA-BE1B-63386BC6E5F6}"/>
    <cellStyle name="Normal 5 2 3 2 2 2 2 3 3" xfId="14539" xr:uid="{79075421-0B65-40AF-8650-3248E6526937}"/>
    <cellStyle name="Normal 5 2 3 2 2 2 2 4" xfId="9565" xr:uid="{B33C5ECB-02D9-4BAF-B467-F38E8EEB7F6E}"/>
    <cellStyle name="Normal 5 2 3 2 2 2 2 4 2" xfId="28179" xr:uid="{FDAEF0F4-CDCA-495C-8FFC-6D19BB812622}"/>
    <cellStyle name="Normal 5 2 3 2 2 2 2 4 3" xfId="18880" xr:uid="{DCFE902C-56E6-4546-9931-0FC0A3E1146B}"/>
    <cellStyle name="Normal 5 2 3 2 2 2 2 5" xfId="19621" xr:uid="{494E1388-0C5A-4B21-901F-98992AADF0DF}"/>
    <cellStyle name="Normal 5 2 3 2 2 2 2 6" xfId="10322" xr:uid="{63217F9F-4361-4142-86C5-A5A7FF5CC67D}"/>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2 2 2" xfId="26396" xr:uid="{0F508209-69E6-45D4-A979-5FAF01EEEF9F}"/>
    <cellStyle name="Normal 5 2 3 2 2 2 3 2 2 3" xfId="17097" xr:uid="{225F768F-5F9B-49A2-956A-D50B3617D66D}"/>
    <cellStyle name="Normal 5 2 3 2 2 2 3 2 3" xfId="22179" xr:uid="{012561A3-1039-41B6-95EE-92E335381192}"/>
    <cellStyle name="Normal 5 2 3 2 2 2 3 2 4" xfId="12880" xr:uid="{39C32C72-EEDA-4BD8-8764-06C9A3BDC250}"/>
    <cellStyle name="Normal 5 2 3 2 2 2 3 3" xfId="5626" xr:uid="{00000000-0005-0000-0000-00003E180000}"/>
    <cellStyle name="Normal 5 2 3 2 2 2 3 3 2" xfId="24251" xr:uid="{9F0C8957-2C44-48BA-80FD-F5E88D0BB813}"/>
    <cellStyle name="Normal 5 2 3 2 2 2 3 3 3" xfId="14952" xr:uid="{4E3AB018-F326-424F-9BB9-7238763D9CA6}"/>
    <cellStyle name="Normal 5 2 3 2 2 2 3 4" xfId="20034" xr:uid="{7D425E5D-FE19-4B00-B837-C70E1CFB8F91}"/>
    <cellStyle name="Normal 5 2 3 2 2 2 3 5" xfId="10735" xr:uid="{32E15BF8-19C4-4EE7-BF70-F83A449F0F6A}"/>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2 2 2" xfId="26809" xr:uid="{2F790FBD-7A57-4959-A05A-E6E9AB94AAA7}"/>
    <cellStyle name="Normal 5 2 3 2 2 2 4 2 2 3" xfId="17510" xr:uid="{D411EA7A-3EEA-489B-896B-F0652B7D48D4}"/>
    <cellStyle name="Normal 5 2 3 2 2 2 4 2 3" xfId="22592" xr:uid="{1CEF4A0F-CB32-4427-8AD1-25753E1D0EF1}"/>
    <cellStyle name="Normal 5 2 3 2 2 2 4 2 4" xfId="13293" xr:uid="{B55853E0-6823-4994-A24F-19A3E0995B37}"/>
    <cellStyle name="Normal 5 2 3 2 2 2 4 3" xfId="6039" xr:uid="{00000000-0005-0000-0000-000042180000}"/>
    <cellStyle name="Normal 5 2 3 2 2 2 4 3 2" xfId="24664" xr:uid="{7BFFB6D8-369C-4F9C-96C8-6EB4725053A9}"/>
    <cellStyle name="Normal 5 2 3 2 2 2 4 3 3" xfId="15365" xr:uid="{8383FDB0-9F6A-417D-859B-E0F34AE29849}"/>
    <cellStyle name="Normal 5 2 3 2 2 2 4 4" xfId="20447" xr:uid="{C0092BC6-AAD8-4D5F-BF86-4216B2FAF5EB}"/>
    <cellStyle name="Normal 5 2 3 2 2 2 4 5" xfId="11148" xr:uid="{22008890-5E25-40C0-AF7B-E5FC8FA75C28}"/>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2 2 2" xfId="27222" xr:uid="{10BA736B-102D-4D07-82E2-91DFF02F7DEA}"/>
    <cellStyle name="Normal 5 2 3 2 2 2 5 2 2 3" xfId="17923" xr:uid="{B814C8D4-2F9D-4005-959E-38BF34839B6E}"/>
    <cellStyle name="Normal 5 2 3 2 2 2 5 2 3" xfId="23005" xr:uid="{7037F2CD-4994-4D13-80F9-3DE6E6A41CA5}"/>
    <cellStyle name="Normal 5 2 3 2 2 2 5 2 4" xfId="13706" xr:uid="{182102C0-EAE9-4354-8632-0386AEAA6EF7}"/>
    <cellStyle name="Normal 5 2 3 2 2 2 5 3" xfId="6452" xr:uid="{00000000-0005-0000-0000-000046180000}"/>
    <cellStyle name="Normal 5 2 3 2 2 2 5 3 2" xfId="25077" xr:uid="{BEADA686-252D-42CA-8C69-7ECD0A86A2DC}"/>
    <cellStyle name="Normal 5 2 3 2 2 2 5 3 3" xfId="15778" xr:uid="{9E702DCD-7D08-4F4B-8373-C312B51B640A}"/>
    <cellStyle name="Normal 5 2 3 2 2 2 5 4" xfId="20860" xr:uid="{65D5F0EE-A460-4BAE-A7C9-F2A3DD1B9477}"/>
    <cellStyle name="Normal 5 2 3 2 2 2 5 5" xfId="11561" xr:uid="{EDC31699-9FBC-4D66-8604-50736DE0A8B1}"/>
    <cellStyle name="Normal 5 2 3 2 2 2 6" xfId="2582" xr:uid="{00000000-0005-0000-0000-000047180000}"/>
    <cellStyle name="Normal 5 2 3 2 2 2 6 2" xfId="6865" xr:uid="{00000000-0005-0000-0000-000048180000}"/>
    <cellStyle name="Normal 5 2 3 2 2 2 6 2 2" xfId="25490" xr:uid="{ED81B2AB-08C9-4875-8778-F3294674CDCA}"/>
    <cellStyle name="Normal 5 2 3 2 2 2 6 2 3" xfId="16191" xr:uid="{0DE09C3D-3942-4439-9FE5-432167532038}"/>
    <cellStyle name="Normal 5 2 3 2 2 2 6 3" xfId="21273" xr:uid="{83D40730-92FC-4D09-B0E9-45430CC38C0C}"/>
    <cellStyle name="Normal 5 2 3 2 2 2 6 4" xfId="11974" xr:uid="{570EF9DE-CA2A-4148-BD50-A4D48F778D96}"/>
    <cellStyle name="Normal 5 2 3 2 2 2 7" xfId="4800" xr:uid="{00000000-0005-0000-0000-000049180000}"/>
    <cellStyle name="Normal 5 2 3 2 2 2 7 2" xfId="23425" xr:uid="{67B4AEED-5918-48C2-89B6-2E2EE58EB056}"/>
    <cellStyle name="Normal 5 2 3 2 2 2 7 3" xfId="14126" xr:uid="{5ECD3496-0928-4CB1-843B-7D4E1F894986}"/>
    <cellStyle name="Normal 5 2 3 2 2 2 8" xfId="9140" xr:uid="{175A16DB-BA54-4083-AB68-1FA46DB27A86}"/>
    <cellStyle name="Normal 5 2 3 2 2 2 8 2" xfId="27763" xr:uid="{ADD341C1-6904-4B7A-8A64-0903EE0E8220}"/>
    <cellStyle name="Normal 5 2 3 2 2 2 8 3" xfId="18464" xr:uid="{9CD07A43-3AB3-4ADE-92B5-C868F158EE3B}"/>
    <cellStyle name="Normal 5 2 3 2 2 2 9" xfId="19208" xr:uid="{777B4A8B-1446-48A3-AA47-A64B22B1DEF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2 2 2" xfId="25982" xr:uid="{B43B85C6-ED4D-46D0-AF3E-C2AC6A26005B}"/>
    <cellStyle name="Normal 5 2 3 2 2 3 2 2 3" xfId="16683" xr:uid="{DE8A4442-D77B-42F1-A37E-CA1AADE529FE}"/>
    <cellStyle name="Normal 5 2 3 2 2 3 2 3" xfId="21765" xr:uid="{294F8221-3565-4C65-9058-421815DCDE30}"/>
    <cellStyle name="Normal 5 2 3 2 2 3 2 4" xfId="12466" xr:uid="{81BD7902-20E7-46F3-BBFD-1B0F5104773C}"/>
    <cellStyle name="Normal 5 2 3 2 2 3 3" xfId="5212" xr:uid="{00000000-0005-0000-0000-00004D180000}"/>
    <cellStyle name="Normal 5 2 3 2 2 3 3 2" xfId="23837" xr:uid="{41FB024D-763B-4CF9-BE60-0E6B53C1187A}"/>
    <cellStyle name="Normal 5 2 3 2 2 3 3 3" xfId="14538" xr:uid="{ABC1EEF8-918F-4ECE-9B7C-7768C4418A1F}"/>
    <cellStyle name="Normal 5 2 3 2 2 3 4" xfId="9358" xr:uid="{5B196E7D-8DD9-4C59-A83C-7626B0E60040}"/>
    <cellStyle name="Normal 5 2 3 2 2 3 4 2" xfId="27972" xr:uid="{8CC936CD-8AF0-48D3-88C1-7E32FE22B8DC}"/>
    <cellStyle name="Normal 5 2 3 2 2 3 4 3" xfId="18673" xr:uid="{6DFE2D03-73C6-423F-B1FC-F4E43D6AF639}"/>
    <cellStyle name="Normal 5 2 3 2 2 3 5" xfId="19620" xr:uid="{73254D04-2316-4D2C-92FA-4CE1EEAAE2B1}"/>
    <cellStyle name="Normal 5 2 3 2 2 3 6" xfId="10321" xr:uid="{B38BFD33-E767-4897-ABC5-E7D1ED71795E}"/>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2 2 2" xfId="26395" xr:uid="{2D9073EF-CE1B-48D2-82F4-DD7EF78B18C1}"/>
    <cellStyle name="Normal 5 2 3 2 2 4 2 2 3" xfId="17096" xr:uid="{F00F27C0-DFEE-4EB4-9743-24B4105ABFBF}"/>
    <cellStyle name="Normal 5 2 3 2 2 4 2 3" xfId="22178" xr:uid="{5F5ADD3E-2D06-4810-BB29-A952BE285FE3}"/>
    <cellStyle name="Normal 5 2 3 2 2 4 2 4" xfId="12879" xr:uid="{F96C0F5E-0CFE-47A4-916D-BCA727511654}"/>
    <cellStyle name="Normal 5 2 3 2 2 4 3" xfId="5625" xr:uid="{00000000-0005-0000-0000-000051180000}"/>
    <cellStyle name="Normal 5 2 3 2 2 4 3 2" xfId="24250" xr:uid="{7D42343F-2B01-4B37-9D87-68DDEC76A5E9}"/>
    <cellStyle name="Normal 5 2 3 2 2 4 3 3" xfId="14951" xr:uid="{B0B6A9E1-5D89-425B-A0BD-BBA96F8B5A69}"/>
    <cellStyle name="Normal 5 2 3 2 2 4 4" xfId="20033" xr:uid="{4E232D2A-DB5C-4132-8742-CA23D21CABB7}"/>
    <cellStyle name="Normal 5 2 3 2 2 4 5" xfId="10734" xr:uid="{33F2F79E-F4BA-4E21-B00D-24100D7F9521}"/>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2 2 2" xfId="26808" xr:uid="{9FBB072B-EA7C-4B4E-96C2-F33D71482704}"/>
    <cellStyle name="Normal 5 2 3 2 2 5 2 2 3" xfId="17509" xr:uid="{D7A02146-8DBE-48E9-A793-B4454094DF79}"/>
    <cellStyle name="Normal 5 2 3 2 2 5 2 3" xfId="22591" xr:uid="{3B49C8C8-7AC7-4AD0-B08A-CDF06E35FF41}"/>
    <cellStyle name="Normal 5 2 3 2 2 5 2 4" xfId="13292" xr:uid="{F40E4885-47B7-4B56-9B07-EF77FCEEC1B8}"/>
    <cellStyle name="Normal 5 2 3 2 2 5 3" xfId="6038" xr:uid="{00000000-0005-0000-0000-000055180000}"/>
    <cellStyle name="Normal 5 2 3 2 2 5 3 2" xfId="24663" xr:uid="{2CAA28C5-C6F1-4A03-B94D-76B05774F1F7}"/>
    <cellStyle name="Normal 5 2 3 2 2 5 3 3" xfId="15364" xr:uid="{0002CEBB-E1A9-4291-9579-B3B11021D885}"/>
    <cellStyle name="Normal 5 2 3 2 2 5 4" xfId="20446" xr:uid="{32053D7B-D9F2-46CF-8CEB-5670E1FEB225}"/>
    <cellStyle name="Normal 5 2 3 2 2 5 5" xfId="11147" xr:uid="{53A979A5-01EF-480E-81AB-FBAA8393D32E}"/>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2 2 2" xfId="27221" xr:uid="{FC2D8151-18D8-4FD5-9E41-9935E4556985}"/>
    <cellStyle name="Normal 5 2 3 2 2 6 2 2 3" xfId="17922" xr:uid="{559478B5-886E-472F-91A7-C42E64015CEC}"/>
    <cellStyle name="Normal 5 2 3 2 2 6 2 3" xfId="23004" xr:uid="{C7DA4EC4-B202-4C4E-852E-A14E7022E027}"/>
    <cellStyle name="Normal 5 2 3 2 2 6 2 4" xfId="13705" xr:uid="{467D6DAF-23F3-47DD-B061-EAD628026567}"/>
    <cellStyle name="Normal 5 2 3 2 2 6 3" xfId="6451" xr:uid="{00000000-0005-0000-0000-000059180000}"/>
    <cellStyle name="Normal 5 2 3 2 2 6 3 2" xfId="25076" xr:uid="{B70A528D-2F7D-4BBD-9478-DFDE355F2E45}"/>
    <cellStyle name="Normal 5 2 3 2 2 6 3 3" xfId="15777" xr:uid="{FDFADEE5-7D30-4C60-BBDB-1F24CA2CCCDD}"/>
    <cellStyle name="Normal 5 2 3 2 2 6 4" xfId="20859" xr:uid="{CA761688-2F32-486D-BCD1-C2901066E399}"/>
    <cellStyle name="Normal 5 2 3 2 2 6 5" xfId="11560" xr:uid="{FAC2FFF9-1973-44A3-9715-630558234A68}"/>
    <cellStyle name="Normal 5 2 3 2 2 7" xfId="2581" xr:uid="{00000000-0005-0000-0000-00005A180000}"/>
    <cellStyle name="Normal 5 2 3 2 2 7 2" xfId="6864" xr:uid="{00000000-0005-0000-0000-00005B180000}"/>
    <cellStyle name="Normal 5 2 3 2 2 7 2 2" xfId="25489" xr:uid="{03F91E4B-ECCA-4F1E-BD73-3D372BC0D403}"/>
    <cellStyle name="Normal 5 2 3 2 2 7 2 3" xfId="16190" xr:uid="{25C24F64-43F7-4DE3-A104-BB5A25565167}"/>
    <cellStyle name="Normal 5 2 3 2 2 7 3" xfId="21272" xr:uid="{0EA8329E-BDB7-44BB-8694-B12751F1B509}"/>
    <cellStyle name="Normal 5 2 3 2 2 7 4" xfId="11973" xr:uid="{B478C758-2858-43B3-A290-629BF6C395AC}"/>
    <cellStyle name="Normal 5 2 3 2 2 8" xfId="4799" xr:uid="{00000000-0005-0000-0000-00005C180000}"/>
    <cellStyle name="Normal 5 2 3 2 2 8 2" xfId="23424" xr:uid="{79EA2B0A-E24A-4DF8-83E9-8B6ED2A6DEF7}"/>
    <cellStyle name="Normal 5 2 3 2 2 8 3" xfId="14125" xr:uid="{C795CEF3-2EBE-40B2-BCD5-68FDCF0311C0}"/>
    <cellStyle name="Normal 5 2 3 2 2 9" xfId="8933" xr:uid="{2228AC18-CB51-4AF4-A227-403A8409C6C2}"/>
    <cellStyle name="Normal 5 2 3 2 2 9 2" xfId="27556" xr:uid="{077842A3-A7DD-4657-8626-BC0050C261BB}"/>
    <cellStyle name="Normal 5 2 3 2 2 9 3" xfId="18257" xr:uid="{4B3E6E07-9FA1-4CEC-A411-0630850271B6}"/>
    <cellStyle name="Normal 5 2 3 2 3" xfId="428" xr:uid="{00000000-0005-0000-0000-00005D180000}"/>
    <cellStyle name="Normal 5 2 3 2 3 10" xfId="9910" xr:uid="{CD51B7A1-7E72-4ADD-8EC7-169DC2A4661D}"/>
    <cellStyle name="Normal 5 2 3 2 3 2" xfId="902" xr:uid="{00000000-0005-0000-0000-00005E180000}"/>
    <cellStyle name="Normal 5 2 3 2 3 2 2" xfId="3137" xr:uid="{00000000-0005-0000-0000-00005F180000}"/>
    <cellStyle name="Normal 5 2 3 2 3 2 2 2" xfId="7359" xr:uid="{00000000-0005-0000-0000-000060180000}"/>
    <cellStyle name="Normal 5 2 3 2 3 2 2 2 2" xfId="25984" xr:uid="{A0B6C2A5-6510-4394-92B1-7831E51466F4}"/>
    <cellStyle name="Normal 5 2 3 2 3 2 2 2 3" xfId="16685" xr:uid="{8751A147-48F3-449F-9611-E9BE1DF364E8}"/>
    <cellStyle name="Normal 5 2 3 2 3 2 2 3" xfId="21767" xr:uid="{4AC92A26-3C16-4C6C-84D4-444BC0CD9C0A}"/>
    <cellStyle name="Normal 5 2 3 2 3 2 2 4" xfId="12468" xr:uid="{6CDD213B-84A5-43CF-A80A-29DD44E6ED56}"/>
    <cellStyle name="Normal 5 2 3 2 3 2 3" xfId="5214" xr:uid="{00000000-0005-0000-0000-000061180000}"/>
    <cellStyle name="Normal 5 2 3 2 3 2 3 2" xfId="23839" xr:uid="{3C5D1FFE-95B6-49F4-898D-E8F960DB3F87}"/>
    <cellStyle name="Normal 5 2 3 2 3 2 3 3" xfId="14540" xr:uid="{3CE2FAB0-A283-435C-9FD1-1DC4C4E4A8D0}"/>
    <cellStyle name="Normal 5 2 3 2 3 2 4" xfId="9462" xr:uid="{B4C14F1A-A88A-428F-A7F8-BAFD7E5CD045}"/>
    <cellStyle name="Normal 5 2 3 2 3 2 4 2" xfId="28076" xr:uid="{C6858EC6-79FB-440D-A6BA-D7FC8A1F84D6}"/>
    <cellStyle name="Normal 5 2 3 2 3 2 4 3" xfId="18777" xr:uid="{D5001120-DEE9-4AC3-A675-1D3A963DF92A}"/>
    <cellStyle name="Normal 5 2 3 2 3 2 5" xfId="19622" xr:uid="{43174E0F-8B8C-48E0-AB69-4AF249EA6821}"/>
    <cellStyle name="Normal 5 2 3 2 3 2 6" xfId="10323" xr:uid="{310E567D-4A1C-4B20-A796-1B52FBEA65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2 2 2" xfId="26397" xr:uid="{BBD6F9E7-359A-4C0F-AA64-72C7A8FBE257}"/>
    <cellStyle name="Normal 5 2 3 2 3 3 2 2 3" xfId="17098" xr:uid="{127C8EF7-9E84-43E2-9556-4C2A3465C12E}"/>
    <cellStyle name="Normal 5 2 3 2 3 3 2 3" xfId="22180" xr:uid="{B8ACF43A-010E-4831-94CB-9EDD1A6AA9EF}"/>
    <cellStyle name="Normal 5 2 3 2 3 3 2 4" xfId="12881" xr:uid="{4C66C1E7-5B65-46B8-AEE8-16CAC0B44AD8}"/>
    <cellStyle name="Normal 5 2 3 2 3 3 3" xfId="5627" xr:uid="{00000000-0005-0000-0000-000065180000}"/>
    <cellStyle name="Normal 5 2 3 2 3 3 3 2" xfId="24252" xr:uid="{72FF01D8-E825-4CD1-AFBB-1C408AF29E14}"/>
    <cellStyle name="Normal 5 2 3 2 3 3 3 3" xfId="14953" xr:uid="{09D9DC81-2238-4DC5-AFEB-BEB1074BCA31}"/>
    <cellStyle name="Normal 5 2 3 2 3 3 4" xfId="20035" xr:uid="{14B023E5-9AE8-4E73-A324-776F85DB3DF0}"/>
    <cellStyle name="Normal 5 2 3 2 3 3 5" xfId="10736" xr:uid="{F5B629E6-1C86-4FC4-B694-C566533ADAE3}"/>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2 2 2" xfId="26810" xr:uid="{D556F62E-BAE3-46CE-B0CC-3FCBBE21B517}"/>
    <cellStyle name="Normal 5 2 3 2 3 4 2 2 3" xfId="17511" xr:uid="{C42706B2-F1DD-456B-892F-CBF740393D45}"/>
    <cellStyle name="Normal 5 2 3 2 3 4 2 3" xfId="22593" xr:uid="{D4189B5D-CA82-4352-9F8D-2E6B66C3DFAD}"/>
    <cellStyle name="Normal 5 2 3 2 3 4 2 4" xfId="13294" xr:uid="{4DC5B9D6-4C61-4715-8EC0-74F81A9A0BA5}"/>
    <cellStyle name="Normal 5 2 3 2 3 4 3" xfId="6040" xr:uid="{00000000-0005-0000-0000-000069180000}"/>
    <cellStyle name="Normal 5 2 3 2 3 4 3 2" xfId="24665" xr:uid="{BF59590C-1483-465A-A449-AF7827C43102}"/>
    <cellStyle name="Normal 5 2 3 2 3 4 3 3" xfId="15366" xr:uid="{334E6566-183B-4716-8E65-B0B209F7BA93}"/>
    <cellStyle name="Normal 5 2 3 2 3 4 4" xfId="20448" xr:uid="{E21AE4CA-A3EA-4AA4-AB5B-089A7E70700E}"/>
    <cellStyle name="Normal 5 2 3 2 3 4 5" xfId="11149" xr:uid="{8129D37B-7E23-404C-8608-7D2F7BA39324}"/>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2 2 2" xfId="27223" xr:uid="{738C55AE-5E97-4A90-BFB7-2AC975E380D8}"/>
    <cellStyle name="Normal 5 2 3 2 3 5 2 2 3" xfId="17924" xr:uid="{0010B32F-DED1-46F0-81BC-B65555166C9E}"/>
    <cellStyle name="Normal 5 2 3 2 3 5 2 3" xfId="23006" xr:uid="{9EB9FB9C-F261-4A98-99CF-77589FAE6EE9}"/>
    <cellStyle name="Normal 5 2 3 2 3 5 2 4" xfId="13707" xr:uid="{CEA5CD44-C8A1-4E79-912B-E1798D6F14EA}"/>
    <cellStyle name="Normal 5 2 3 2 3 5 3" xfId="6453" xr:uid="{00000000-0005-0000-0000-00006D180000}"/>
    <cellStyle name="Normal 5 2 3 2 3 5 3 2" xfId="25078" xr:uid="{A67441BD-535F-4CEA-91F4-AC199F1914C6}"/>
    <cellStyle name="Normal 5 2 3 2 3 5 3 3" xfId="15779" xr:uid="{8B6C5687-7A40-4BD9-BBD9-7797488AEB02}"/>
    <cellStyle name="Normal 5 2 3 2 3 5 4" xfId="20861" xr:uid="{91FFA5AD-EF18-4DB4-85B5-0ACBD77558FA}"/>
    <cellStyle name="Normal 5 2 3 2 3 5 5" xfId="11562" xr:uid="{411D6D5E-67A6-49C2-8BBC-2AB488EE55AD}"/>
    <cellStyle name="Normal 5 2 3 2 3 6" xfId="2583" xr:uid="{00000000-0005-0000-0000-00006E180000}"/>
    <cellStyle name="Normal 5 2 3 2 3 6 2" xfId="6866" xr:uid="{00000000-0005-0000-0000-00006F180000}"/>
    <cellStyle name="Normal 5 2 3 2 3 6 2 2" xfId="25491" xr:uid="{A05F1E9A-9E60-4CCD-937A-0C7A517DC6C9}"/>
    <cellStyle name="Normal 5 2 3 2 3 6 2 3" xfId="16192" xr:uid="{F635B7FF-529F-4BE0-90B6-68C8FC0D1787}"/>
    <cellStyle name="Normal 5 2 3 2 3 6 3" xfId="21274" xr:uid="{1B6674FC-8FB5-4743-B46C-1EA2FB1717F5}"/>
    <cellStyle name="Normal 5 2 3 2 3 6 4" xfId="11975" xr:uid="{AD94162C-D568-47C8-BDF7-947F5E7F3A81}"/>
    <cellStyle name="Normal 5 2 3 2 3 7" xfId="4801" xr:uid="{00000000-0005-0000-0000-000070180000}"/>
    <cellStyle name="Normal 5 2 3 2 3 7 2" xfId="23426" xr:uid="{D9658368-DC14-4B4A-9B8E-3469185DDB9F}"/>
    <cellStyle name="Normal 5 2 3 2 3 7 3" xfId="14127" xr:uid="{F27B472B-F1A9-44C7-9504-F197F9AC4883}"/>
    <cellStyle name="Normal 5 2 3 2 3 8" xfId="9037" xr:uid="{EED46D7F-EFCD-4AC1-931D-AB06B694E7BE}"/>
    <cellStyle name="Normal 5 2 3 2 3 8 2" xfId="27660" xr:uid="{21C3A7BA-D74B-4228-9C61-1AFA07466306}"/>
    <cellStyle name="Normal 5 2 3 2 3 8 3" xfId="18361" xr:uid="{915E077B-F9D0-4113-9B17-A992EEE98856}"/>
    <cellStyle name="Normal 5 2 3 2 3 9" xfId="19209" xr:uid="{1F7F1495-5D8B-450B-A092-29C417FE605E}"/>
    <cellStyle name="Normal 5 2 3 2 4" xfId="899" xr:uid="{00000000-0005-0000-0000-000071180000}"/>
    <cellStyle name="Normal 5 2 3 2 4 2" xfId="3134" xr:uid="{00000000-0005-0000-0000-000072180000}"/>
    <cellStyle name="Normal 5 2 3 2 4 2 2" xfId="7356" xr:uid="{00000000-0005-0000-0000-000073180000}"/>
    <cellStyle name="Normal 5 2 3 2 4 2 2 2" xfId="25981" xr:uid="{7B9339F5-BCF3-4DD0-89D4-30769D584ABA}"/>
    <cellStyle name="Normal 5 2 3 2 4 2 2 3" xfId="16682" xr:uid="{39146120-0329-4319-A1A1-745D5A6E27E5}"/>
    <cellStyle name="Normal 5 2 3 2 4 2 3" xfId="21764" xr:uid="{9D9C1F87-0B38-4C4A-B330-8CB1B19178AA}"/>
    <cellStyle name="Normal 5 2 3 2 4 2 4" xfId="12465" xr:uid="{89A74A68-66E7-45C1-8C2F-2E573F6C25EB}"/>
    <cellStyle name="Normal 5 2 3 2 4 3" xfId="5211" xr:uid="{00000000-0005-0000-0000-000074180000}"/>
    <cellStyle name="Normal 5 2 3 2 4 3 2" xfId="23836" xr:uid="{FEDA49AC-B33A-4797-9359-6CB37999B7FC}"/>
    <cellStyle name="Normal 5 2 3 2 4 3 3" xfId="14537" xr:uid="{37D3892F-8EA0-4895-A799-F078522C003C}"/>
    <cellStyle name="Normal 5 2 3 2 4 4" xfId="9255" xr:uid="{C5A161BB-6C4F-4A9D-BBA7-7500B0B26A70}"/>
    <cellStyle name="Normal 5 2 3 2 4 4 2" xfId="27869" xr:uid="{EF5BA6E2-4108-4A69-8D97-F88E3085EBA1}"/>
    <cellStyle name="Normal 5 2 3 2 4 4 3" xfId="18570" xr:uid="{B72F7929-3A9C-4891-B196-0333BD6D6B3C}"/>
    <cellStyle name="Normal 5 2 3 2 4 5" xfId="19619" xr:uid="{0AFC80F7-FAF5-4B6D-A162-80A7A0D88667}"/>
    <cellStyle name="Normal 5 2 3 2 4 6" xfId="10320" xr:uid="{5A885C63-988D-4B71-95EF-F87B3690F006}"/>
    <cellStyle name="Normal 5 2 3 2 5" xfId="1317" xr:uid="{00000000-0005-0000-0000-000075180000}"/>
    <cellStyle name="Normal 5 2 3 2 5 2" xfId="3547" xr:uid="{00000000-0005-0000-0000-000076180000}"/>
    <cellStyle name="Normal 5 2 3 2 5 2 2" xfId="7769" xr:uid="{00000000-0005-0000-0000-000077180000}"/>
    <cellStyle name="Normal 5 2 3 2 5 2 2 2" xfId="26394" xr:uid="{FFD901E9-5EEC-42BC-82BE-F1104BFE10D8}"/>
    <cellStyle name="Normal 5 2 3 2 5 2 2 3" xfId="17095" xr:uid="{B153DB04-32F4-42AD-A4E6-DAB56D274DB7}"/>
    <cellStyle name="Normal 5 2 3 2 5 2 3" xfId="22177" xr:uid="{4AD2080E-23C6-45C4-928D-CF0A4211E64B}"/>
    <cellStyle name="Normal 5 2 3 2 5 2 4" xfId="12878" xr:uid="{4BBFD3C5-A83D-4C04-AF6C-C64088CFA6AD}"/>
    <cellStyle name="Normal 5 2 3 2 5 3" xfId="5624" xr:uid="{00000000-0005-0000-0000-000078180000}"/>
    <cellStyle name="Normal 5 2 3 2 5 3 2" xfId="24249" xr:uid="{71D877D1-00E6-4309-896A-D2B90E08C9D1}"/>
    <cellStyle name="Normal 5 2 3 2 5 3 3" xfId="14950" xr:uid="{57B4CCF5-F297-4687-888D-703387F8E19C}"/>
    <cellStyle name="Normal 5 2 3 2 5 4" xfId="20032" xr:uid="{E823AA2F-9468-4BCA-9C6D-B6D7C41DBB34}"/>
    <cellStyle name="Normal 5 2 3 2 5 5" xfId="10733" xr:uid="{372AB985-FA8C-4C89-99B6-22CC33F4F1D1}"/>
    <cellStyle name="Normal 5 2 3 2 6" xfId="1730" xr:uid="{00000000-0005-0000-0000-000079180000}"/>
    <cellStyle name="Normal 5 2 3 2 6 2" xfId="3960" xr:uid="{00000000-0005-0000-0000-00007A180000}"/>
    <cellStyle name="Normal 5 2 3 2 6 2 2" xfId="8182" xr:uid="{00000000-0005-0000-0000-00007B180000}"/>
    <cellStyle name="Normal 5 2 3 2 6 2 2 2" xfId="26807" xr:uid="{E2223023-FFEE-4AC5-8881-103C371CDBAA}"/>
    <cellStyle name="Normal 5 2 3 2 6 2 2 3" xfId="17508" xr:uid="{9BC667D2-2D99-4638-A3F6-DB60FA53A0AC}"/>
    <cellStyle name="Normal 5 2 3 2 6 2 3" xfId="22590" xr:uid="{42485068-EA34-4810-8E5D-7C17DE810429}"/>
    <cellStyle name="Normal 5 2 3 2 6 2 4" xfId="13291" xr:uid="{7E29BB5A-8E07-4858-8135-135D1CF40912}"/>
    <cellStyle name="Normal 5 2 3 2 6 3" xfId="6037" xr:uid="{00000000-0005-0000-0000-00007C180000}"/>
    <cellStyle name="Normal 5 2 3 2 6 3 2" xfId="24662" xr:uid="{904465E5-0D21-42A0-B85E-FF1DAA7F01C4}"/>
    <cellStyle name="Normal 5 2 3 2 6 3 3" xfId="15363" xr:uid="{C8D4D9A9-5251-47FF-BAAB-0473B2EADE9C}"/>
    <cellStyle name="Normal 5 2 3 2 6 4" xfId="20445" xr:uid="{8BDAF3BF-024F-4B64-8FEC-861C6ADA4918}"/>
    <cellStyle name="Normal 5 2 3 2 6 5" xfId="11146" xr:uid="{6C40F29B-1E62-43B6-A241-0E9DF6AE55CA}"/>
    <cellStyle name="Normal 5 2 3 2 7" xfId="2144" xr:uid="{00000000-0005-0000-0000-00007D180000}"/>
    <cellStyle name="Normal 5 2 3 2 7 2" xfId="4373" xr:uid="{00000000-0005-0000-0000-00007E180000}"/>
    <cellStyle name="Normal 5 2 3 2 7 2 2" xfId="8595" xr:uid="{00000000-0005-0000-0000-00007F180000}"/>
    <cellStyle name="Normal 5 2 3 2 7 2 2 2" xfId="27220" xr:uid="{40958558-AD92-4678-8B2A-752616E2818A}"/>
    <cellStyle name="Normal 5 2 3 2 7 2 2 3" xfId="17921" xr:uid="{5124D241-D091-4F0C-8F9B-853E7422E150}"/>
    <cellStyle name="Normal 5 2 3 2 7 2 3" xfId="23003" xr:uid="{65C7C27A-51C7-4432-BE9A-1D772B9F76B9}"/>
    <cellStyle name="Normal 5 2 3 2 7 2 4" xfId="13704" xr:uid="{1881312E-DA4E-4307-9B4E-AD0553E2BDF4}"/>
    <cellStyle name="Normal 5 2 3 2 7 3" xfId="6450" xr:uid="{00000000-0005-0000-0000-000080180000}"/>
    <cellStyle name="Normal 5 2 3 2 7 3 2" xfId="25075" xr:uid="{B01E8ED8-E3B8-4933-93A9-6507546AABFC}"/>
    <cellStyle name="Normal 5 2 3 2 7 3 3" xfId="15776" xr:uid="{DB67E9F6-4318-4058-B3AB-F59C2C81F133}"/>
    <cellStyle name="Normal 5 2 3 2 7 4" xfId="20858" xr:uid="{27AB3746-82A4-46B1-8D5F-F2F7AAB5D817}"/>
    <cellStyle name="Normal 5 2 3 2 7 5" xfId="11559" xr:uid="{C6782F89-F451-4B43-AF0D-C935B486E496}"/>
    <cellStyle name="Normal 5 2 3 2 8" xfId="2580" xr:uid="{00000000-0005-0000-0000-000081180000}"/>
    <cellStyle name="Normal 5 2 3 2 8 2" xfId="6863" xr:uid="{00000000-0005-0000-0000-000082180000}"/>
    <cellStyle name="Normal 5 2 3 2 8 2 2" xfId="25488" xr:uid="{33270ACD-493A-49C3-B3DB-72D38BAF767F}"/>
    <cellStyle name="Normal 5 2 3 2 8 2 3" xfId="16189" xr:uid="{C53C6A1A-8453-470F-95F2-C80FD8DEDDA4}"/>
    <cellStyle name="Normal 5 2 3 2 8 3" xfId="21271" xr:uid="{B46DA7AE-33EA-4A8D-8074-F350793CCB49}"/>
    <cellStyle name="Normal 5 2 3 2 8 4" xfId="11972" xr:uid="{F3B92990-6116-4995-A649-C580551AF24F}"/>
    <cellStyle name="Normal 5 2 3 2 9" xfId="4798" xr:uid="{00000000-0005-0000-0000-000083180000}"/>
    <cellStyle name="Normal 5 2 3 2 9 2" xfId="23423" xr:uid="{41F8E007-3634-4E1D-8AD5-9B0D515F75C0}"/>
    <cellStyle name="Normal 5 2 3 2 9 3" xfId="14124" xr:uid="{2C705643-B29D-482B-AAC0-B6BFF9FBCA7D}"/>
    <cellStyle name="Normal 5 2 3 3" xfId="429" xr:uid="{00000000-0005-0000-0000-000084180000}"/>
    <cellStyle name="Normal 5 2 3 3 10" xfId="19210" xr:uid="{159980F5-DD55-400B-9D76-22753BFCDD9C}"/>
    <cellStyle name="Normal 5 2 3 3 11" xfId="9911" xr:uid="{6423FD56-A4C3-414B-9F15-F72A028404C0}"/>
    <cellStyle name="Normal 5 2 3 3 2" xfId="430" xr:uid="{00000000-0005-0000-0000-000085180000}"/>
    <cellStyle name="Normal 5 2 3 3 2 10" xfId="9912" xr:uid="{A5A4EF6C-0715-4089-801F-92B2BD71D2CE}"/>
    <cellStyle name="Normal 5 2 3 3 2 2" xfId="904" xr:uid="{00000000-0005-0000-0000-000086180000}"/>
    <cellStyle name="Normal 5 2 3 3 2 2 2" xfId="3139" xr:uid="{00000000-0005-0000-0000-000087180000}"/>
    <cellStyle name="Normal 5 2 3 3 2 2 2 2" xfId="7361" xr:uid="{00000000-0005-0000-0000-000088180000}"/>
    <cellStyle name="Normal 5 2 3 3 2 2 2 2 2" xfId="25986" xr:uid="{2F0B03B6-4610-41CA-BBFE-CB02DED395A6}"/>
    <cellStyle name="Normal 5 2 3 3 2 2 2 2 3" xfId="16687" xr:uid="{8D3CD5E6-66F4-498B-BF53-52F60A00AEA5}"/>
    <cellStyle name="Normal 5 2 3 3 2 2 2 3" xfId="21769" xr:uid="{F6C21013-E73F-41BD-959E-1FCB3145C91E}"/>
    <cellStyle name="Normal 5 2 3 3 2 2 2 4" xfId="12470" xr:uid="{86AFC0D1-D86B-47AE-A16B-F80768D59AB3}"/>
    <cellStyle name="Normal 5 2 3 3 2 2 3" xfId="5216" xr:uid="{00000000-0005-0000-0000-000089180000}"/>
    <cellStyle name="Normal 5 2 3 3 2 2 3 2" xfId="23841" xr:uid="{ECC62A0B-BDFC-41D9-8823-9F618E785DE5}"/>
    <cellStyle name="Normal 5 2 3 3 2 2 3 3" xfId="14542" xr:uid="{C5D1E732-30CA-4C65-B717-C40E7C012B84}"/>
    <cellStyle name="Normal 5 2 3 3 2 2 4" xfId="9511" xr:uid="{75EF02F8-0397-4B30-A858-343ADCA7C08D}"/>
    <cellStyle name="Normal 5 2 3 3 2 2 4 2" xfId="28125" xr:uid="{5AB4066D-813D-4C70-B265-800655163DD4}"/>
    <cellStyle name="Normal 5 2 3 3 2 2 4 3" xfId="18826" xr:uid="{E404344C-F64F-41F1-94F6-EDFC667B21A2}"/>
    <cellStyle name="Normal 5 2 3 3 2 2 5" xfId="19624" xr:uid="{6A2DA15C-5DC9-4BF2-9695-E3ABD9EC5FAC}"/>
    <cellStyle name="Normal 5 2 3 3 2 2 6" xfId="10325" xr:uid="{0477706F-6F56-4402-8ACC-436E1C431E78}"/>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2 2 2" xfId="26399" xr:uid="{C9019D44-4784-4C96-81FB-9A4F5D2229E0}"/>
    <cellStyle name="Normal 5 2 3 3 2 3 2 2 3" xfId="17100" xr:uid="{306E85CA-4F53-4466-94B0-7D82FD66EB85}"/>
    <cellStyle name="Normal 5 2 3 3 2 3 2 3" xfId="22182" xr:uid="{2DA903EC-A14B-4D69-ABB1-8A59FD4C84FA}"/>
    <cellStyle name="Normal 5 2 3 3 2 3 2 4" xfId="12883" xr:uid="{BD4647F9-5548-4689-97C6-71B20B2C2F24}"/>
    <cellStyle name="Normal 5 2 3 3 2 3 3" xfId="5629" xr:uid="{00000000-0005-0000-0000-00008D180000}"/>
    <cellStyle name="Normal 5 2 3 3 2 3 3 2" xfId="24254" xr:uid="{EB788CB5-8CE3-47AC-A167-6108239BC32B}"/>
    <cellStyle name="Normal 5 2 3 3 2 3 3 3" xfId="14955" xr:uid="{1A29BFB0-38D7-48CE-96EC-54912AA9A76C}"/>
    <cellStyle name="Normal 5 2 3 3 2 3 4" xfId="20037" xr:uid="{9D8106A5-6CA5-4379-8321-A8A1C58C0CF8}"/>
    <cellStyle name="Normal 5 2 3 3 2 3 5" xfId="10738" xr:uid="{38A53755-9451-4E23-9BCD-E4F8C9FB3901}"/>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2 2 2" xfId="26812" xr:uid="{C2AD261D-5590-40D5-8193-0E2C591E1E82}"/>
    <cellStyle name="Normal 5 2 3 3 2 4 2 2 3" xfId="17513" xr:uid="{25CDC4B6-1061-4208-8D5A-46E0357740DC}"/>
    <cellStyle name="Normal 5 2 3 3 2 4 2 3" xfId="22595" xr:uid="{917ADC21-8CD9-4F49-9090-3E62B2FAE571}"/>
    <cellStyle name="Normal 5 2 3 3 2 4 2 4" xfId="13296" xr:uid="{B312B792-1CB1-4F33-95E9-0F4EDF809F63}"/>
    <cellStyle name="Normal 5 2 3 3 2 4 3" xfId="6042" xr:uid="{00000000-0005-0000-0000-000091180000}"/>
    <cellStyle name="Normal 5 2 3 3 2 4 3 2" xfId="24667" xr:uid="{AE1440BD-A43E-4F24-8463-122D62EE3E7D}"/>
    <cellStyle name="Normal 5 2 3 3 2 4 3 3" xfId="15368" xr:uid="{666F52E5-1542-4B5D-98B8-78A6F4B46E94}"/>
    <cellStyle name="Normal 5 2 3 3 2 4 4" xfId="20450" xr:uid="{13AAB15F-E9BD-4C83-B930-C3B1D8F32535}"/>
    <cellStyle name="Normal 5 2 3 3 2 4 5" xfId="11151" xr:uid="{BDBF9CDF-AF71-48C0-9DE8-8A0E23E97DA3}"/>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2 2 2" xfId="27225" xr:uid="{81118D1D-8438-45C5-81C9-A5E5986E4BC6}"/>
    <cellStyle name="Normal 5 2 3 3 2 5 2 2 3" xfId="17926" xr:uid="{B6378409-C135-43A1-8205-032E41A05718}"/>
    <cellStyle name="Normal 5 2 3 3 2 5 2 3" xfId="23008" xr:uid="{7246C6FB-2876-4C07-A853-5854873E5480}"/>
    <cellStyle name="Normal 5 2 3 3 2 5 2 4" xfId="13709" xr:uid="{E517E00D-2F83-4280-BBB3-2DE0F2163CBA}"/>
    <cellStyle name="Normal 5 2 3 3 2 5 3" xfId="6455" xr:uid="{00000000-0005-0000-0000-000095180000}"/>
    <cellStyle name="Normal 5 2 3 3 2 5 3 2" xfId="25080" xr:uid="{AD8E3289-4FF5-45BB-BF5A-419CA7FA349D}"/>
    <cellStyle name="Normal 5 2 3 3 2 5 3 3" xfId="15781" xr:uid="{DB7F274F-65BD-43EB-A8FA-34DC6888A07E}"/>
    <cellStyle name="Normal 5 2 3 3 2 5 4" xfId="20863" xr:uid="{BFBE70F8-47AB-4BDA-B965-7489157E32FE}"/>
    <cellStyle name="Normal 5 2 3 3 2 5 5" xfId="11564" xr:uid="{6B320D9D-FAAD-43DD-8F53-A1EDD0730064}"/>
    <cellStyle name="Normal 5 2 3 3 2 6" xfId="2585" xr:uid="{00000000-0005-0000-0000-000096180000}"/>
    <cellStyle name="Normal 5 2 3 3 2 6 2" xfId="6868" xr:uid="{00000000-0005-0000-0000-000097180000}"/>
    <cellStyle name="Normal 5 2 3 3 2 6 2 2" xfId="25493" xr:uid="{5E0FABB4-0B0B-4E07-82F4-968671B78103}"/>
    <cellStyle name="Normal 5 2 3 3 2 6 2 3" xfId="16194" xr:uid="{17F0BE85-B129-47B6-BE70-6C54A6DE7E12}"/>
    <cellStyle name="Normal 5 2 3 3 2 6 3" xfId="21276" xr:uid="{2A2E699C-0BD6-48B5-97B3-67924A0020F7}"/>
    <cellStyle name="Normal 5 2 3 3 2 6 4" xfId="11977" xr:uid="{282EDB0B-A812-4CFA-99E8-01728F2CE781}"/>
    <cellStyle name="Normal 5 2 3 3 2 7" xfId="4803" xr:uid="{00000000-0005-0000-0000-000098180000}"/>
    <cellStyle name="Normal 5 2 3 3 2 7 2" xfId="23428" xr:uid="{89C3E0D7-D55E-4260-9E42-8C7A344D36BB}"/>
    <cellStyle name="Normal 5 2 3 3 2 7 3" xfId="14129" xr:uid="{5D10C6C1-EE4D-46B9-97F1-FC3BEA518476}"/>
    <cellStyle name="Normal 5 2 3 3 2 8" xfId="9086" xr:uid="{442E5F61-F00C-4774-822F-4985AB3E1CB7}"/>
    <cellStyle name="Normal 5 2 3 3 2 8 2" xfId="27709" xr:uid="{22DA58EF-F846-4A2E-ACEF-BFBB3B99C108}"/>
    <cellStyle name="Normal 5 2 3 3 2 8 3" xfId="18410" xr:uid="{DE557720-9B79-4CDF-B242-B98612570DE3}"/>
    <cellStyle name="Normal 5 2 3 3 2 9" xfId="19211" xr:uid="{B17C5EC2-C204-4A23-8A81-DFE0D11175FD}"/>
    <cellStyle name="Normal 5 2 3 3 3" xfId="903" xr:uid="{00000000-0005-0000-0000-000099180000}"/>
    <cellStyle name="Normal 5 2 3 3 3 2" xfId="3138" xr:uid="{00000000-0005-0000-0000-00009A180000}"/>
    <cellStyle name="Normal 5 2 3 3 3 2 2" xfId="7360" xr:uid="{00000000-0005-0000-0000-00009B180000}"/>
    <cellStyle name="Normal 5 2 3 3 3 2 2 2" xfId="25985" xr:uid="{31E4C986-6F4E-4074-B2DB-759108B60D99}"/>
    <cellStyle name="Normal 5 2 3 3 3 2 2 3" xfId="16686" xr:uid="{12D54B6D-2C65-49BE-9F2E-7B2146149689}"/>
    <cellStyle name="Normal 5 2 3 3 3 2 3" xfId="21768" xr:uid="{50ACE9A4-AF7A-42FF-A6EA-F0E7E2407824}"/>
    <cellStyle name="Normal 5 2 3 3 3 2 4" xfId="12469" xr:uid="{3C38D7AF-11CA-4A00-82CD-CAABC9C25737}"/>
    <cellStyle name="Normal 5 2 3 3 3 3" xfId="5215" xr:uid="{00000000-0005-0000-0000-00009C180000}"/>
    <cellStyle name="Normal 5 2 3 3 3 3 2" xfId="23840" xr:uid="{E30399DE-4871-4DCC-A557-8FD11AB925E1}"/>
    <cellStyle name="Normal 5 2 3 3 3 3 3" xfId="14541" xr:uid="{5B512057-B6BF-46E8-B7F1-5104D407325A}"/>
    <cellStyle name="Normal 5 2 3 3 3 4" xfId="9304" xr:uid="{2C783A77-F32A-4E64-807E-062B95DB0310}"/>
    <cellStyle name="Normal 5 2 3 3 3 4 2" xfId="27918" xr:uid="{D080F08E-01EF-441E-BA71-0DC1C356E418}"/>
    <cellStyle name="Normal 5 2 3 3 3 4 3" xfId="18619" xr:uid="{B3DA012A-CEDD-4466-B1E2-13ACF58A5286}"/>
    <cellStyle name="Normal 5 2 3 3 3 5" xfId="19623" xr:uid="{79E5D0F9-B7B8-4E27-B601-3CC865A74C01}"/>
    <cellStyle name="Normal 5 2 3 3 3 6" xfId="10324" xr:uid="{AAD2CDFA-96EA-4974-9D64-150C6F35766C}"/>
    <cellStyle name="Normal 5 2 3 3 4" xfId="1321" xr:uid="{00000000-0005-0000-0000-00009D180000}"/>
    <cellStyle name="Normal 5 2 3 3 4 2" xfId="3551" xr:uid="{00000000-0005-0000-0000-00009E180000}"/>
    <cellStyle name="Normal 5 2 3 3 4 2 2" xfId="7773" xr:uid="{00000000-0005-0000-0000-00009F180000}"/>
    <cellStyle name="Normal 5 2 3 3 4 2 2 2" xfId="26398" xr:uid="{FDF979BA-0159-4694-9F80-F042CF5CDC2E}"/>
    <cellStyle name="Normal 5 2 3 3 4 2 2 3" xfId="17099" xr:uid="{A5115C8D-4CC8-4004-916C-D05AB18F096E}"/>
    <cellStyle name="Normal 5 2 3 3 4 2 3" xfId="22181" xr:uid="{CDB6A953-1FBD-415B-8B7D-1E3613E54D24}"/>
    <cellStyle name="Normal 5 2 3 3 4 2 4" xfId="12882" xr:uid="{5F937199-C9EB-4517-875F-F1F937A18B89}"/>
    <cellStyle name="Normal 5 2 3 3 4 3" xfId="5628" xr:uid="{00000000-0005-0000-0000-0000A0180000}"/>
    <cellStyle name="Normal 5 2 3 3 4 3 2" xfId="24253" xr:uid="{BA958AFF-0151-42B7-9D08-3E1627A8124B}"/>
    <cellStyle name="Normal 5 2 3 3 4 3 3" xfId="14954" xr:uid="{1D4BEF87-FF82-4591-B50E-C18232914AB9}"/>
    <cellStyle name="Normal 5 2 3 3 4 4" xfId="20036" xr:uid="{E7512440-1A14-4C33-B06A-2502321CFDBC}"/>
    <cellStyle name="Normal 5 2 3 3 4 5" xfId="10737" xr:uid="{0AC274A4-EE73-40B1-BA84-ECFB1AA23B7F}"/>
    <cellStyle name="Normal 5 2 3 3 5" xfId="1734" xr:uid="{00000000-0005-0000-0000-0000A1180000}"/>
    <cellStyle name="Normal 5 2 3 3 5 2" xfId="3964" xr:uid="{00000000-0005-0000-0000-0000A2180000}"/>
    <cellStyle name="Normal 5 2 3 3 5 2 2" xfId="8186" xr:uid="{00000000-0005-0000-0000-0000A3180000}"/>
    <cellStyle name="Normal 5 2 3 3 5 2 2 2" xfId="26811" xr:uid="{064AFFED-76FF-40C6-8B11-04BFBED44217}"/>
    <cellStyle name="Normal 5 2 3 3 5 2 2 3" xfId="17512" xr:uid="{0F899690-94D8-46D3-9835-BCB6FA002F0E}"/>
    <cellStyle name="Normal 5 2 3 3 5 2 3" xfId="22594" xr:uid="{9CCBB3CD-A62D-42A2-93FB-77ED01B3FC0A}"/>
    <cellStyle name="Normal 5 2 3 3 5 2 4" xfId="13295" xr:uid="{4ED627C3-49E8-400F-AA02-C113C9F967DE}"/>
    <cellStyle name="Normal 5 2 3 3 5 3" xfId="6041" xr:uid="{00000000-0005-0000-0000-0000A4180000}"/>
    <cellStyle name="Normal 5 2 3 3 5 3 2" xfId="24666" xr:uid="{BAB9A1EE-ECBA-4E9E-9EF6-B5C7EBCDDD72}"/>
    <cellStyle name="Normal 5 2 3 3 5 3 3" xfId="15367" xr:uid="{DDEE30FE-178C-4375-B7A1-87F43502A187}"/>
    <cellStyle name="Normal 5 2 3 3 5 4" xfId="20449" xr:uid="{81423832-155F-40D6-BC9A-FBF7C77AF854}"/>
    <cellStyle name="Normal 5 2 3 3 5 5" xfId="11150" xr:uid="{E99A0FF5-687C-4200-ACD7-E44E72B15244}"/>
    <cellStyle name="Normal 5 2 3 3 6" xfId="2148" xr:uid="{00000000-0005-0000-0000-0000A5180000}"/>
    <cellStyle name="Normal 5 2 3 3 6 2" xfId="4377" xr:uid="{00000000-0005-0000-0000-0000A6180000}"/>
    <cellStyle name="Normal 5 2 3 3 6 2 2" xfId="8599" xr:uid="{00000000-0005-0000-0000-0000A7180000}"/>
    <cellStyle name="Normal 5 2 3 3 6 2 2 2" xfId="27224" xr:uid="{3DD18BD7-CB64-4C6E-947A-8EF855E08046}"/>
    <cellStyle name="Normal 5 2 3 3 6 2 2 3" xfId="17925" xr:uid="{FD57EEDE-7658-4CC1-8F45-B3679CCCB94C}"/>
    <cellStyle name="Normal 5 2 3 3 6 2 3" xfId="23007" xr:uid="{53865D5F-0C1B-400E-8F69-3306D72C056B}"/>
    <cellStyle name="Normal 5 2 3 3 6 2 4" xfId="13708" xr:uid="{71C34497-3FF8-4A66-AA40-DCB595B3FA2A}"/>
    <cellStyle name="Normal 5 2 3 3 6 3" xfId="6454" xr:uid="{00000000-0005-0000-0000-0000A8180000}"/>
    <cellStyle name="Normal 5 2 3 3 6 3 2" xfId="25079" xr:uid="{0143D408-1451-4B88-9388-6BCBFC6B72C5}"/>
    <cellStyle name="Normal 5 2 3 3 6 3 3" xfId="15780" xr:uid="{88496A9D-CD55-4EB6-88BB-1DB959496014}"/>
    <cellStyle name="Normal 5 2 3 3 6 4" xfId="20862" xr:uid="{6A831A63-D23F-4448-A1A2-E23917E6C036}"/>
    <cellStyle name="Normal 5 2 3 3 6 5" xfId="11563" xr:uid="{DBA6F8E7-45DE-4743-B4D0-0F65B2C82BA3}"/>
    <cellStyle name="Normal 5 2 3 3 7" xfId="2584" xr:uid="{00000000-0005-0000-0000-0000A9180000}"/>
    <cellStyle name="Normal 5 2 3 3 7 2" xfId="6867" xr:uid="{00000000-0005-0000-0000-0000AA180000}"/>
    <cellStyle name="Normal 5 2 3 3 7 2 2" xfId="25492" xr:uid="{95FC6FA3-0ED4-4F3D-A7E4-B5C281A012F8}"/>
    <cellStyle name="Normal 5 2 3 3 7 2 3" xfId="16193" xr:uid="{0FA56B89-CCCF-48C9-87C8-F117BDC4B127}"/>
    <cellStyle name="Normal 5 2 3 3 7 3" xfId="21275" xr:uid="{F80977F0-3DB2-4158-A28B-4F17EB0DDD4F}"/>
    <cellStyle name="Normal 5 2 3 3 7 4" xfId="11976" xr:uid="{EBF8EE20-F746-453D-A136-A42384703A01}"/>
    <cellStyle name="Normal 5 2 3 3 8" xfId="4802" xr:uid="{00000000-0005-0000-0000-0000AB180000}"/>
    <cellStyle name="Normal 5 2 3 3 8 2" xfId="23427" xr:uid="{53A237B8-832C-41E2-BF67-79CFB67663B1}"/>
    <cellStyle name="Normal 5 2 3 3 8 3" xfId="14128" xr:uid="{01A03976-AB14-4306-99C6-12609ACA1D6A}"/>
    <cellStyle name="Normal 5 2 3 3 9" xfId="8879" xr:uid="{F521005C-E3E0-4B64-9C0A-0C510FB9AAB2}"/>
    <cellStyle name="Normal 5 2 3 3 9 2" xfId="27502" xr:uid="{5F9FAAD9-A4A4-4E6F-98D5-8D7D70BFB76F}"/>
    <cellStyle name="Normal 5 2 3 3 9 3" xfId="18203" xr:uid="{E16448D2-4E4D-41EF-9182-EDB6430AF43F}"/>
    <cellStyle name="Normal 5 2 3 4" xfId="431" xr:uid="{00000000-0005-0000-0000-0000AC180000}"/>
    <cellStyle name="Normal 5 2 3 4 10" xfId="9913" xr:uid="{11A3694A-4253-4EF2-8E5B-A1825DAA4131}"/>
    <cellStyle name="Normal 5 2 3 4 2" xfId="905" xr:uid="{00000000-0005-0000-0000-0000AD180000}"/>
    <cellStyle name="Normal 5 2 3 4 2 2" xfId="3140" xr:uid="{00000000-0005-0000-0000-0000AE180000}"/>
    <cellStyle name="Normal 5 2 3 4 2 2 2" xfId="7362" xr:uid="{00000000-0005-0000-0000-0000AF180000}"/>
    <cellStyle name="Normal 5 2 3 4 2 2 2 2" xfId="25987" xr:uid="{B6A34C0F-6B5C-4C69-96A5-90E25A128E33}"/>
    <cellStyle name="Normal 5 2 3 4 2 2 2 3" xfId="16688" xr:uid="{3A573820-7661-422C-8B28-8C062351CFAB}"/>
    <cellStyle name="Normal 5 2 3 4 2 2 3" xfId="21770" xr:uid="{73906F11-209E-4ACD-A4A4-B0815F32DA7F}"/>
    <cellStyle name="Normal 5 2 3 4 2 2 4" xfId="12471" xr:uid="{5D655F2E-F165-4AC2-B934-13B47C402914}"/>
    <cellStyle name="Normal 5 2 3 4 2 3" xfId="5217" xr:uid="{00000000-0005-0000-0000-0000B0180000}"/>
    <cellStyle name="Normal 5 2 3 4 2 3 2" xfId="23842" xr:uid="{CCDD30D2-A340-4719-9C8C-306C650EB570}"/>
    <cellStyle name="Normal 5 2 3 4 2 3 3" xfId="14543" xr:uid="{CC63EF20-39C4-464B-B761-C4C8373258A2}"/>
    <cellStyle name="Normal 5 2 3 4 2 4" xfId="9408" xr:uid="{3B6F9C6F-3D7C-45F8-99FE-451C0F8CED36}"/>
    <cellStyle name="Normal 5 2 3 4 2 4 2" xfId="28022" xr:uid="{0AE9F355-1386-460C-AF6E-CB917241AF9B}"/>
    <cellStyle name="Normal 5 2 3 4 2 4 3" xfId="18723" xr:uid="{A497BA67-3A9A-44C5-A897-C13D1EBB4152}"/>
    <cellStyle name="Normal 5 2 3 4 2 5" xfId="19625" xr:uid="{BF0DA629-6130-4FE7-8E11-14EA985904EC}"/>
    <cellStyle name="Normal 5 2 3 4 2 6" xfId="10326" xr:uid="{F2A7C82A-7A8A-40DA-A536-DEC065CDBEE4}"/>
    <cellStyle name="Normal 5 2 3 4 3" xfId="1323" xr:uid="{00000000-0005-0000-0000-0000B1180000}"/>
    <cellStyle name="Normal 5 2 3 4 3 2" xfId="3553" xr:uid="{00000000-0005-0000-0000-0000B2180000}"/>
    <cellStyle name="Normal 5 2 3 4 3 2 2" xfId="7775" xr:uid="{00000000-0005-0000-0000-0000B3180000}"/>
    <cellStyle name="Normal 5 2 3 4 3 2 2 2" xfId="26400" xr:uid="{0C7BF691-0EDB-415E-B75A-0D4160588A29}"/>
    <cellStyle name="Normal 5 2 3 4 3 2 2 3" xfId="17101" xr:uid="{FB051E89-75EB-4EBF-9C5F-2270F503ED60}"/>
    <cellStyle name="Normal 5 2 3 4 3 2 3" xfId="22183" xr:uid="{3FD48DC9-046A-4AE5-9591-4AD07CF0049E}"/>
    <cellStyle name="Normal 5 2 3 4 3 2 4" xfId="12884" xr:uid="{4ED45EDE-E259-47D5-A5DA-FE135925DDD1}"/>
    <cellStyle name="Normal 5 2 3 4 3 3" xfId="5630" xr:uid="{00000000-0005-0000-0000-0000B4180000}"/>
    <cellStyle name="Normal 5 2 3 4 3 3 2" xfId="24255" xr:uid="{0DBAD774-AA14-47A7-96AC-C93AFE767B71}"/>
    <cellStyle name="Normal 5 2 3 4 3 3 3" xfId="14956" xr:uid="{AE89B769-8324-46C0-A8CC-E825781345AA}"/>
    <cellStyle name="Normal 5 2 3 4 3 4" xfId="20038" xr:uid="{7109286D-185E-4C8D-A52B-D095A1BF6369}"/>
    <cellStyle name="Normal 5 2 3 4 3 5" xfId="10739" xr:uid="{0B66C338-207A-4A43-B238-E1370053158B}"/>
    <cellStyle name="Normal 5 2 3 4 4" xfId="1736" xr:uid="{00000000-0005-0000-0000-0000B5180000}"/>
    <cellStyle name="Normal 5 2 3 4 4 2" xfId="3966" xr:uid="{00000000-0005-0000-0000-0000B6180000}"/>
    <cellStyle name="Normal 5 2 3 4 4 2 2" xfId="8188" xr:uid="{00000000-0005-0000-0000-0000B7180000}"/>
    <cellStyle name="Normal 5 2 3 4 4 2 2 2" xfId="26813" xr:uid="{F1497D8C-3340-4916-AE54-D32E8218A117}"/>
    <cellStyle name="Normal 5 2 3 4 4 2 2 3" xfId="17514" xr:uid="{46484FD7-7851-451B-8EB6-3BBD0CB0B5B0}"/>
    <cellStyle name="Normal 5 2 3 4 4 2 3" xfId="22596" xr:uid="{D5EA80D4-B3EF-4421-A6F8-FB140B60EAFA}"/>
    <cellStyle name="Normal 5 2 3 4 4 2 4" xfId="13297" xr:uid="{5328D834-B01F-4351-A7A6-CD0EB33189AA}"/>
    <cellStyle name="Normal 5 2 3 4 4 3" xfId="6043" xr:uid="{00000000-0005-0000-0000-0000B8180000}"/>
    <cellStyle name="Normal 5 2 3 4 4 3 2" xfId="24668" xr:uid="{16155791-7858-43B2-9DF5-0B54775BFAEB}"/>
    <cellStyle name="Normal 5 2 3 4 4 3 3" xfId="15369" xr:uid="{3490B5D9-0764-4571-81CF-8AC376951B8F}"/>
    <cellStyle name="Normal 5 2 3 4 4 4" xfId="20451" xr:uid="{3832B03C-BC1A-4A45-81EE-7597DBC68BC3}"/>
    <cellStyle name="Normal 5 2 3 4 4 5" xfId="11152" xr:uid="{E54129A6-B45F-468A-892A-B77902BFD6C4}"/>
    <cellStyle name="Normal 5 2 3 4 5" xfId="2150" xr:uid="{00000000-0005-0000-0000-0000B9180000}"/>
    <cellStyle name="Normal 5 2 3 4 5 2" xfId="4379" xr:uid="{00000000-0005-0000-0000-0000BA180000}"/>
    <cellStyle name="Normal 5 2 3 4 5 2 2" xfId="8601" xr:uid="{00000000-0005-0000-0000-0000BB180000}"/>
    <cellStyle name="Normal 5 2 3 4 5 2 2 2" xfId="27226" xr:uid="{B3D99193-11A6-4C7C-B798-090EA5305B15}"/>
    <cellStyle name="Normal 5 2 3 4 5 2 2 3" xfId="17927" xr:uid="{8DBAF967-FDDB-439B-AB68-AF40F1A92DAB}"/>
    <cellStyle name="Normal 5 2 3 4 5 2 3" xfId="23009" xr:uid="{C11D91E3-4A94-442E-A9F1-1C7B90F923AE}"/>
    <cellStyle name="Normal 5 2 3 4 5 2 4" xfId="13710" xr:uid="{E8DD7868-6DFF-44CA-B83E-78B14E7614FF}"/>
    <cellStyle name="Normal 5 2 3 4 5 3" xfId="6456" xr:uid="{00000000-0005-0000-0000-0000BC180000}"/>
    <cellStyle name="Normal 5 2 3 4 5 3 2" xfId="25081" xr:uid="{A378A740-7D98-4266-80B2-02C1B0381B34}"/>
    <cellStyle name="Normal 5 2 3 4 5 3 3" xfId="15782" xr:uid="{738D6C62-AA1A-472E-80F8-8A2AB0D2B3C0}"/>
    <cellStyle name="Normal 5 2 3 4 5 4" xfId="20864" xr:uid="{19C6CD54-3973-43D0-B1A6-5A7DE1FC3A21}"/>
    <cellStyle name="Normal 5 2 3 4 5 5" xfId="11565" xr:uid="{CA353828-D90C-4377-9D88-B332F6723923}"/>
    <cellStyle name="Normal 5 2 3 4 6" xfId="2586" xr:uid="{00000000-0005-0000-0000-0000BD180000}"/>
    <cellStyle name="Normal 5 2 3 4 6 2" xfId="6869" xr:uid="{00000000-0005-0000-0000-0000BE180000}"/>
    <cellStyle name="Normal 5 2 3 4 6 2 2" xfId="25494" xr:uid="{58B6E8E0-42C6-499C-A5A9-5AF125355559}"/>
    <cellStyle name="Normal 5 2 3 4 6 2 3" xfId="16195" xr:uid="{872DFD2B-9956-4F30-862E-FBBB896F02BC}"/>
    <cellStyle name="Normal 5 2 3 4 6 3" xfId="21277" xr:uid="{41FE9B89-C9FC-47B7-99C1-075F5C75520E}"/>
    <cellStyle name="Normal 5 2 3 4 6 4" xfId="11978" xr:uid="{B85D8322-A998-4C71-8415-FAB72FCC60EC}"/>
    <cellStyle name="Normal 5 2 3 4 7" xfId="4804" xr:uid="{00000000-0005-0000-0000-0000BF180000}"/>
    <cellStyle name="Normal 5 2 3 4 7 2" xfId="23429" xr:uid="{E109A3A1-2F65-4FC9-9177-78C61C95D05D}"/>
    <cellStyle name="Normal 5 2 3 4 7 3" xfId="14130" xr:uid="{2FE7EF49-82BD-4C67-8759-DB6C6FF538B1}"/>
    <cellStyle name="Normal 5 2 3 4 8" xfId="8983" xr:uid="{07388FCC-03DE-4CE8-89CB-9C92F8174E24}"/>
    <cellStyle name="Normal 5 2 3 4 8 2" xfId="27606" xr:uid="{6A13B34F-8DBB-4949-A605-976403A605EE}"/>
    <cellStyle name="Normal 5 2 3 4 8 3" xfId="18307" xr:uid="{C8A4D8A6-C272-4F94-BC21-EAAAE51E9E3A}"/>
    <cellStyle name="Normal 5 2 3 4 9" xfId="19212" xr:uid="{D9DCBFFD-335C-4736-83E7-5F2B456D116D}"/>
    <cellStyle name="Normal 5 2 3 5" xfId="898" xr:uid="{00000000-0005-0000-0000-0000C0180000}"/>
    <cellStyle name="Normal 5 2 3 5 2" xfId="3133" xr:uid="{00000000-0005-0000-0000-0000C1180000}"/>
    <cellStyle name="Normal 5 2 3 5 2 2" xfId="7355" xr:uid="{00000000-0005-0000-0000-0000C2180000}"/>
    <cellStyle name="Normal 5 2 3 5 2 2 2" xfId="25980" xr:uid="{2FFCF6A8-E9A0-415A-922A-0D8367A3FFA4}"/>
    <cellStyle name="Normal 5 2 3 5 2 2 3" xfId="16681" xr:uid="{69789650-1948-45F1-8F3D-F0EBAF8AAAE7}"/>
    <cellStyle name="Normal 5 2 3 5 2 3" xfId="21763" xr:uid="{9CF80A77-4764-4B26-831A-34C91ADE9735}"/>
    <cellStyle name="Normal 5 2 3 5 2 4" xfId="12464" xr:uid="{CEC52108-7E43-4FB2-AF5C-F75677FB341F}"/>
    <cellStyle name="Normal 5 2 3 5 3" xfId="5210" xr:uid="{00000000-0005-0000-0000-0000C3180000}"/>
    <cellStyle name="Normal 5 2 3 5 3 2" xfId="23835" xr:uid="{A44E6484-EB0F-4A92-A666-91ABE92A4B0A}"/>
    <cellStyle name="Normal 5 2 3 5 3 3" xfId="14536" xr:uid="{A01E13B8-6264-449D-BB33-98F4A958E977}"/>
    <cellStyle name="Normal 5 2 3 5 4" xfId="9200" xr:uid="{13DE827A-4007-427A-9869-ADBBE6B70993}"/>
    <cellStyle name="Normal 5 2 3 5 4 2" xfId="27815" xr:uid="{070D073F-0EB5-433B-95DB-58E523A7B3F5}"/>
    <cellStyle name="Normal 5 2 3 5 4 3" xfId="18516" xr:uid="{42A2E0B2-0F58-4A68-9784-FD1C02F841FD}"/>
    <cellStyle name="Normal 5 2 3 5 5" xfId="19618" xr:uid="{C249DF68-EC27-4364-81DF-9B4BEF6A3805}"/>
    <cellStyle name="Normal 5 2 3 5 6" xfId="10319" xr:uid="{AF45A835-D1C1-4FA7-9F4D-8DCAC5485704}"/>
    <cellStyle name="Normal 5 2 3 6" xfId="1316" xr:uid="{00000000-0005-0000-0000-0000C4180000}"/>
    <cellStyle name="Normal 5 2 3 6 2" xfId="3546" xr:uid="{00000000-0005-0000-0000-0000C5180000}"/>
    <cellStyle name="Normal 5 2 3 6 2 2" xfId="7768" xr:uid="{00000000-0005-0000-0000-0000C6180000}"/>
    <cellStyle name="Normal 5 2 3 6 2 2 2" xfId="26393" xr:uid="{51C2D6FC-3D53-4BDE-89E0-36709DAB0FC3}"/>
    <cellStyle name="Normal 5 2 3 6 2 2 3" xfId="17094" xr:uid="{FD204FFC-E600-4CF9-AA88-BDC58196E82D}"/>
    <cellStyle name="Normal 5 2 3 6 2 3" xfId="22176" xr:uid="{F226CAB1-9295-4026-90C4-11F513FD7DE4}"/>
    <cellStyle name="Normal 5 2 3 6 2 4" xfId="12877" xr:uid="{EB5A3D72-505D-4364-AF11-B551C5667FCB}"/>
    <cellStyle name="Normal 5 2 3 6 3" xfId="5623" xr:uid="{00000000-0005-0000-0000-0000C7180000}"/>
    <cellStyle name="Normal 5 2 3 6 3 2" xfId="24248" xr:uid="{9C7CDE1E-540F-4792-A8A1-74417C4995FE}"/>
    <cellStyle name="Normal 5 2 3 6 3 3" xfId="14949" xr:uid="{989BF00D-BABE-427D-9B68-CF6FC240EBEE}"/>
    <cellStyle name="Normal 5 2 3 6 4" xfId="20031" xr:uid="{4CF9A6DA-BEF0-446C-AEB8-DCF2A7C11EDB}"/>
    <cellStyle name="Normal 5 2 3 6 5" xfId="10732" xr:uid="{10CEE195-C319-42D3-9999-AF731DB805EA}"/>
    <cellStyle name="Normal 5 2 3 7" xfId="1729" xr:uid="{00000000-0005-0000-0000-0000C8180000}"/>
    <cellStyle name="Normal 5 2 3 7 2" xfId="3959" xr:uid="{00000000-0005-0000-0000-0000C9180000}"/>
    <cellStyle name="Normal 5 2 3 7 2 2" xfId="8181" xr:uid="{00000000-0005-0000-0000-0000CA180000}"/>
    <cellStyle name="Normal 5 2 3 7 2 2 2" xfId="26806" xr:uid="{9DFD5E7A-7D5C-4047-AFAF-23246FE84CE7}"/>
    <cellStyle name="Normal 5 2 3 7 2 2 3" xfId="17507" xr:uid="{3658103B-F66D-4F97-A084-9F8072F5AEA4}"/>
    <cellStyle name="Normal 5 2 3 7 2 3" xfId="22589" xr:uid="{DE492A4F-54CB-49FB-8938-B6D1795DABB2}"/>
    <cellStyle name="Normal 5 2 3 7 2 4" xfId="13290" xr:uid="{7CBD2591-3DEF-4DD9-A460-1FB6BABF5217}"/>
    <cellStyle name="Normal 5 2 3 7 3" xfId="6036" xr:uid="{00000000-0005-0000-0000-0000CB180000}"/>
    <cellStyle name="Normal 5 2 3 7 3 2" xfId="24661" xr:uid="{803BD913-0475-46AA-9EC9-DDBDD20B86C9}"/>
    <cellStyle name="Normal 5 2 3 7 3 3" xfId="15362" xr:uid="{3B3CF7A5-829D-4B70-B52B-48CC40FF5C6F}"/>
    <cellStyle name="Normal 5 2 3 7 4" xfId="20444" xr:uid="{7C5A3291-C9B7-4A90-A877-553E2F043A91}"/>
    <cellStyle name="Normal 5 2 3 7 5" xfId="11145" xr:uid="{D1AE9688-80FA-4F0F-AEF8-4871F8E29E7E}"/>
    <cellStyle name="Normal 5 2 3 8" xfId="2143" xr:uid="{00000000-0005-0000-0000-0000CC180000}"/>
    <cellStyle name="Normal 5 2 3 8 2" xfId="4372" xr:uid="{00000000-0005-0000-0000-0000CD180000}"/>
    <cellStyle name="Normal 5 2 3 8 2 2" xfId="8594" xr:uid="{00000000-0005-0000-0000-0000CE180000}"/>
    <cellStyle name="Normal 5 2 3 8 2 2 2" xfId="27219" xr:uid="{2507C4DD-F2DB-49E0-B988-AA0DA7B1A40D}"/>
    <cellStyle name="Normal 5 2 3 8 2 2 3" xfId="17920" xr:uid="{C4B83FE3-5C20-437D-82F4-56506748BB73}"/>
    <cellStyle name="Normal 5 2 3 8 2 3" xfId="23002" xr:uid="{AFF5F336-7D70-4BDC-949B-0DEDDDB53ED3}"/>
    <cellStyle name="Normal 5 2 3 8 2 4" xfId="13703" xr:uid="{A59375DF-2D78-40C6-83E4-8A99B0206555}"/>
    <cellStyle name="Normal 5 2 3 8 3" xfId="6449" xr:uid="{00000000-0005-0000-0000-0000CF180000}"/>
    <cellStyle name="Normal 5 2 3 8 3 2" xfId="25074" xr:uid="{52923916-8B4D-498B-AD4F-3FDFE64B845A}"/>
    <cellStyle name="Normal 5 2 3 8 3 3" xfId="15775" xr:uid="{BC7B8341-36F5-461E-B433-59126B3E7921}"/>
    <cellStyle name="Normal 5 2 3 8 4" xfId="20857" xr:uid="{33CFECB3-053D-4BF3-882D-5DDA348E8983}"/>
    <cellStyle name="Normal 5 2 3 8 5" xfId="11558" xr:uid="{A822D18E-D239-44FA-A3C5-D0BB29C3590E}"/>
    <cellStyle name="Normal 5 2 3 9" xfId="2579" xr:uid="{00000000-0005-0000-0000-0000D0180000}"/>
    <cellStyle name="Normal 5 2 3 9 2" xfId="6862" xr:uid="{00000000-0005-0000-0000-0000D1180000}"/>
    <cellStyle name="Normal 5 2 3 9 2 2" xfId="25487" xr:uid="{AF914334-7E6F-4724-A386-5CAD2BEBE34E}"/>
    <cellStyle name="Normal 5 2 3 9 2 3" xfId="16188" xr:uid="{B6E3B5A8-F83A-480F-93F7-0D8EA5F2411D}"/>
    <cellStyle name="Normal 5 2 3 9 3" xfId="21270" xr:uid="{14A1A81C-0581-43CC-AAF1-6D09D21FE484}"/>
    <cellStyle name="Normal 5 2 3 9 4" xfId="11971" xr:uid="{7BF99786-1C86-4F09-A030-0E678D8E58EC}"/>
    <cellStyle name="Normal 5 2 4" xfId="432" xr:uid="{00000000-0005-0000-0000-0000D2180000}"/>
    <cellStyle name="Normal 5 2 4 10" xfId="8827" xr:uid="{1EC4F605-F0BA-487E-A3C0-2CBAE7C22D8A}"/>
    <cellStyle name="Normal 5 2 4 10 2" xfId="27450" xr:uid="{34E43D82-154D-41DD-82B4-8C1F5452DE73}"/>
    <cellStyle name="Normal 5 2 4 10 3" xfId="18151" xr:uid="{EEE4FDBB-3783-4B62-88F2-E2D77F6BFE15}"/>
    <cellStyle name="Normal 5 2 4 11" xfId="19213" xr:uid="{54D7D7C0-690D-4FD1-B727-CE3916CB08BA}"/>
    <cellStyle name="Normal 5 2 4 12" xfId="9914" xr:uid="{2C3119A4-E4FF-4C13-94D3-E7F1ED82500A}"/>
    <cellStyle name="Normal 5 2 4 2" xfId="433" xr:uid="{00000000-0005-0000-0000-0000D3180000}"/>
    <cellStyle name="Normal 5 2 4 2 10" xfId="19214" xr:uid="{8A4AD046-2257-4DF5-8E37-03029E63B628}"/>
    <cellStyle name="Normal 5 2 4 2 11" xfId="9915" xr:uid="{490CCF09-73AE-48A3-9F21-ED36F78F6D5D}"/>
    <cellStyle name="Normal 5 2 4 2 2" xfId="434" xr:uid="{00000000-0005-0000-0000-0000D4180000}"/>
    <cellStyle name="Normal 5 2 4 2 2 10" xfId="9916" xr:uid="{B8130D79-2A3F-4DB5-85DD-674F5079FF7D}"/>
    <cellStyle name="Normal 5 2 4 2 2 2" xfId="908" xr:uid="{00000000-0005-0000-0000-0000D5180000}"/>
    <cellStyle name="Normal 5 2 4 2 2 2 2" xfId="3143" xr:uid="{00000000-0005-0000-0000-0000D6180000}"/>
    <cellStyle name="Normal 5 2 4 2 2 2 2 2" xfId="7365" xr:uid="{00000000-0005-0000-0000-0000D7180000}"/>
    <cellStyle name="Normal 5 2 4 2 2 2 2 2 2" xfId="25990" xr:uid="{40B26F7A-2411-466F-85A4-9576E9B6DBD6}"/>
    <cellStyle name="Normal 5 2 4 2 2 2 2 2 3" xfId="16691" xr:uid="{80259D2C-AFE0-4B41-AEF9-91D87526BB73}"/>
    <cellStyle name="Normal 5 2 4 2 2 2 2 3" xfId="21773" xr:uid="{B3C439AE-7525-4B33-99E2-83E9D77D7B7C}"/>
    <cellStyle name="Normal 5 2 4 2 2 2 2 4" xfId="12474" xr:uid="{13101E8D-F443-4B12-8223-3EDC798EBEC7}"/>
    <cellStyle name="Normal 5 2 4 2 2 2 3" xfId="5220" xr:uid="{00000000-0005-0000-0000-0000D8180000}"/>
    <cellStyle name="Normal 5 2 4 2 2 2 3 2" xfId="23845" xr:uid="{3393F302-603A-4C53-8093-3F264800CEE1}"/>
    <cellStyle name="Normal 5 2 4 2 2 2 3 3" xfId="14546" xr:uid="{CDE5E05E-C4EA-4DDE-905F-7C764231A1C9}"/>
    <cellStyle name="Normal 5 2 4 2 2 2 4" xfId="9562" xr:uid="{5E243FB4-F3B1-4B34-B377-1444454AD19E}"/>
    <cellStyle name="Normal 5 2 4 2 2 2 4 2" xfId="28176" xr:uid="{1277A151-032A-45B1-9D49-340ED5FFF2EE}"/>
    <cellStyle name="Normal 5 2 4 2 2 2 4 3" xfId="18877" xr:uid="{71E9BBB5-86A5-4ECF-9E58-70D88A9B4B68}"/>
    <cellStyle name="Normal 5 2 4 2 2 2 5" xfId="19628" xr:uid="{EC8CFAED-3F35-43E7-8A15-C50985D4ACFB}"/>
    <cellStyle name="Normal 5 2 4 2 2 2 6" xfId="10329" xr:uid="{8A608FBB-94C3-4733-B5ED-0B95BF9A73F8}"/>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2 2 2" xfId="26403" xr:uid="{C3C17F40-B7B0-4785-B7DA-AC797E78083B}"/>
    <cellStyle name="Normal 5 2 4 2 2 3 2 2 3" xfId="17104" xr:uid="{F1A414CC-F8A3-4CCB-BA10-0B2F29FCB228}"/>
    <cellStyle name="Normal 5 2 4 2 2 3 2 3" xfId="22186" xr:uid="{7B3C72E8-8726-4841-9B6F-D77041F29A8F}"/>
    <cellStyle name="Normal 5 2 4 2 2 3 2 4" xfId="12887" xr:uid="{A1CE5F36-58FA-42F5-8160-0A237B193924}"/>
    <cellStyle name="Normal 5 2 4 2 2 3 3" xfId="5633" xr:uid="{00000000-0005-0000-0000-0000DC180000}"/>
    <cellStyle name="Normal 5 2 4 2 2 3 3 2" xfId="24258" xr:uid="{249219BC-6979-4F26-B343-6BA3AA356358}"/>
    <cellStyle name="Normal 5 2 4 2 2 3 3 3" xfId="14959" xr:uid="{AA0DEB15-E666-42C8-A1AD-B406B9F85B07}"/>
    <cellStyle name="Normal 5 2 4 2 2 3 4" xfId="20041" xr:uid="{C92CE29C-3C95-432A-9DCF-B087C252487E}"/>
    <cellStyle name="Normal 5 2 4 2 2 3 5" xfId="10742" xr:uid="{99AD9052-7460-4267-ACBA-6D1368B00A3B}"/>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2 2 2" xfId="26816" xr:uid="{2C2EC93C-F71D-437C-9F91-D9E7283A5444}"/>
    <cellStyle name="Normal 5 2 4 2 2 4 2 2 3" xfId="17517" xr:uid="{8D24DD0F-0BCA-4D65-8609-1142C50267C3}"/>
    <cellStyle name="Normal 5 2 4 2 2 4 2 3" xfId="22599" xr:uid="{E4DB523E-320E-483E-AEA7-B7C24F9F4ACE}"/>
    <cellStyle name="Normal 5 2 4 2 2 4 2 4" xfId="13300" xr:uid="{880CFDF9-20EC-4A5B-BF01-3577E10C9F05}"/>
    <cellStyle name="Normal 5 2 4 2 2 4 3" xfId="6046" xr:uid="{00000000-0005-0000-0000-0000E0180000}"/>
    <cellStyle name="Normal 5 2 4 2 2 4 3 2" xfId="24671" xr:uid="{61250F55-FCFB-4B90-B748-A79368770D42}"/>
    <cellStyle name="Normal 5 2 4 2 2 4 3 3" xfId="15372" xr:uid="{D834C04F-2EB5-40AD-902B-E4FB1AA8638A}"/>
    <cellStyle name="Normal 5 2 4 2 2 4 4" xfId="20454" xr:uid="{0EC41C29-CDF0-4B3A-BB7C-D029F1A46602}"/>
    <cellStyle name="Normal 5 2 4 2 2 4 5" xfId="11155" xr:uid="{717B4C00-57CB-472B-930D-77124DCF3419}"/>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2 2 2" xfId="27229" xr:uid="{FF8CA560-516F-4381-A15B-F020FF9988CB}"/>
    <cellStyle name="Normal 5 2 4 2 2 5 2 2 3" xfId="17930" xr:uid="{15142B24-5529-422F-8A26-36D606F44B47}"/>
    <cellStyle name="Normal 5 2 4 2 2 5 2 3" xfId="23012" xr:uid="{125D6DCE-0DA2-4C0A-9CAC-B1C90C3D0A91}"/>
    <cellStyle name="Normal 5 2 4 2 2 5 2 4" xfId="13713" xr:uid="{818F971E-3E7A-481B-8A5C-500DE1628C4E}"/>
    <cellStyle name="Normal 5 2 4 2 2 5 3" xfId="6459" xr:uid="{00000000-0005-0000-0000-0000E4180000}"/>
    <cellStyle name="Normal 5 2 4 2 2 5 3 2" xfId="25084" xr:uid="{47923191-BF57-4CFF-BDF2-1D3C9F4DE4F7}"/>
    <cellStyle name="Normal 5 2 4 2 2 5 3 3" xfId="15785" xr:uid="{65B4EC14-3E73-4728-8BB2-6EEE2AD02286}"/>
    <cellStyle name="Normal 5 2 4 2 2 5 4" xfId="20867" xr:uid="{1D42779B-9569-4572-844C-B861364C76EB}"/>
    <cellStyle name="Normal 5 2 4 2 2 5 5" xfId="11568" xr:uid="{F4C56056-9145-42D1-8D74-DF3E0DE58A09}"/>
    <cellStyle name="Normal 5 2 4 2 2 6" xfId="2589" xr:uid="{00000000-0005-0000-0000-0000E5180000}"/>
    <cellStyle name="Normal 5 2 4 2 2 6 2" xfId="6872" xr:uid="{00000000-0005-0000-0000-0000E6180000}"/>
    <cellStyle name="Normal 5 2 4 2 2 6 2 2" xfId="25497" xr:uid="{5231895B-6D95-44DD-8010-34AF41D3EE5A}"/>
    <cellStyle name="Normal 5 2 4 2 2 6 2 3" xfId="16198" xr:uid="{9412CA98-D55A-4AEF-AC7D-4BEFC6D1B25C}"/>
    <cellStyle name="Normal 5 2 4 2 2 6 3" xfId="21280" xr:uid="{7F86E105-E095-4DC9-BE55-D94CD2CA0551}"/>
    <cellStyle name="Normal 5 2 4 2 2 6 4" xfId="11981" xr:uid="{9F54238F-3144-4348-8FE0-33E8B0CBB2A9}"/>
    <cellStyle name="Normal 5 2 4 2 2 7" xfId="4807" xr:uid="{00000000-0005-0000-0000-0000E7180000}"/>
    <cellStyle name="Normal 5 2 4 2 2 7 2" xfId="23432" xr:uid="{7C1C43D1-92AE-470F-A397-BFFAC45B8921}"/>
    <cellStyle name="Normal 5 2 4 2 2 7 3" xfId="14133" xr:uid="{22764C9E-D1E4-4092-B7E2-1D096ED3AB40}"/>
    <cellStyle name="Normal 5 2 4 2 2 8" xfId="9137" xr:uid="{C80E4B27-40CA-4953-ABB8-99E2C575F775}"/>
    <cellStyle name="Normal 5 2 4 2 2 8 2" xfId="27760" xr:uid="{C1FE171C-4BEC-423D-B785-BCE411B18FA5}"/>
    <cellStyle name="Normal 5 2 4 2 2 8 3" xfId="18461" xr:uid="{C557BB96-7EB9-4568-89BA-2A250F66ED57}"/>
    <cellStyle name="Normal 5 2 4 2 2 9" xfId="19215" xr:uid="{8B6264C0-360D-41A2-B4FC-EAF20347577F}"/>
    <cellStyle name="Normal 5 2 4 2 3" xfId="907" xr:uid="{00000000-0005-0000-0000-0000E8180000}"/>
    <cellStyle name="Normal 5 2 4 2 3 2" xfId="3142" xr:uid="{00000000-0005-0000-0000-0000E9180000}"/>
    <cellStyle name="Normal 5 2 4 2 3 2 2" xfId="7364" xr:uid="{00000000-0005-0000-0000-0000EA180000}"/>
    <cellStyle name="Normal 5 2 4 2 3 2 2 2" xfId="25989" xr:uid="{644F7309-9ED5-47EC-8B26-B4C3656F5524}"/>
    <cellStyle name="Normal 5 2 4 2 3 2 2 3" xfId="16690" xr:uid="{BD14D08C-8364-43C4-8FAD-8EB7FF6D1956}"/>
    <cellStyle name="Normal 5 2 4 2 3 2 3" xfId="21772" xr:uid="{BD8700C6-AEC4-46B1-926C-CBCE904494E2}"/>
    <cellStyle name="Normal 5 2 4 2 3 2 4" xfId="12473" xr:uid="{6B6D08AF-E0B9-4210-9E3B-6F6E140C6DB9}"/>
    <cellStyle name="Normal 5 2 4 2 3 3" xfId="5219" xr:uid="{00000000-0005-0000-0000-0000EB180000}"/>
    <cellStyle name="Normal 5 2 4 2 3 3 2" xfId="23844" xr:uid="{3055A4A2-1A08-45FB-9F6F-1BE9FCAAE4C3}"/>
    <cellStyle name="Normal 5 2 4 2 3 3 3" xfId="14545" xr:uid="{02FD8476-F66F-4BCF-A131-5B2172740CBC}"/>
    <cellStyle name="Normal 5 2 4 2 3 4" xfId="9355" xr:uid="{9D38A6AA-2F63-4275-9FB8-F86A15F6A4D3}"/>
    <cellStyle name="Normal 5 2 4 2 3 4 2" xfId="27969" xr:uid="{669DDCC3-2F88-4C09-840F-320F2B9DE47B}"/>
    <cellStyle name="Normal 5 2 4 2 3 4 3" xfId="18670" xr:uid="{BC958515-1564-4373-98F8-5C8305643B42}"/>
    <cellStyle name="Normal 5 2 4 2 3 5" xfId="19627" xr:uid="{F055315C-AD6E-4DAF-BDC5-1889E0776FEE}"/>
    <cellStyle name="Normal 5 2 4 2 3 6" xfId="10328" xr:uid="{90D59ED9-D4C9-4F5E-BBA9-AB1B627D1B10}"/>
    <cellStyle name="Normal 5 2 4 2 4" xfId="1325" xr:uid="{00000000-0005-0000-0000-0000EC180000}"/>
    <cellStyle name="Normal 5 2 4 2 4 2" xfId="3555" xr:uid="{00000000-0005-0000-0000-0000ED180000}"/>
    <cellStyle name="Normal 5 2 4 2 4 2 2" xfId="7777" xr:uid="{00000000-0005-0000-0000-0000EE180000}"/>
    <cellStyle name="Normal 5 2 4 2 4 2 2 2" xfId="26402" xr:uid="{26AC0AAE-ACAB-41EF-B523-3FBB8C306D5B}"/>
    <cellStyle name="Normal 5 2 4 2 4 2 2 3" xfId="17103" xr:uid="{38AAD59D-2753-4A38-B654-E1843F222439}"/>
    <cellStyle name="Normal 5 2 4 2 4 2 3" xfId="22185" xr:uid="{2CCB62E9-DB82-401A-A7EA-CEC8263E56F7}"/>
    <cellStyle name="Normal 5 2 4 2 4 2 4" xfId="12886" xr:uid="{2E1394FC-2543-41E8-8703-8FA7D838EF91}"/>
    <cellStyle name="Normal 5 2 4 2 4 3" xfId="5632" xr:uid="{00000000-0005-0000-0000-0000EF180000}"/>
    <cellStyle name="Normal 5 2 4 2 4 3 2" xfId="24257" xr:uid="{BB84288C-1C6A-41DA-887B-5EFB9556685C}"/>
    <cellStyle name="Normal 5 2 4 2 4 3 3" xfId="14958" xr:uid="{594D583A-9C45-4340-A581-9ECEF30BD7BF}"/>
    <cellStyle name="Normal 5 2 4 2 4 4" xfId="20040" xr:uid="{847E7F14-1CB8-4571-8563-330E2EB872DF}"/>
    <cellStyle name="Normal 5 2 4 2 4 5" xfId="10741" xr:uid="{CE62DB11-E8DE-419A-91B0-1F3EB5D0D208}"/>
    <cellStyle name="Normal 5 2 4 2 5" xfId="1738" xr:uid="{00000000-0005-0000-0000-0000F0180000}"/>
    <cellStyle name="Normal 5 2 4 2 5 2" xfId="3968" xr:uid="{00000000-0005-0000-0000-0000F1180000}"/>
    <cellStyle name="Normal 5 2 4 2 5 2 2" xfId="8190" xr:uid="{00000000-0005-0000-0000-0000F2180000}"/>
    <cellStyle name="Normal 5 2 4 2 5 2 2 2" xfId="26815" xr:uid="{6C4C956C-4BDC-4BBB-87C5-813454E508FF}"/>
    <cellStyle name="Normal 5 2 4 2 5 2 2 3" xfId="17516" xr:uid="{06E37A8F-11FD-4521-8D83-216187B72602}"/>
    <cellStyle name="Normal 5 2 4 2 5 2 3" xfId="22598" xr:uid="{B479B3B0-D1CB-4158-9B6C-ED071F81656A}"/>
    <cellStyle name="Normal 5 2 4 2 5 2 4" xfId="13299" xr:uid="{D96BE0D3-A385-4048-A425-45AC89DC2FEB}"/>
    <cellStyle name="Normal 5 2 4 2 5 3" xfId="6045" xr:uid="{00000000-0005-0000-0000-0000F3180000}"/>
    <cellStyle name="Normal 5 2 4 2 5 3 2" xfId="24670" xr:uid="{49447239-FD9B-485D-8A63-87265477548D}"/>
    <cellStyle name="Normal 5 2 4 2 5 3 3" xfId="15371" xr:uid="{BD5714FF-AB44-41F5-A45D-6C2C3CEA16C9}"/>
    <cellStyle name="Normal 5 2 4 2 5 4" xfId="20453" xr:uid="{AB38B296-2338-408F-A98D-A01DE548DD33}"/>
    <cellStyle name="Normal 5 2 4 2 5 5" xfId="11154" xr:uid="{A60DAC8B-AFB2-4791-8712-5CEB96419628}"/>
    <cellStyle name="Normal 5 2 4 2 6" xfId="2152" xr:uid="{00000000-0005-0000-0000-0000F4180000}"/>
    <cellStyle name="Normal 5 2 4 2 6 2" xfId="4381" xr:uid="{00000000-0005-0000-0000-0000F5180000}"/>
    <cellStyle name="Normal 5 2 4 2 6 2 2" xfId="8603" xr:uid="{00000000-0005-0000-0000-0000F6180000}"/>
    <cellStyle name="Normal 5 2 4 2 6 2 2 2" xfId="27228" xr:uid="{6E081C21-F4C1-462A-B6C8-9F2F6938D6A8}"/>
    <cellStyle name="Normal 5 2 4 2 6 2 2 3" xfId="17929" xr:uid="{92447F33-6CCF-4BD1-93E0-0FAD8B6DC99A}"/>
    <cellStyle name="Normal 5 2 4 2 6 2 3" xfId="23011" xr:uid="{7EBEFFA3-E2E7-494B-91F7-335E0361F3D8}"/>
    <cellStyle name="Normal 5 2 4 2 6 2 4" xfId="13712" xr:uid="{15AB1542-D14B-473E-8046-5874C9365D41}"/>
    <cellStyle name="Normal 5 2 4 2 6 3" xfId="6458" xr:uid="{00000000-0005-0000-0000-0000F7180000}"/>
    <cellStyle name="Normal 5 2 4 2 6 3 2" xfId="25083" xr:uid="{616713CA-C685-41F7-9BFF-2448C9E86749}"/>
    <cellStyle name="Normal 5 2 4 2 6 3 3" xfId="15784" xr:uid="{11080A7A-343C-4AF2-B963-1E1083731CD0}"/>
    <cellStyle name="Normal 5 2 4 2 6 4" xfId="20866" xr:uid="{0052CA9F-BC64-4879-B903-BFAD8E4F8547}"/>
    <cellStyle name="Normal 5 2 4 2 6 5" xfId="11567" xr:uid="{DCF60296-DC90-4D63-92E7-60CB3C818CCA}"/>
    <cellStyle name="Normal 5 2 4 2 7" xfId="2588" xr:uid="{00000000-0005-0000-0000-0000F8180000}"/>
    <cellStyle name="Normal 5 2 4 2 7 2" xfId="6871" xr:uid="{00000000-0005-0000-0000-0000F9180000}"/>
    <cellStyle name="Normal 5 2 4 2 7 2 2" xfId="25496" xr:uid="{2703E98A-417A-45BE-867D-86741E60AA9A}"/>
    <cellStyle name="Normal 5 2 4 2 7 2 3" xfId="16197" xr:uid="{71DBFA04-EEE2-4720-A571-8C33C7FCE42C}"/>
    <cellStyle name="Normal 5 2 4 2 7 3" xfId="21279" xr:uid="{7AA20954-CA40-4E89-A7FE-E2C81A2D2B61}"/>
    <cellStyle name="Normal 5 2 4 2 7 4" xfId="11980" xr:uid="{AD773E94-5B52-4ED4-B608-69B715FA38D4}"/>
    <cellStyle name="Normal 5 2 4 2 8" xfId="4806" xr:uid="{00000000-0005-0000-0000-0000FA180000}"/>
    <cellStyle name="Normal 5 2 4 2 8 2" xfId="23431" xr:uid="{EF2C5152-9800-4568-A836-FBDD56FE4FB8}"/>
    <cellStyle name="Normal 5 2 4 2 8 3" xfId="14132" xr:uid="{5980C04D-DC82-4210-BA25-BDFF2A6ECF3B}"/>
    <cellStyle name="Normal 5 2 4 2 9" xfId="8930" xr:uid="{66B84ABA-CAF3-4BBE-9026-E7A47CB6006F}"/>
    <cellStyle name="Normal 5 2 4 2 9 2" xfId="27553" xr:uid="{598A4DB3-03BA-4817-88EE-055E1CFBC956}"/>
    <cellStyle name="Normal 5 2 4 2 9 3" xfId="18254" xr:uid="{20FE2C62-2060-46D6-8E9B-6E65DC9BFF3E}"/>
    <cellStyle name="Normal 5 2 4 3" xfId="435" xr:uid="{00000000-0005-0000-0000-0000FB180000}"/>
    <cellStyle name="Normal 5 2 4 3 10" xfId="9917" xr:uid="{E831E0A8-CDC1-4170-88FC-97F95E9F737C}"/>
    <cellStyle name="Normal 5 2 4 3 2" xfId="909" xr:uid="{00000000-0005-0000-0000-0000FC180000}"/>
    <cellStyle name="Normal 5 2 4 3 2 2" xfId="3144" xr:uid="{00000000-0005-0000-0000-0000FD180000}"/>
    <cellStyle name="Normal 5 2 4 3 2 2 2" xfId="7366" xr:uid="{00000000-0005-0000-0000-0000FE180000}"/>
    <cellStyle name="Normal 5 2 4 3 2 2 2 2" xfId="25991" xr:uid="{C680E171-DDD8-49FF-9906-200E8035A959}"/>
    <cellStyle name="Normal 5 2 4 3 2 2 2 3" xfId="16692" xr:uid="{FF3F65E9-600D-464D-934A-0D08A1D40C8F}"/>
    <cellStyle name="Normal 5 2 4 3 2 2 3" xfId="21774" xr:uid="{213BCE7B-87C6-499B-A5AF-68560FC43F6C}"/>
    <cellStyle name="Normal 5 2 4 3 2 2 4" xfId="12475" xr:uid="{7D6BA14A-CC6C-4D69-8572-BBA1C111E99D}"/>
    <cellStyle name="Normal 5 2 4 3 2 3" xfId="5221" xr:uid="{00000000-0005-0000-0000-0000FF180000}"/>
    <cellStyle name="Normal 5 2 4 3 2 3 2" xfId="23846" xr:uid="{FD0C3CA5-F5FD-49B0-9006-6D54DAF6E4F4}"/>
    <cellStyle name="Normal 5 2 4 3 2 3 3" xfId="14547" xr:uid="{F2E225B9-87B7-4820-BCFB-81EC19811821}"/>
    <cellStyle name="Normal 5 2 4 3 2 4" xfId="9459" xr:uid="{ED2A936E-5624-4B26-A175-3FCE68E1BF5A}"/>
    <cellStyle name="Normal 5 2 4 3 2 4 2" xfId="28073" xr:uid="{7C8C0290-5102-469D-89A7-DE288CC3F301}"/>
    <cellStyle name="Normal 5 2 4 3 2 4 3" xfId="18774" xr:uid="{02A102A7-1815-4479-9A1F-16EA6DA8A015}"/>
    <cellStyle name="Normal 5 2 4 3 2 5" xfId="19629" xr:uid="{E6EF591A-6798-4306-B521-42F3865F967F}"/>
    <cellStyle name="Normal 5 2 4 3 2 6" xfId="10330" xr:uid="{EA474D43-27D6-466A-BEDD-C24DC3BE1C9E}"/>
    <cellStyle name="Normal 5 2 4 3 3" xfId="1327" xr:uid="{00000000-0005-0000-0000-000000190000}"/>
    <cellStyle name="Normal 5 2 4 3 3 2" xfId="3557" xr:uid="{00000000-0005-0000-0000-000001190000}"/>
    <cellStyle name="Normal 5 2 4 3 3 2 2" xfId="7779" xr:uid="{00000000-0005-0000-0000-000002190000}"/>
    <cellStyle name="Normal 5 2 4 3 3 2 2 2" xfId="26404" xr:uid="{B7A6598D-D43C-456C-91EF-A1C6870E148F}"/>
    <cellStyle name="Normal 5 2 4 3 3 2 2 3" xfId="17105" xr:uid="{E6559874-8772-4908-BB15-7551BC177614}"/>
    <cellStyle name="Normal 5 2 4 3 3 2 3" xfId="22187" xr:uid="{C2576A8F-3C50-4752-896E-3EDC0EEC28A0}"/>
    <cellStyle name="Normal 5 2 4 3 3 2 4" xfId="12888" xr:uid="{E7F8DC55-1361-4679-BF9C-B19C381A8A1D}"/>
    <cellStyle name="Normal 5 2 4 3 3 3" xfId="5634" xr:uid="{00000000-0005-0000-0000-000003190000}"/>
    <cellStyle name="Normal 5 2 4 3 3 3 2" xfId="24259" xr:uid="{585FDEDD-1314-4290-81DB-D3F2CE6462CF}"/>
    <cellStyle name="Normal 5 2 4 3 3 3 3" xfId="14960" xr:uid="{74D1F24B-FB5B-466D-A0F5-164BA2D40DE4}"/>
    <cellStyle name="Normal 5 2 4 3 3 4" xfId="20042" xr:uid="{1C14B120-84E5-43D8-B335-DD3FDCDF5F7D}"/>
    <cellStyle name="Normal 5 2 4 3 3 5" xfId="10743" xr:uid="{7C578848-B113-4DF7-B2FC-51B7126104EA}"/>
    <cellStyle name="Normal 5 2 4 3 4" xfId="1740" xr:uid="{00000000-0005-0000-0000-000004190000}"/>
    <cellStyle name="Normal 5 2 4 3 4 2" xfId="3970" xr:uid="{00000000-0005-0000-0000-000005190000}"/>
    <cellStyle name="Normal 5 2 4 3 4 2 2" xfId="8192" xr:uid="{00000000-0005-0000-0000-000006190000}"/>
    <cellStyle name="Normal 5 2 4 3 4 2 2 2" xfId="26817" xr:uid="{947AAA4C-27CB-404F-BACD-EC7BB0A8ED12}"/>
    <cellStyle name="Normal 5 2 4 3 4 2 2 3" xfId="17518" xr:uid="{2972F3D4-88E7-4432-9A2E-78BAC76454C0}"/>
    <cellStyle name="Normal 5 2 4 3 4 2 3" xfId="22600" xr:uid="{79C110D5-6AB2-40BB-A5E7-F64BB3DF7E51}"/>
    <cellStyle name="Normal 5 2 4 3 4 2 4" xfId="13301" xr:uid="{DCF2D0C7-CDD2-444A-9248-D5EFE8D37CE4}"/>
    <cellStyle name="Normal 5 2 4 3 4 3" xfId="6047" xr:uid="{00000000-0005-0000-0000-000007190000}"/>
    <cellStyle name="Normal 5 2 4 3 4 3 2" xfId="24672" xr:uid="{555ABE37-7C61-48B3-A781-840BB6877B80}"/>
    <cellStyle name="Normal 5 2 4 3 4 3 3" xfId="15373" xr:uid="{CED33D19-1D85-4B59-AC02-F8A96FCBBA9C}"/>
    <cellStyle name="Normal 5 2 4 3 4 4" xfId="20455" xr:uid="{8CE36A9C-C9E4-4871-AA33-87D67B4D8786}"/>
    <cellStyle name="Normal 5 2 4 3 4 5" xfId="11156" xr:uid="{63074CB7-1510-4216-82DE-0715CB39D2F0}"/>
    <cellStyle name="Normal 5 2 4 3 5" xfId="2154" xr:uid="{00000000-0005-0000-0000-000008190000}"/>
    <cellStyle name="Normal 5 2 4 3 5 2" xfId="4383" xr:uid="{00000000-0005-0000-0000-000009190000}"/>
    <cellStyle name="Normal 5 2 4 3 5 2 2" xfId="8605" xr:uid="{00000000-0005-0000-0000-00000A190000}"/>
    <cellStyle name="Normal 5 2 4 3 5 2 2 2" xfId="27230" xr:uid="{65317CF5-9142-4B9D-B612-D606AE1A091C}"/>
    <cellStyle name="Normal 5 2 4 3 5 2 2 3" xfId="17931" xr:uid="{B8F8913D-11BA-457A-ACD5-10B036B6C198}"/>
    <cellStyle name="Normal 5 2 4 3 5 2 3" xfId="23013" xr:uid="{7BC435FC-126E-46AE-9617-8250EA1A2BFD}"/>
    <cellStyle name="Normal 5 2 4 3 5 2 4" xfId="13714" xr:uid="{B66E6C8C-87F9-47F7-B2C2-577932824A9C}"/>
    <cellStyle name="Normal 5 2 4 3 5 3" xfId="6460" xr:uid="{00000000-0005-0000-0000-00000B190000}"/>
    <cellStyle name="Normal 5 2 4 3 5 3 2" xfId="25085" xr:uid="{929ED0FB-E456-4C2F-9207-1C4359B2D776}"/>
    <cellStyle name="Normal 5 2 4 3 5 3 3" xfId="15786" xr:uid="{A3575290-BB80-4D66-AAA6-21FC944C4DE2}"/>
    <cellStyle name="Normal 5 2 4 3 5 4" xfId="20868" xr:uid="{5747FAD0-5F12-42F7-B066-09CD7948161B}"/>
    <cellStyle name="Normal 5 2 4 3 5 5" xfId="11569" xr:uid="{FF4FA6AF-3149-44AE-991C-DC8CD1EBC595}"/>
    <cellStyle name="Normal 5 2 4 3 6" xfId="2590" xr:uid="{00000000-0005-0000-0000-00000C190000}"/>
    <cellStyle name="Normal 5 2 4 3 6 2" xfId="6873" xr:uid="{00000000-0005-0000-0000-00000D190000}"/>
    <cellStyle name="Normal 5 2 4 3 6 2 2" xfId="25498" xr:uid="{E0576E57-DEB9-4576-BA43-55433FDD2166}"/>
    <cellStyle name="Normal 5 2 4 3 6 2 3" xfId="16199" xr:uid="{E01EF500-4E57-49B0-AE38-48DAE04E2209}"/>
    <cellStyle name="Normal 5 2 4 3 6 3" xfId="21281" xr:uid="{3B0EA2B3-8A2F-4BFE-9FF8-00353879181F}"/>
    <cellStyle name="Normal 5 2 4 3 6 4" xfId="11982" xr:uid="{329CA19C-2577-4546-9E5B-067594F74607}"/>
    <cellStyle name="Normal 5 2 4 3 7" xfId="4808" xr:uid="{00000000-0005-0000-0000-00000E190000}"/>
    <cellStyle name="Normal 5 2 4 3 7 2" xfId="23433" xr:uid="{7CC42AF5-364A-4B51-B870-DC9AD0C09E99}"/>
    <cellStyle name="Normal 5 2 4 3 7 3" xfId="14134" xr:uid="{200DAA6E-CF02-471F-9799-32D22659F6CE}"/>
    <cellStyle name="Normal 5 2 4 3 8" xfId="9034" xr:uid="{82D3DE5B-E868-4CF9-BA07-6E197DA4FAA5}"/>
    <cellStyle name="Normal 5 2 4 3 8 2" xfId="27657" xr:uid="{37C8EC2F-BA3F-4181-BD28-D62FE91F7352}"/>
    <cellStyle name="Normal 5 2 4 3 8 3" xfId="18358" xr:uid="{00B07CFA-9EAE-48D1-AB37-D4069841E830}"/>
    <cellStyle name="Normal 5 2 4 3 9" xfId="19216" xr:uid="{6E13D3B7-57EB-49FC-A4C6-374135CEC963}"/>
    <cellStyle name="Normal 5 2 4 4" xfId="906" xr:uid="{00000000-0005-0000-0000-00000F190000}"/>
    <cellStyle name="Normal 5 2 4 4 2" xfId="3141" xr:uid="{00000000-0005-0000-0000-000010190000}"/>
    <cellStyle name="Normal 5 2 4 4 2 2" xfId="7363" xr:uid="{00000000-0005-0000-0000-000011190000}"/>
    <cellStyle name="Normal 5 2 4 4 2 2 2" xfId="25988" xr:uid="{B9D026C7-73F0-4C23-A59C-8A3E6DE66046}"/>
    <cellStyle name="Normal 5 2 4 4 2 2 3" xfId="16689" xr:uid="{995F9210-CAD0-4B18-BE59-0DD05877BA9F}"/>
    <cellStyle name="Normal 5 2 4 4 2 3" xfId="21771" xr:uid="{FF2F427C-9F27-4C6A-BAB0-8E525C0E66E0}"/>
    <cellStyle name="Normal 5 2 4 4 2 4" xfId="12472" xr:uid="{01652C92-1C8F-4392-B26D-59F3983B456B}"/>
    <cellStyle name="Normal 5 2 4 4 3" xfId="5218" xr:uid="{00000000-0005-0000-0000-000012190000}"/>
    <cellStyle name="Normal 5 2 4 4 3 2" xfId="23843" xr:uid="{E0DE0051-DC95-411E-A5EC-A77846432E4E}"/>
    <cellStyle name="Normal 5 2 4 4 3 3" xfId="14544" xr:uid="{B71064B2-73EF-4089-BBEB-AEE349D7E330}"/>
    <cellStyle name="Normal 5 2 4 4 4" xfId="9252" xr:uid="{1D1A8EC4-7286-46A1-B40C-E987F273E760}"/>
    <cellStyle name="Normal 5 2 4 4 4 2" xfId="27866" xr:uid="{987C10F2-2FEA-4739-AC29-1D4D9864A508}"/>
    <cellStyle name="Normal 5 2 4 4 4 3" xfId="18567" xr:uid="{9FA24F32-9ACB-4BAA-B127-85C72A553883}"/>
    <cellStyle name="Normal 5 2 4 4 5" xfId="19626" xr:uid="{741A5B76-E257-4E40-BB51-B0FF83636AAF}"/>
    <cellStyle name="Normal 5 2 4 4 6" xfId="10327" xr:uid="{8899180B-83CA-4D7F-AC12-522F7E9AFF3C}"/>
    <cellStyle name="Normal 5 2 4 5" xfId="1324" xr:uid="{00000000-0005-0000-0000-000013190000}"/>
    <cellStyle name="Normal 5 2 4 5 2" xfId="3554" xr:uid="{00000000-0005-0000-0000-000014190000}"/>
    <cellStyle name="Normal 5 2 4 5 2 2" xfId="7776" xr:uid="{00000000-0005-0000-0000-000015190000}"/>
    <cellStyle name="Normal 5 2 4 5 2 2 2" xfId="26401" xr:uid="{65CC482B-5146-46A1-A77C-E8F263E4A955}"/>
    <cellStyle name="Normal 5 2 4 5 2 2 3" xfId="17102" xr:uid="{BADF7686-4C68-478E-8B1B-3756F171A303}"/>
    <cellStyle name="Normal 5 2 4 5 2 3" xfId="22184" xr:uid="{56000A88-57D4-42FC-85DB-99A5E07FFA79}"/>
    <cellStyle name="Normal 5 2 4 5 2 4" xfId="12885" xr:uid="{87670933-A835-4145-A680-3FABD1D5C863}"/>
    <cellStyle name="Normal 5 2 4 5 3" xfId="5631" xr:uid="{00000000-0005-0000-0000-000016190000}"/>
    <cellStyle name="Normal 5 2 4 5 3 2" xfId="24256" xr:uid="{30D9C33A-9A57-408D-89E6-7E884F0213F0}"/>
    <cellStyle name="Normal 5 2 4 5 3 3" xfId="14957" xr:uid="{AE45414D-8033-4463-9D35-470C2D4C6DAD}"/>
    <cellStyle name="Normal 5 2 4 5 4" xfId="20039" xr:uid="{A6307B0F-AB49-43E6-B862-B09EC7A6A537}"/>
    <cellStyle name="Normal 5 2 4 5 5" xfId="10740" xr:uid="{04CEF40D-73F8-4514-B564-7C6C3C81D06C}"/>
    <cellStyle name="Normal 5 2 4 6" xfId="1737" xr:uid="{00000000-0005-0000-0000-000017190000}"/>
    <cellStyle name="Normal 5 2 4 6 2" xfId="3967" xr:uid="{00000000-0005-0000-0000-000018190000}"/>
    <cellStyle name="Normal 5 2 4 6 2 2" xfId="8189" xr:uid="{00000000-0005-0000-0000-000019190000}"/>
    <cellStyle name="Normal 5 2 4 6 2 2 2" xfId="26814" xr:uid="{4673FF7B-2C6D-480C-862E-3E4860AD4F39}"/>
    <cellStyle name="Normal 5 2 4 6 2 2 3" xfId="17515" xr:uid="{68409039-1E9A-4099-B9BC-B4FD12E60AC3}"/>
    <cellStyle name="Normal 5 2 4 6 2 3" xfId="22597" xr:uid="{0033994A-0658-4790-978C-2CFD50961CFF}"/>
    <cellStyle name="Normal 5 2 4 6 2 4" xfId="13298" xr:uid="{066A2F51-FC0B-40C7-A306-37FCB520846A}"/>
    <cellStyle name="Normal 5 2 4 6 3" xfId="6044" xr:uid="{00000000-0005-0000-0000-00001A190000}"/>
    <cellStyle name="Normal 5 2 4 6 3 2" xfId="24669" xr:uid="{B7A8B9AA-7F74-4813-9DC5-63FEC91877ED}"/>
    <cellStyle name="Normal 5 2 4 6 3 3" xfId="15370" xr:uid="{4AFCC5D2-6F1C-4ABC-AB5B-D82976EB86F4}"/>
    <cellStyle name="Normal 5 2 4 6 4" xfId="20452" xr:uid="{2CDB446A-4711-47B8-A054-FED85DC5AA2E}"/>
    <cellStyle name="Normal 5 2 4 6 5" xfId="11153" xr:uid="{155C9724-1441-4FBF-B6F3-995E0BFCF686}"/>
    <cellStyle name="Normal 5 2 4 7" xfId="2151" xr:uid="{00000000-0005-0000-0000-00001B190000}"/>
    <cellStyle name="Normal 5 2 4 7 2" xfId="4380" xr:uid="{00000000-0005-0000-0000-00001C190000}"/>
    <cellStyle name="Normal 5 2 4 7 2 2" xfId="8602" xr:uid="{00000000-0005-0000-0000-00001D190000}"/>
    <cellStyle name="Normal 5 2 4 7 2 2 2" xfId="27227" xr:uid="{37F7CB8A-F760-4181-BE1A-120BF9C9FFB1}"/>
    <cellStyle name="Normal 5 2 4 7 2 2 3" xfId="17928" xr:uid="{4C6C1DF9-F044-48E1-BA4B-2D017E6F8366}"/>
    <cellStyle name="Normal 5 2 4 7 2 3" xfId="23010" xr:uid="{FAB2E081-B795-45B6-B434-BF4B3ECB23D2}"/>
    <cellStyle name="Normal 5 2 4 7 2 4" xfId="13711" xr:uid="{EA3CA9DC-14E9-4588-B2DD-91CF8A7342C1}"/>
    <cellStyle name="Normal 5 2 4 7 3" xfId="6457" xr:uid="{00000000-0005-0000-0000-00001E190000}"/>
    <cellStyle name="Normal 5 2 4 7 3 2" xfId="25082" xr:uid="{996999F4-483F-425D-A786-6FC4962F1FD5}"/>
    <cellStyle name="Normal 5 2 4 7 3 3" xfId="15783" xr:uid="{30115B31-CB40-4EE6-9532-FB7767FC114D}"/>
    <cellStyle name="Normal 5 2 4 7 4" xfId="20865" xr:uid="{839677EA-3D82-40A3-A799-AE3B80257A12}"/>
    <cellStyle name="Normal 5 2 4 7 5" xfId="11566" xr:uid="{453B96A9-B52A-4D09-A02E-87EB2E231408}"/>
    <cellStyle name="Normal 5 2 4 8" xfId="2587" xr:uid="{00000000-0005-0000-0000-00001F190000}"/>
    <cellStyle name="Normal 5 2 4 8 2" xfId="6870" xr:uid="{00000000-0005-0000-0000-000020190000}"/>
    <cellStyle name="Normal 5 2 4 8 2 2" xfId="25495" xr:uid="{164A7E15-6448-495B-8D93-94A715F362C0}"/>
    <cellStyle name="Normal 5 2 4 8 2 3" xfId="16196" xr:uid="{E7BB8E12-0587-4B07-9724-27AD9C8E8221}"/>
    <cellStyle name="Normal 5 2 4 8 3" xfId="21278" xr:uid="{4F7E8147-50F7-4F64-B8CB-8C4EA4229981}"/>
    <cellStyle name="Normal 5 2 4 8 4" xfId="11979" xr:uid="{2ABBAD2D-2C7E-452F-AEF3-385B69757C2A}"/>
    <cellStyle name="Normal 5 2 4 9" xfId="4805" xr:uid="{00000000-0005-0000-0000-000021190000}"/>
    <cellStyle name="Normal 5 2 4 9 2" xfId="23430" xr:uid="{DA6E9581-1D37-4FF0-A8E3-F076CFA9563E}"/>
    <cellStyle name="Normal 5 2 4 9 3" xfId="14131" xr:uid="{AB692881-D170-4157-8BED-0D990453D070}"/>
    <cellStyle name="Normal 5 2 5" xfId="436" xr:uid="{00000000-0005-0000-0000-000022190000}"/>
    <cellStyle name="Normal 5 2 5 10" xfId="19217" xr:uid="{C9F20941-253F-4EE8-8976-19CFD1F770A2}"/>
    <cellStyle name="Normal 5 2 5 11" xfId="9918" xr:uid="{8217D25F-C637-4954-BB47-499C7F0A7B38}"/>
    <cellStyle name="Normal 5 2 5 2" xfId="437" xr:uid="{00000000-0005-0000-0000-000023190000}"/>
    <cellStyle name="Normal 5 2 5 2 10" xfId="9919" xr:uid="{3BF4F296-F083-449D-97C8-A4ADA9711CB0}"/>
    <cellStyle name="Normal 5 2 5 2 2" xfId="911" xr:uid="{00000000-0005-0000-0000-000024190000}"/>
    <cellStyle name="Normal 5 2 5 2 2 2" xfId="3146" xr:uid="{00000000-0005-0000-0000-000025190000}"/>
    <cellStyle name="Normal 5 2 5 2 2 2 2" xfId="7368" xr:uid="{00000000-0005-0000-0000-000026190000}"/>
    <cellStyle name="Normal 5 2 5 2 2 2 2 2" xfId="25993" xr:uid="{B372C6B4-276F-46E0-B9D8-9E818D2DEE7E}"/>
    <cellStyle name="Normal 5 2 5 2 2 2 2 3" xfId="16694" xr:uid="{037745C3-D678-46C7-BF31-3FE175BCF20C}"/>
    <cellStyle name="Normal 5 2 5 2 2 2 3" xfId="21776" xr:uid="{29ECC164-3844-4991-B231-50B17360B902}"/>
    <cellStyle name="Normal 5 2 5 2 2 2 4" xfId="12477" xr:uid="{A3EE019F-848C-47E9-8830-7B8C56B7B44D}"/>
    <cellStyle name="Normal 5 2 5 2 2 3" xfId="5223" xr:uid="{00000000-0005-0000-0000-000027190000}"/>
    <cellStyle name="Normal 5 2 5 2 2 3 2" xfId="23848" xr:uid="{6B1026AC-F09E-41AF-ABA7-C6DC7DC20EE0}"/>
    <cellStyle name="Normal 5 2 5 2 2 3 3" xfId="14549" xr:uid="{B18208EB-E668-4832-AE35-F92E3BFA4421}"/>
    <cellStyle name="Normal 5 2 5 2 2 4" xfId="9479" xr:uid="{0DDFFFD4-5D62-4038-B6D4-9E9BD7CBA380}"/>
    <cellStyle name="Normal 5 2 5 2 2 4 2" xfId="28093" xr:uid="{6CFF629B-E505-4B8B-8CE5-5D1968CBA067}"/>
    <cellStyle name="Normal 5 2 5 2 2 4 3" xfId="18794" xr:uid="{8ECA0420-2259-4DE4-B905-566AAC89983E}"/>
    <cellStyle name="Normal 5 2 5 2 2 5" xfId="19631" xr:uid="{9B548507-4941-453A-B0FF-80602E91270B}"/>
    <cellStyle name="Normal 5 2 5 2 2 6" xfId="10332" xr:uid="{6160658F-04C7-4CCB-9559-44E63EC72CE2}"/>
    <cellStyle name="Normal 5 2 5 2 3" xfId="1329" xr:uid="{00000000-0005-0000-0000-000028190000}"/>
    <cellStyle name="Normal 5 2 5 2 3 2" xfId="3559" xr:uid="{00000000-0005-0000-0000-000029190000}"/>
    <cellStyle name="Normal 5 2 5 2 3 2 2" xfId="7781" xr:uid="{00000000-0005-0000-0000-00002A190000}"/>
    <cellStyle name="Normal 5 2 5 2 3 2 2 2" xfId="26406" xr:uid="{05A22307-3EBE-4116-9F6B-7BE9E2801D0D}"/>
    <cellStyle name="Normal 5 2 5 2 3 2 2 3" xfId="17107" xr:uid="{1D9ECEB2-9EF4-4BED-AE66-2B4AC5C0D36C}"/>
    <cellStyle name="Normal 5 2 5 2 3 2 3" xfId="22189" xr:uid="{DE4FF9CA-1D5E-434A-8BEA-8936ACCF690C}"/>
    <cellStyle name="Normal 5 2 5 2 3 2 4" xfId="12890" xr:uid="{65DC97F2-0ABC-4D67-8F04-4E67C63B17FD}"/>
    <cellStyle name="Normal 5 2 5 2 3 3" xfId="5636" xr:uid="{00000000-0005-0000-0000-00002B190000}"/>
    <cellStyle name="Normal 5 2 5 2 3 3 2" xfId="24261" xr:uid="{2693CEC9-DCCB-46CF-A02F-5572CDBC45C4}"/>
    <cellStyle name="Normal 5 2 5 2 3 3 3" xfId="14962" xr:uid="{E7A1B33B-5DE3-4139-9051-8D206FAA1F7B}"/>
    <cellStyle name="Normal 5 2 5 2 3 4" xfId="20044" xr:uid="{321A4F3C-0613-4233-9BB5-E693BFA51E5C}"/>
    <cellStyle name="Normal 5 2 5 2 3 5" xfId="10745" xr:uid="{591B1A90-657C-4880-B033-2B8B9EB6D33B}"/>
    <cellStyle name="Normal 5 2 5 2 4" xfId="1742" xr:uid="{00000000-0005-0000-0000-00002C190000}"/>
    <cellStyle name="Normal 5 2 5 2 4 2" xfId="3972" xr:uid="{00000000-0005-0000-0000-00002D190000}"/>
    <cellStyle name="Normal 5 2 5 2 4 2 2" xfId="8194" xr:uid="{00000000-0005-0000-0000-00002E190000}"/>
    <cellStyle name="Normal 5 2 5 2 4 2 2 2" xfId="26819" xr:uid="{B53449E2-FA0C-460D-8898-5BE893950617}"/>
    <cellStyle name="Normal 5 2 5 2 4 2 2 3" xfId="17520" xr:uid="{5EE3C624-19C5-460E-A01F-39056D454CFB}"/>
    <cellStyle name="Normal 5 2 5 2 4 2 3" xfId="22602" xr:uid="{81728A47-00F3-46E8-8B83-C182D05F8D3A}"/>
    <cellStyle name="Normal 5 2 5 2 4 2 4" xfId="13303" xr:uid="{37393DE2-B900-4705-A64A-23D31A5EFEDA}"/>
    <cellStyle name="Normal 5 2 5 2 4 3" xfId="6049" xr:uid="{00000000-0005-0000-0000-00002F190000}"/>
    <cellStyle name="Normal 5 2 5 2 4 3 2" xfId="24674" xr:uid="{908E169A-3DF5-4982-839A-F45288463093}"/>
    <cellStyle name="Normal 5 2 5 2 4 3 3" xfId="15375" xr:uid="{6100D875-A421-4386-9E50-6E7AF2D57674}"/>
    <cellStyle name="Normal 5 2 5 2 4 4" xfId="20457" xr:uid="{5682D889-EE67-4719-B2D2-A5CBCAE2D456}"/>
    <cellStyle name="Normal 5 2 5 2 4 5" xfId="11158" xr:uid="{6C50CAE6-3C20-46A6-B2EF-C5B630FCFA5A}"/>
    <cellStyle name="Normal 5 2 5 2 5" xfId="2156" xr:uid="{00000000-0005-0000-0000-000030190000}"/>
    <cellStyle name="Normal 5 2 5 2 5 2" xfId="4385" xr:uid="{00000000-0005-0000-0000-000031190000}"/>
    <cellStyle name="Normal 5 2 5 2 5 2 2" xfId="8607" xr:uid="{00000000-0005-0000-0000-000032190000}"/>
    <cellStyle name="Normal 5 2 5 2 5 2 2 2" xfId="27232" xr:uid="{CC17FA5E-A13F-4F94-8990-17370954C46F}"/>
    <cellStyle name="Normal 5 2 5 2 5 2 2 3" xfId="17933" xr:uid="{7A09B8B6-1EF1-4A55-B717-F1003766A205}"/>
    <cellStyle name="Normal 5 2 5 2 5 2 3" xfId="23015" xr:uid="{3C6881C0-BC1F-4B23-AB51-FA47535056DB}"/>
    <cellStyle name="Normal 5 2 5 2 5 2 4" xfId="13716" xr:uid="{37DB3CB9-C28C-4FE0-BA25-3ED69443B1B9}"/>
    <cellStyle name="Normal 5 2 5 2 5 3" xfId="6462" xr:uid="{00000000-0005-0000-0000-000033190000}"/>
    <cellStyle name="Normal 5 2 5 2 5 3 2" xfId="25087" xr:uid="{A28235FF-201D-4666-8C04-42983107FA24}"/>
    <cellStyle name="Normal 5 2 5 2 5 3 3" xfId="15788" xr:uid="{E95E9CEA-A620-42D1-85A1-5D9EA0582E28}"/>
    <cellStyle name="Normal 5 2 5 2 5 4" xfId="20870" xr:uid="{2E964FAB-0B65-4DDA-91B5-1F2FBB4AAEE8}"/>
    <cellStyle name="Normal 5 2 5 2 5 5" xfId="11571" xr:uid="{F6E5CFF9-1007-426A-9205-5318BA03F4CA}"/>
    <cellStyle name="Normal 5 2 5 2 6" xfId="2592" xr:uid="{00000000-0005-0000-0000-000034190000}"/>
    <cellStyle name="Normal 5 2 5 2 6 2" xfId="6875" xr:uid="{00000000-0005-0000-0000-000035190000}"/>
    <cellStyle name="Normal 5 2 5 2 6 2 2" xfId="25500" xr:uid="{A91DA69F-AEFA-40C1-9CAB-80D05C8F02FA}"/>
    <cellStyle name="Normal 5 2 5 2 6 2 3" xfId="16201" xr:uid="{89EA0E0E-DEF1-45A9-B7C4-B0CC87F37376}"/>
    <cellStyle name="Normal 5 2 5 2 6 3" xfId="21283" xr:uid="{62AB7E29-2C6D-4EA9-B4EE-A3625F5605A6}"/>
    <cellStyle name="Normal 5 2 5 2 6 4" xfId="11984" xr:uid="{5DC9A8A3-A565-4BB9-9D24-3409AF4DDB64}"/>
    <cellStyle name="Normal 5 2 5 2 7" xfId="4810" xr:uid="{00000000-0005-0000-0000-000036190000}"/>
    <cellStyle name="Normal 5 2 5 2 7 2" xfId="23435" xr:uid="{1FE2A3F8-7D6B-4B46-8B0B-E354E8277948}"/>
    <cellStyle name="Normal 5 2 5 2 7 3" xfId="14136" xr:uid="{DBD1128E-04A2-40C0-9C30-642BE2C0C06D}"/>
    <cellStyle name="Normal 5 2 5 2 8" xfId="9054" xr:uid="{844F6476-DDB9-4C38-A2B2-83AB0DCF1773}"/>
    <cellStyle name="Normal 5 2 5 2 8 2" xfId="27677" xr:uid="{89BDDDC8-D75A-4B1A-8BE2-0242409F3053}"/>
    <cellStyle name="Normal 5 2 5 2 8 3" xfId="18378" xr:uid="{E4AC4CF2-A7C9-4BFE-A8F3-45147A68761F}"/>
    <cellStyle name="Normal 5 2 5 2 9" xfId="19218" xr:uid="{1E87CB38-FA81-42C2-B62B-02E21E75C93F}"/>
    <cellStyle name="Normal 5 2 5 3" xfId="910" xr:uid="{00000000-0005-0000-0000-000037190000}"/>
    <cellStyle name="Normal 5 2 5 3 2" xfId="3145" xr:uid="{00000000-0005-0000-0000-000038190000}"/>
    <cellStyle name="Normal 5 2 5 3 2 2" xfId="7367" xr:uid="{00000000-0005-0000-0000-000039190000}"/>
    <cellStyle name="Normal 5 2 5 3 2 2 2" xfId="25992" xr:uid="{DD9208F2-FB94-4614-B999-C91482862326}"/>
    <cellStyle name="Normal 5 2 5 3 2 2 3" xfId="16693" xr:uid="{879521DB-76EA-41F0-9B59-89531BA95FFD}"/>
    <cellStyle name="Normal 5 2 5 3 2 3" xfId="21775" xr:uid="{D0DC4301-A76C-47A4-AD64-DB0190125F80}"/>
    <cellStyle name="Normal 5 2 5 3 2 4" xfId="12476" xr:uid="{1849C4A2-8664-425F-9801-EE4DEF3A3B7E}"/>
    <cellStyle name="Normal 5 2 5 3 3" xfId="5222" xr:uid="{00000000-0005-0000-0000-00003A190000}"/>
    <cellStyle name="Normal 5 2 5 3 3 2" xfId="23847" xr:uid="{2D810371-29B9-48E1-A6C4-C0E8B9DFD620}"/>
    <cellStyle name="Normal 5 2 5 3 3 3" xfId="14548" xr:uid="{EF541F98-1086-493A-9758-DF1661CB3E7B}"/>
    <cellStyle name="Normal 5 2 5 3 4" xfId="9272" xr:uid="{8865498C-CC61-4C5F-A1F4-57A1D301E1CE}"/>
    <cellStyle name="Normal 5 2 5 3 4 2" xfId="27886" xr:uid="{47603569-1987-4FD9-92FC-ED5B4185995D}"/>
    <cellStyle name="Normal 5 2 5 3 4 3" xfId="18587" xr:uid="{FE2D0A78-11A1-42CE-B4E4-8E3CC05E286E}"/>
    <cellStyle name="Normal 5 2 5 3 5" xfId="19630" xr:uid="{F7E8A452-6840-437E-8269-7FB23FDDBC61}"/>
    <cellStyle name="Normal 5 2 5 3 6" xfId="10331" xr:uid="{1404115B-4489-454D-ABD7-B3B2AF33F7BC}"/>
    <cellStyle name="Normal 5 2 5 4" xfId="1328" xr:uid="{00000000-0005-0000-0000-00003B190000}"/>
    <cellStyle name="Normal 5 2 5 4 2" xfId="3558" xr:uid="{00000000-0005-0000-0000-00003C190000}"/>
    <cellStyle name="Normal 5 2 5 4 2 2" xfId="7780" xr:uid="{00000000-0005-0000-0000-00003D190000}"/>
    <cellStyle name="Normal 5 2 5 4 2 2 2" xfId="26405" xr:uid="{5DE8BE14-42B1-4F09-AB97-C90D94F901CD}"/>
    <cellStyle name="Normal 5 2 5 4 2 2 3" xfId="17106" xr:uid="{E8A04B55-C675-469F-AC2F-8F1F95519F89}"/>
    <cellStyle name="Normal 5 2 5 4 2 3" xfId="22188" xr:uid="{6AB6E5E9-3226-4777-A102-2E5C8D5D8A5A}"/>
    <cellStyle name="Normal 5 2 5 4 2 4" xfId="12889" xr:uid="{ED7B49BE-CF29-44A5-9403-CD0D301FCBC5}"/>
    <cellStyle name="Normal 5 2 5 4 3" xfId="5635" xr:uid="{00000000-0005-0000-0000-00003E190000}"/>
    <cellStyle name="Normal 5 2 5 4 3 2" xfId="24260" xr:uid="{83CE35CC-955A-499D-9411-EEF3DC4FB2CE}"/>
    <cellStyle name="Normal 5 2 5 4 3 3" xfId="14961" xr:uid="{6D731700-9FC9-4EE2-9A98-76AD1510A89B}"/>
    <cellStyle name="Normal 5 2 5 4 4" xfId="20043" xr:uid="{9AFB7C41-557D-4DBA-BFA3-CBA7D2D4F5D0}"/>
    <cellStyle name="Normal 5 2 5 4 5" xfId="10744" xr:uid="{2F695257-6C8A-42BB-BCA9-9264A9FC99C4}"/>
    <cellStyle name="Normal 5 2 5 5" xfId="1741" xr:uid="{00000000-0005-0000-0000-00003F190000}"/>
    <cellStyle name="Normal 5 2 5 5 2" xfId="3971" xr:uid="{00000000-0005-0000-0000-000040190000}"/>
    <cellStyle name="Normal 5 2 5 5 2 2" xfId="8193" xr:uid="{00000000-0005-0000-0000-000041190000}"/>
    <cellStyle name="Normal 5 2 5 5 2 2 2" xfId="26818" xr:uid="{4DBF409A-0527-4748-B935-97C4EC3FAAF2}"/>
    <cellStyle name="Normal 5 2 5 5 2 2 3" xfId="17519" xr:uid="{1AD2B102-A467-4B49-8578-0090519AA94D}"/>
    <cellStyle name="Normal 5 2 5 5 2 3" xfId="22601" xr:uid="{0D46E9C9-4187-4734-B0E6-6F6E9C73D275}"/>
    <cellStyle name="Normal 5 2 5 5 2 4" xfId="13302" xr:uid="{73DDE950-2A4E-4CB2-A86D-EBA6166B29AE}"/>
    <cellStyle name="Normal 5 2 5 5 3" xfId="6048" xr:uid="{00000000-0005-0000-0000-000042190000}"/>
    <cellStyle name="Normal 5 2 5 5 3 2" xfId="24673" xr:uid="{9CA938D8-2D15-40C7-9727-E54A2757CA97}"/>
    <cellStyle name="Normal 5 2 5 5 3 3" xfId="15374" xr:uid="{EA7CAD42-09CB-468D-A236-01BE5243D33F}"/>
    <cellStyle name="Normal 5 2 5 5 4" xfId="20456" xr:uid="{796AE365-2A49-4CC6-9F09-33AD2A619455}"/>
    <cellStyle name="Normal 5 2 5 5 5" xfId="11157" xr:uid="{8E208BD5-AFFF-4CDC-88BC-F676178CA9CF}"/>
    <cellStyle name="Normal 5 2 5 6" xfId="2155" xr:uid="{00000000-0005-0000-0000-000043190000}"/>
    <cellStyle name="Normal 5 2 5 6 2" xfId="4384" xr:uid="{00000000-0005-0000-0000-000044190000}"/>
    <cellStyle name="Normal 5 2 5 6 2 2" xfId="8606" xr:uid="{00000000-0005-0000-0000-000045190000}"/>
    <cellStyle name="Normal 5 2 5 6 2 2 2" xfId="27231" xr:uid="{D43C54F5-6732-4798-BB9D-A32F8286349D}"/>
    <cellStyle name="Normal 5 2 5 6 2 2 3" xfId="17932" xr:uid="{4CEB2A59-13EA-49E9-B1F9-2AAC56489C50}"/>
    <cellStyle name="Normal 5 2 5 6 2 3" xfId="23014" xr:uid="{6E99D739-FACC-46B7-B9E3-3154A6C9B8EF}"/>
    <cellStyle name="Normal 5 2 5 6 2 4" xfId="13715" xr:uid="{981C5E7E-7C0C-4593-BF55-D7C09A6B34A1}"/>
    <cellStyle name="Normal 5 2 5 6 3" xfId="6461" xr:uid="{00000000-0005-0000-0000-000046190000}"/>
    <cellStyle name="Normal 5 2 5 6 3 2" xfId="25086" xr:uid="{5B5DFC73-E3FB-4FA6-97D3-04CC6D084F79}"/>
    <cellStyle name="Normal 5 2 5 6 3 3" xfId="15787" xr:uid="{8E321159-3E99-4319-B45F-E79460EBA82D}"/>
    <cellStyle name="Normal 5 2 5 6 4" xfId="20869" xr:uid="{45BD83FF-EA89-47B6-B1D2-C18184A55EBF}"/>
    <cellStyle name="Normal 5 2 5 6 5" xfId="11570" xr:uid="{D3B003A7-7883-4956-9120-6A44E2FE2DA9}"/>
    <cellStyle name="Normal 5 2 5 7" xfId="2591" xr:uid="{00000000-0005-0000-0000-000047190000}"/>
    <cellStyle name="Normal 5 2 5 7 2" xfId="6874" xr:uid="{00000000-0005-0000-0000-000048190000}"/>
    <cellStyle name="Normal 5 2 5 7 2 2" xfId="25499" xr:uid="{61860D49-78F3-420E-B27C-45888AB0EA7F}"/>
    <cellStyle name="Normal 5 2 5 7 2 3" xfId="16200" xr:uid="{46D6902C-7827-452B-93D4-0641C0EAF622}"/>
    <cellStyle name="Normal 5 2 5 7 3" xfId="21282" xr:uid="{58A1649D-E638-4F17-87A6-09207003FE3B}"/>
    <cellStyle name="Normal 5 2 5 7 4" xfId="11983" xr:uid="{69374DB6-FDF9-4739-904D-431EC8BB6C60}"/>
    <cellStyle name="Normal 5 2 5 8" xfId="4809" xr:uid="{00000000-0005-0000-0000-000049190000}"/>
    <cellStyle name="Normal 5 2 5 8 2" xfId="23434" xr:uid="{79FC92B0-E134-4DBC-9119-33806427C670}"/>
    <cellStyle name="Normal 5 2 5 8 3" xfId="14135" xr:uid="{1F30539D-71C2-4752-8748-2C895E81839E}"/>
    <cellStyle name="Normal 5 2 5 9" xfId="8847" xr:uid="{504334B5-BB84-4906-81A5-68746D711AC3}"/>
    <cellStyle name="Normal 5 2 5 9 2" xfId="27470" xr:uid="{FE2435D7-F885-4F17-B58E-FA921E9B2550}"/>
    <cellStyle name="Normal 5 2 5 9 3" xfId="18171" xr:uid="{FC38037B-520F-4AAA-B361-1563A37930A9}"/>
    <cellStyle name="Normal 5 2 6" xfId="438" xr:uid="{00000000-0005-0000-0000-00004A190000}"/>
    <cellStyle name="Normal 5 2 6 10" xfId="9920" xr:uid="{B02EA07E-7552-4F71-83DF-EB047255621D}"/>
    <cellStyle name="Normal 5 2 6 2" xfId="912" xr:uid="{00000000-0005-0000-0000-00004B190000}"/>
    <cellStyle name="Normal 5 2 6 2 2" xfId="3147" xr:uid="{00000000-0005-0000-0000-00004C190000}"/>
    <cellStyle name="Normal 5 2 6 2 2 2" xfId="7369" xr:uid="{00000000-0005-0000-0000-00004D190000}"/>
    <cellStyle name="Normal 5 2 6 2 2 2 2" xfId="25994" xr:uid="{F4054A4C-8A1A-4473-A51A-DC862ED4E8BF}"/>
    <cellStyle name="Normal 5 2 6 2 2 2 3" xfId="16695" xr:uid="{86655FC5-0FDF-4830-BB5A-8FA709C904E2}"/>
    <cellStyle name="Normal 5 2 6 2 2 3" xfId="21777" xr:uid="{2BFB1BDF-E0E1-4C61-B86C-626B3B6A2D0C}"/>
    <cellStyle name="Normal 5 2 6 2 2 4" xfId="12478" xr:uid="{E7D66091-04CF-4EAA-BCD6-C645985161CD}"/>
    <cellStyle name="Normal 5 2 6 2 3" xfId="5224" xr:uid="{00000000-0005-0000-0000-00004E190000}"/>
    <cellStyle name="Normal 5 2 6 2 3 2" xfId="23849" xr:uid="{A61653CB-D4A6-4DD5-979D-C1FF7B8015AB}"/>
    <cellStyle name="Normal 5 2 6 2 3 3" xfId="14550" xr:uid="{7531B94C-6019-42E1-A4C3-7862CBB2411D}"/>
    <cellStyle name="Normal 5 2 6 2 4" xfId="9388" xr:uid="{38BE55A5-085B-499D-8766-DF826B77D03C}"/>
    <cellStyle name="Normal 5 2 6 2 4 2" xfId="28002" xr:uid="{4836F7D3-ED57-4841-A4B1-54C0117C59F7}"/>
    <cellStyle name="Normal 5 2 6 2 4 3" xfId="18703" xr:uid="{2757B182-F70D-4D51-8E96-67593534B29C}"/>
    <cellStyle name="Normal 5 2 6 2 5" xfId="19632" xr:uid="{07708515-B905-4082-89B8-A01EE1CFE570}"/>
    <cellStyle name="Normal 5 2 6 2 6" xfId="10333" xr:uid="{FC8659D1-F3FE-422F-95A7-3908D6B628D6}"/>
    <cellStyle name="Normal 5 2 6 3" xfId="1330" xr:uid="{00000000-0005-0000-0000-00004F190000}"/>
    <cellStyle name="Normal 5 2 6 3 2" xfId="3560" xr:uid="{00000000-0005-0000-0000-000050190000}"/>
    <cellStyle name="Normal 5 2 6 3 2 2" xfId="7782" xr:uid="{00000000-0005-0000-0000-000051190000}"/>
    <cellStyle name="Normal 5 2 6 3 2 2 2" xfId="26407" xr:uid="{23BAB1C6-DE3D-46FB-BE32-6606D8B84886}"/>
    <cellStyle name="Normal 5 2 6 3 2 2 3" xfId="17108" xr:uid="{D97779BD-D6A9-4652-9F1E-34F1FA958751}"/>
    <cellStyle name="Normal 5 2 6 3 2 3" xfId="22190" xr:uid="{22922A2F-E1B0-4649-B1E3-C3DB7BA99720}"/>
    <cellStyle name="Normal 5 2 6 3 2 4" xfId="12891" xr:uid="{682D3CCF-1A78-47A1-AB39-28E6819825BC}"/>
    <cellStyle name="Normal 5 2 6 3 3" xfId="5637" xr:uid="{00000000-0005-0000-0000-000052190000}"/>
    <cellStyle name="Normal 5 2 6 3 3 2" xfId="24262" xr:uid="{84A5392F-1B98-411F-9AE0-7B43D3E5266B}"/>
    <cellStyle name="Normal 5 2 6 3 3 3" xfId="14963" xr:uid="{C0721585-A4D6-437D-86EB-C1DA780BDA8A}"/>
    <cellStyle name="Normal 5 2 6 3 4" xfId="20045" xr:uid="{FD3999B1-2EAF-4E3A-8D5B-C4CEC9609F3B}"/>
    <cellStyle name="Normal 5 2 6 3 5" xfId="10746" xr:uid="{EB2014CD-9DF0-477D-B062-836DE35EA20D}"/>
    <cellStyle name="Normal 5 2 6 4" xfId="1743" xr:uid="{00000000-0005-0000-0000-000053190000}"/>
    <cellStyle name="Normal 5 2 6 4 2" xfId="3973" xr:uid="{00000000-0005-0000-0000-000054190000}"/>
    <cellStyle name="Normal 5 2 6 4 2 2" xfId="8195" xr:uid="{00000000-0005-0000-0000-000055190000}"/>
    <cellStyle name="Normal 5 2 6 4 2 2 2" xfId="26820" xr:uid="{3DAEEA90-5A9E-4820-A493-1BA485E38AF9}"/>
    <cellStyle name="Normal 5 2 6 4 2 2 3" xfId="17521" xr:uid="{327AAE3A-1C54-43B9-A322-FBA219963320}"/>
    <cellStyle name="Normal 5 2 6 4 2 3" xfId="22603" xr:uid="{9ECEE251-8603-457D-86ED-285D2F5570FF}"/>
    <cellStyle name="Normal 5 2 6 4 2 4" xfId="13304" xr:uid="{F2528FCA-31A3-45CE-9178-6401DDCD69CB}"/>
    <cellStyle name="Normal 5 2 6 4 3" xfId="6050" xr:uid="{00000000-0005-0000-0000-000056190000}"/>
    <cellStyle name="Normal 5 2 6 4 3 2" xfId="24675" xr:uid="{A49D9796-6E1E-4DFD-8B76-8DC462801159}"/>
    <cellStyle name="Normal 5 2 6 4 3 3" xfId="15376" xr:uid="{A2706F79-69AC-4BC9-81D2-5AB8DCBAE2E4}"/>
    <cellStyle name="Normal 5 2 6 4 4" xfId="20458" xr:uid="{59E786A9-9076-45A7-ABC7-ABF34A726362}"/>
    <cellStyle name="Normal 5 2 6 4 5" xfId="11159" xr:uid="{D4892EA0-009C-4DC3-ABF7-7E9A9FC6F3EE}"/>
    <cellStyle name="Normal 5 2 6 5" xfId="2157" xr:uid="{00000000-0005-0000-0000-000057190000}"/>
    <cellStyle name="Normal 5 2 6 5 2" xfId="4386" xr:uid="{00000000-0005-0000-0000-000058190000}"/>
    <cellStyle name="Normal 5 2 6 5 2 2" xfId="8608" xr:uid="{00000000-0005-0000-0000-000059190000}"/>
    <cellStyle name="Normal 5 2 6 5 2 2 2" xfId="27233" xr:uid="{4DEBD1C1-9A22-45C5-B361-D6A0506D6A30}"/>
    <cellStyle name="Normal 5 2 6 5 2 2 3" xfId="17934" xr:uid="{18CB4B24-2530-4DDF-A4A8-2D0AD0B3C96E}"/>
    <cellStyle name="Normal 5 2 6 5 2 3" xfId="23016" xr:uid="{DB904CA6-8A14-4DF1-B76E-C13768679061}"/>
    <cellStyle name="Normal 5 2 6 5 2 4" xfId="13717" xr:uid="{79613CC6-44A5-45B0-9120-5F4D91ADEAAA}"/>
    <cellStyle name="Normal 5 2 6 5 3" xfId="6463" xr:uid="{00000000-0005-0000-0000-00005A190000}"/>
    <cellStyle name="Normal 5 2 6 5 3 2" xfId="25088" xr:uid="{E7BB9A98-EDAE-4B70-A73B-E7AC1D66DBA7}"/>
    <cellStyle name="Normal 5 2 6 5 3 3" xfId="15789" xr:uid="{1EFFBFE0-64F2-42AE-990E-9F7E93E86042}"/>
    <cellStyle name="Normal 5 2 6 5 4" xfId="20871" xr:uid="{9C9AC2A4-A5C9-44CC-9058-07DAB162BD28}"/>
    <cellStyle name="Normal 5 2 6 5 5" xfId="11572" xr:uid="{F7185F03-7608-4784-BD6E-7604D913C787}"/>
    <cellStyle name="Normal 5 2 6 6" xfId="2593" xr:uid="{00000000-0005-0000-0000-00005B190000}"/>
    <cellStyle name="Normal 5 2 6 6 2" xfId="6876" xr:uid="{00000000-0005-0000-0000-00005C190000}"/>
    <cellStyle name="Normal 5 2 6 6 2 2" xfId="25501" xr:uid="{72EC2952-F20A-4C4A-9FEC-4B1EF3E68E30}"/>
    <cellStyle name="Normal 5 2 6 6 2 3" xfId="16202" xr:uid="{9DECC143-2D5D-4EB1-B244-DB242AC82735}"/>
    <cellStyle name="Normal 5 2 6 6 3" xfId="21284" xr:uid="{5A1C5832-8127-46C8-9AC5-1656A45351E6}"/>
    <cellStyle name="Normal 5 2 6 6 4" xfId="11985" xr:uid="{FFF0F0A8-8C4F-4A47-A51E-E51FAF7CB84E}"/>
    <cellStyle name="Normal 5 2 6 7" xfId="4811" xr:uid="{00000000-0005-0000-0000-00005D190000}"/>
    <cellStyle name="Normal 5 2 6 7 2" xfId="23436" xr:uid="{D0D6FBCF-75A3-4F12-BE94-67B1DEA4E8DF}"/>
    <cellStyle name="Normal 5 2 6 7 3" xfId="14137" xr:uid="{5669B143-3DE4-42D9-978B-F701C43BBF4E}"/>
    <cellStyle name="Normal 5 2 6 8" xfId="8963" xr:uid="{01BDB756-0B70-4C0D-AC32-9959EE0C8F11}"/>
    <cellStyle name="Normal 5 2 6 8 2" xfId="27586" xr:uid="{4D5A7709-02D1-41F2-BAD1-7CFF6B6B786B}"/>
    <cellStyle name="Normal 5 2 6 8 3" xfId="18287" xr:uid="{1CD99B6F-A144-4F80-AEA4-A822344B90FC}"/>
    <cellStyle name="Normal 5 2 6 9" xfId="19219" xr:uid="{56425FC6-D9B6-457D-841E-314CB0C0C798}"/>
    <cellStyle name="Normal 5 2 7" xfId="881" xr:uid="{00000000-0005-0000-0000-00005E190000}"/>
    <cellStyle name="Normal 5 2 7 2" xfId="3116" xr:uid="{00000000-0005-0000-0000-00005F190000}"/>
    <cellStyle name="Normal 5 2 7 2 2" xfId="7338" xr:uid="{00000000-0005-0000-0000-000060190000}"/>
    <cellStyle name="Normal 5 2 7 2 2 2" xfId="25963" xr:uid="{EA6E6808-5963-4793-B5E8-276C6A9862CD}"/>
    <cellStyle name="Normal 5 2 7 2 2 3" xfId="16664" xr:uid="{29E152EE-5E37-4147-B4A3-B90D94EC46C8}"/>
    <cellStyle name="Normal 5 2 7 2 3" xfId="21746" xr:uid="{8FBD107E-AB31-43D5-B4E8-3DAC12EFE800}"/>
    <cellStyle name="Normal 5 2 7 2 4" xfId="12447" xr:uid="{ACDF54EF-6024-4982-A08C-5D80EDE13578}"/>
    <cellStyle name="Normal 5 2 7 3" xfId="5193" xr:uid="{00000000-0005-0000-0000-000061190000}"/>
    <cellStyle name="Normal 5 2 7 3 2" xfId="23818" xr:uid="{6D13F4F9-4009-4429-8BBB-B0506D5EACBB}"/>
    <cellStyle name="Normal 5 2 7 3 3" xfId="14519" xr:uid="{4BC293EC-A05F-43E3-9820-926EE292AC02}"/>
    <cellStyle name="Normal 5 2 7 4" xfId="9166" xr:uid="{903BB692-5043-4803-B109-F7C532EB2A09}"/>
    <cellStyle name="Normal 5 2 7 4 2" xfId="27783" xr:uid="{4987A749-AE5D-47F5-AE19-4E0E52BE5514}"/>
    <cellStyle name="Normal 5 2 7 4 3" xfId="18484" xr:uid="{CA4DE654-153E-49AA-A398-C3CA56A69F11}"/>
    <cellStyle name="Normal 5 2 7 5" xfId="19601" xr:uid="{F58643F8-4ECD-48AD-A27F-89CEF5DE688F}"/>
    <cellStyle name="Normal 5 2 7 6" xfId="10302" xr:uid="{4FC7636F-F72A-4066-8D92-F49B6D589B22}"/>
    <cellStyle name="Normal 5 2 8" xfId="1299" xr:uid="{00000000-0005-0000-0000-000062190000}"/>
    <cellStyle name="Normal 5 2 8 2" xfId="3529" xr:uid="{00000000-0005-0000-0000-000063190000}"/>
    <cellStyle name="Normal 5 2 8 2 2" xfId="7751" xr:uid="{00000000-0005-0000-0000-000064190000}"/>
    <cellStyle name="Normal 5 2 8 2 2 2" xfId="26376" xr:uid="{ECFD8EF3-064E-475E-8F38-456C099C28B0}"/>
    <cellStyle name="Normal 5 2 8 2 2 3" xfId="17077" xr:uid="{1207AFF2-FE9D-4BC3-9409-5CA307C082DD}"/>
    <cellStyle name="Normal 5 2 8 2 3" xfId="22159" xr:uid="{277F8AE5-8663-4A48-98FB-C33804AC3664}"/>
    <cellStyle name="Normal 5 2 8 2 4" xfId="12860" xr:uid="{DB73272C-6019-4CEF-BE10-49F40F6F7536}"/>
    <cellStyle name="Normal 5 2 8 3" xfId="5606" xr:uid="{00000000-0005-0000-0000-000065190000}"/>
    <cellStyle name="Normal 5 2 8 3 2" xfId="24231" xr:uid="{69BCB51E-4DBE-4BF7-80FD-F1B26B68E646}"/>
    <cellStyle name="Normal 5 2 8 3 3" xfId="14932" xr:uid="{0DF5689E-BF38-432C-9CBE-63E621433DF5}"/>
    <cellStyle name="Normal 5 2 8 4" xfId="20014" xr:uid="{9D011A0B-26D0-4278-96F0-F9551D38C4FA}"/>
    <cellStyle name="Normal 5 2 8 5" xfId="10715" xr:uid="{F3CC4514-2CCC-4FA9-B29A-1D2E08B40924}"/>
    <cellStyle name="Normal 5 2 9" xfId="1712" xr:uid="{00000000-0005-0000-0000-000066190000}"/>
    <cellStyle name="Normal 5 2 9 2" xfId="3942" xr:uid="{00000000-0005-0000-0000-000067190000}"/>
    <cellStyle name="Normal 5 2 9 2 2" xfId="8164" xr:uid="{00000000-0005-0000-0000-000068190000}"/>
    <cellStyle name="Normal 5 2 9 2 2 2" xfId="26789" xr:uid="{93BAB054-5EB2-4B3D-BB2B-1329FDDF58F9}"/>
    <cellStyle name="Normal 5 2 9 2 2 3" xfId="17490" xr:uid="{DF2CF435-46CD-4268-84E6-E0EBAF1ABAB0}"/>
    <cellStyle name="Normal 5 2 9 2 3" xfId="22572" xr:uid="{9305B855-6DA2-427B-A945-2AF882BB5ADE}"/>
    <cellStyle name="Normal 5 2 9 2 4" xfId="13273" xr:uid="{CAA36072-B0E4-4F96-97F4-E8002F7B7800}"/>
    <cellStyle name="Normal 5 2 9 3" xfId="6019" xr:uid="{00000000-0005-0000-0000-000069190000}"/>
    <cellStyle name="Normal 5 2 9 3 2" xfId="24644" xr:uid="{D3C0B94F-5008-4EFD-AAE3-E3F468905D19}"/>
    <cellStyle name="Normal 5 2 9 3 3" xfId="15345" xr:uid="{3179E88B-F36C-4A6F-A92C-D15C10D60CE1}"/>
    <cellStyle name="Normal 5 2 9 4" xfId="20427" xr:uid="{DC993A00-5B70-40F6-854E-A14CB4E84392}"/>
    <cellStyle name="Normal 5 2 9 5" xfId="11128" xr:uid="{2E091D77-230A-4231-99BD-A0A2E72A1C9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2 2 2" xfId="27234" xr:uid="{F6E9BD44-C784-4F51-9773-D71F17B4ABA5}"/>
    <cellStyle name="Normal 5 3 10 2 2 3" xfId="17935" xr:uid="{CC38EEFE-5455-4936-9891-8734F0D60EDD}"/>
    <cellStyle name="Normal 5 3 10 2 3" xfId="23017" xr:uid="{194ED8C7-D238-4CB2-ADBF-147799E1EBF1}"/>
    <cellStyle name="Normal 5 3 10 2 4" xfId="13718" xr:uid="{78EBE78C-2ED3-4BD6-8606-15E8C2FC7DB3}"/>
    <cellStyle name="Normal 5 3 10 3" xfId="6464" xr:uid="{00000000-0005-0000-0000-00006E190000}"/>
    <cellStyle name="Normal 5 3 10 3 2" xfId="25089" xr:uid="{69325A38-2C16-488B-93E2-06B26264FD5B}"/>
    <cellStyle name="Normal 5 3 10 3 3" xfId="15790" xr:uid="{1E3956B4-8C24-4DCA-BBE6-869CFFE5FE15}"/>
    <cellStyle name="Normal 5 3 10 4" xfId="20872" xr:uid="{29141D48-AFCD-41D3-8FC4-E56050B9E041}"/>
    <cellStyle name="Normal 5 3 10 5" xfId="11573" xr:uid="{1667C52C-6E42-40B8-9CB5-A171EAE0E040}"/>
    <cellStyle name="Normal 5 3 11" xfId="2594" xr:uid="{00000000-0005-0000-0000-00006F190000}"/>
    <cellStyle name="Normal 5 3 11 2" xfId="6877" xr:uid="{00000000-0005-0000-0000-000070190000}"/>
    <cellStyle name="Normal 5 3 11 2 2" xfId="25502" xr:uid="{5902613F-97B5-4405-8B01-58F082322146}"/>
    <cellStyle name="Normal 5 3 11 2 3" xfId="16203" xr:uid="{28AE69D3-3F6D-4795-847C-8735A0E203B4}"/>
    <cellStyle name="Normal 5 3 11 3" xfId="21285" xr:uid="{499733E5-920B-4E5B-BD55-F34C60B3ECBC}"/>
    <cellStyle name="Normal 5 3 11 4" xfId="11986" xr:uid="{0EA43792-86A0-4A99-A0EA-30900C03988B}"/>
    <cellStyle name="Normal 5 3 12" xfId="4812" xr:uid="{00000000-0005-0000-0000-000071190000}"/>
    <cellStyle name="Normal 5 3 12 2" xfId="23437" xr:uid="{8ED7EA5A-3F46-421C-BD2D-C64EF997DA00}"/>
    <cellStyle name="Normal 5 3 12 3" xfId="14138" xr:uid="{738D6570-2C1D-449A-B22A-3A592D13D43A}"/>
    <cellStyle name="Normal 5 3 13" xfId="8750" xr:uid="{36957AEF-D081-4A23-AEE3-073A5901863C}"/>
    <cellStyle name="Normal 5 3 13 2" xfId="27373" xr:uid="{8FF88216-6AD4-4522-92B1-E51B3183A915}"/>
    <cellStyle name="Normal 5 3 13 3" xfId="18074" xr:uid="{49327ED9-8689-41D4-90B9-5723AA4ABB99}"/>
    <cellStyle name="Normal 5 3 14" xfId="19220" xr:uid="{E7CE83B3-8170-412B-9353-ED568D8A80FC}"/>
    <cellStyle name="Normal 5 3 15" xfId="9921" xr:uid="{E678F855-BB12-4716-A5DB-DFA8D85A9232}"/>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0 2" xfId="23438" xr:uid="{4D4AE809-8C7D-4C49-A149-05681209C542}"/>
    <cellStyle name="Normal 5 3 3 10 3" xfId="14139" xr:uid="{61AC4F59-82DB-4AFF-AF3A-07DB9BE093EA}"/>
    <cellStyle name="Normal 5 3 3 11" xfId="8782" xr:uid="{4219AD28-469A-4693-BD0B-B0536AC433E5}"/>
    <cellStyle name="Normal 5 3 3 11 2" xfId="27405" xr:uid="{6ADB0DF5-F7AC-438F-B0DC-26171E458E3F}"/>
    <cellStyle name="Normal 5 3 3 11 3" xfId="18106" xr:uid="{A61F2B6F-3092-48F7-BC86-8A5A2E1BEAF2}"/>
    <cellStyle name="Normal 5 3 3 12" xfId="19221" xr:uid="{70CFF4F8-32BF-4936-921A-0B99CBCF8DC9}"/>
    <cellStyle name="Normal 5 3 3 13" xfId="9922" xr:uid="{876968B3-3155-4471-8EE3-B2E5EE28B14B}"/>
    <cellStyle name="Normal 5 3 3 2" xfId="442" xr:uid="{00000000-0005-0000-0000-000076190000}"/>
    <cellStyle name="Normal 5 3 3 2 10" xfId="8832" xr:uid="{03323DDB-E4E1-4078-8BBE-EA3DD4471E1B}"/>
    <cellStyle name="Normal 5 3 3 2 10 2" xfId="27455" xr:uid="{C1CCFDB2-6E01-482E-8C94-4DE707A1646D}"/>
    <cellStyle name="Normal 5 3 3 2 10 3" xfId="18156" xr:uid="{A9AD6AB5-3C5C-44FE-AAB5-0685718D20DD}"/>
    <cellStyle name="Normal 5 3 3 2 11" xfId="19222" xr:uid="{C1C667DA-C853-4715-93DD-6992A3AF6EB6}"/>
    <cellStyle name="Normal 5 3 3 2 12" xfId="9923" xr:uid="{F74D98E3-9DA5-4C97-8C5E-414BB939911D}"/>
    <cellStyle name="Normal 5 3 3 2 2" xfId="443" xr:uid="{00000000-0005-0000-0000-000077190000}"/>
    <cellStyle name="Normal 5 3 3 2 2 10" xfId="19223" xr:uid="{7B123609-B4F2-4E24-AB31-455070DD9EB4}"/>
    <cellStyle name="Normal 5 3 3 2 2 11" xfId="9924" xr:uid="{AE481109-71AA-4D3D-9315-D44D6091D852}"/>
    <cellStyle name="Normal 5 3 3 2 2 2" xfId="444" xr:uid="{00000000-0005-0000-0000-000078190000}"/>
    <cellStyle name="Normal 5 3 3 2 2 2 10" xfId="9925" xr:uid="{BE7EF918-EB2E-4A6C-A117-39BE0275C9E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2 2 2" xfId="25999" xr:uid="{B0E705BB-78BB-4B6A-973D-9CBF08E5B380}"/>
    <cellStyle name="Normal 5 3 3 2 2 2 2 2 2 3" xfId="16700" xr:uid="{DBE2AE17-0799-4B6C-BDD4-1324C5C10958}"/>
    <cellStyle name="Normal 5 3 3 2 2 2 2 2 3" xfId="21782" xr:uid="{1EDD47AC-1CEF-4577-8064-49FD23E52404}"/>
    <cellStyle name="Normal 5 3 3 2 2 2 2 2 4" xfId="12483" xr:uid="{D57EECB4-45A2-49BE-B63F-49C50331522F}"/>
    <cellStyle name="Normal 5 3 3 2 2 2 2 3" xfId="5229" xr:uid="{00000000-0005-0000-0000-00007C190000}"/>
    <cellStyle name="Normal 5 3 3 2 2 2 2 3 2" xfId="23854" xr:uid="{95A148A6-989E-4590-B774-E4A97E66BCD3}"/>
    <cellStyle name="Normal 5 3 3 2 2 2 2 3 3" xfId="14555" xr:uid="{B278063E-A5B0-432C-845C-D179DC03A52C}"/>
    <cellStyle name="Normal 5 3 3 2 2 2 2 4" xfId="9567" xr:uid="{C2519486-6BC5-47D1-879F-EC6040BC9E9D}"/>
    <cellStyle name="Normal 5 3 3 2 2 2 2 4 2" xfId="28181" xr:uid="{97CF535B-D318-497C-8117-88F3A6ABB271}"/>
    <cellStyle name="Normal 5 3 3 2 2 2 2 4 3" xfId="18882" xr:uid="{C561616E-E130-464A-A268-4297D11D8088}"/>
    <cellStyle name="Normal 5 3 3 2 2 2 2 5" xfId="19637" xr:uid="{E4D52264-977F-490A-A014-E54227308682}"/>
    <cellStyle name="Normal 5 3 3 2 2 2 2 6" xfId="10338" xr:uid="{5CFC5A21-ED40-40F7-A5A1-B5981DCCD408}"/>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2 2 2" xfId="26412" xr:uid="{81636E8B-19B0-4037-9821-268C8A262F06}"/>
    <cellStyle name="Normal 5 3 3 2 2 2 3 2 2 3" xfId="17113" xr:uid="{D0943D27-10E8-4969-A0E3-E91A3E9BD74E}"/>
    <cellStyle name="Normal 5 3 3 2 2 2 3 2 3" xfId="22195" xr:uid="{C1078782-759E-43E7-8353-074BDA8D1965}"/>
    <cellStyle name="Normal 5 3 3 2 2 2 3 2 4" xfId="12896" xr:uid="{F13FD7B0-7FB6-498A-AE55-AEFEA444CF7C}"/>
    <cellStyle name="Normal 5 3 3 2 2 2 3 3" xfId="5642" xr:uid="{00000000-0005-0000-0000-000080190000}"/>
    <cellStyle name="Normal 5 3 3 2 2 2 3 3 2" xfId="24267" xr:uid="{3B086D7D-C1F1-41E3-848C-2C916567CC30}"/>
    <cellStyle name="Normal 5 3 3 2 2 2 3 3 3" xfId="14968" xr:uid="{5BF206A6-DCBE-4EAE-B77D-E70F4483D56A}"/>
    <cellStyle name="Normal 5 3 3 2 2 2 3 4" xfId="20050" xr:uid="{9476FF51-9678-4679-BDB7-3F6CBE5B2965}"/>
    <cellStyle name="Normal 5 3 3 2 2 2 3 5" xfId="10751" xr:uid="{8FD8EEB7-983D-4C2E-83B6-4BD3FE5E1F7A}"/>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2 2 2" xfId="26825" xr:uid="{CA72005E-79B1-4B6F-9090-9862E9C06526}"/>
    <cellStyle name="Normal 5 3 3 2 2 2 4 2 2 3" xfId="17526" xr:uid="{B173A730-C149-4750-BFF7-083EB098AF27}"/>
    <cellStyle name="Normal 5 3 3 2 2 2 4 2 3" xfId="22608" xr:uid="{45123D8C-275A-4D64-A95C-0E0CD3C398DC}"/>
    <cellStyle name="Normal 5 3 3 2 2 2 4 2 4" xfId="13309" xr:uid="{AA644129-5828-4C0A-9E44-5328D26099C8}"/>
    <cellStyle name="Normal 5 3 3 2 2 2 4 3" xfId="6055" xr:uid="{00000000-0005-0000-0000-000084190000}"/>
    <cellStyle name="Normal 5 3 3 2 2 2 4 3 2" xfId="24680" xr:uid="{07321B47-C993-4222-8AE1-FE53E9A4B403}"/>
    <cellStyle name="Normal 5 3 3 2 2 2 4 3 3" xfId="15381" xr:uid="{CC74C39D-1B1D-4E20-8401-761D2C81AE71}"/>
    <cellStyle name="Normal 5 3 3 2 2 2 4 4" xfId="20463" xr:uid="{52EBEB9C-8FA7-4503-A774-F93A02CAE489}"/>
    <cellStyle name="Normal 5 3 3 2 2 2 4 5" xfId="11164" xr:uid="{A318EB34-AFC3-486E-A56D-302C52F3B931}"/>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2 2 2" xfId="27238" xr:uid="{43C116DC-CCC3-4A3D-9B01-E21724F9634D}"/>
    <cellStyle name="Normal 5 3 3 2 2 2 5 2 2 3" xfId="17939" xr:uid="{6F320C11-A45E-495B-8167-17FFC64281E8}"/>
    <cellStyle name="Normal 5 3 3 2 2 2 5 2 3" xfId="23021" xr:uid="{A82384D3-1DC0-4B25-A439-57A192D63EFC}"/>
    <cellStyle name="Normal 5 3 3 2 2 2 5 2 4" xfId="13722" xr:uid="{42ED2DC3-3C49-47C2-BAD2-6545AEC57A8E}"/>
    <cellStyle name="Normal 5 3 3 2 2 2 5 3" xfId="6468" xr:uid="{00000000-0005-0000-0000-000088190000}"/>
    <cellStyle name="Normal 5 3 3 2 2 2 5 3 2" xfId="25093" xr:uid="{75C3C75B-C3DF-4AA7-AA8F-073659FFE054}"/>
    <cellStyle name="Normal 5 3 3 2 2 2 5 3 3" xfId="15794" xr:uid="{09F34A7A-927B-4448-B560-D91D931D555F}"/>
    <cellStyle name="Normal 5 3 3 2 2 2 5 4" xfId="20876" xr:uid="{13C86E16-4CA2-42C7-A870-65D0695885E1}"/>
    <cellStyle name="Normal 5 3 3 2 2 2 5 5" xfId="11577" xr:uid="{E3E4780C-7E15-49D8-A5BC-77CCF345BA42}"/>
    <cellStyle name="Normal 5 3 3 2 2 2 6" xfId="2598" xr:uid="{00000000-0005-0000-0000-000089190000}"/>
    <cellStyle name="Normal 5 3 3 2 2 2 6 2" xfId="6881" xr:uid="{00000000-0005-0000-0000-00008A190000}"/>
    <cellStyle name="Normal 5 3 3 2 2 2 6 2 2" xfId="25506" xr:uid="{4475FA58-911A-45BB-AE1B-0DD0A67A8312}"/>
    <cellStyle name="Normal 5 3 3 2 2 2 6 2 3" xfId="16207" xr:uid="{86613344-EC57-42A6-81C2-B49D72B53735}"/>
    <cellStyle name="Normal 5 3 3 2 2 2 6 3" xfId="21289" xr:uid="{FB5BE02F-CF46-47B0-B1DA-D756CFC2D332}"/>
    <cellStyle name="Normal 5 3 3 2 2 2 6 4" xfId="11990" xr:uid="{98D822AF-E5F4-43C7-9AFA-E32A76814CFC}"/>
    <cellStyle name="Normal 5 3 3 2 2 2 7" xfId="4816" xr:uid="{00000000-0005-0000-0000-00008B190000}"/>
    <cellStyle name="Normal 5 3 3 2 2 2 7 2" xfId="23441" xr:uid="{89A436DF-F3F0-4651-B820-FA798D9180C4}"/>
    <cellStyle name="Normal 5 3 3 2 2 2 7 3" xfId="14142" xr:uid="{B2F63513-CB5E-476F-91D7-8317998015C8}"/>
    <cellStyle name="Normal 5 3 3 2 2 2 8" xfId="9142" xr:uid="{81CF9711-3A0B-4712-8E8F-033C974AA9E3}"/>
    <cellStyle name="Normal 5 3 3 2 2 2 8 2" xfId="27765" xr:uid="{CAB5CC47-03D9-46D0-ABE3-ACA652406147}"/>
    <cellStyle name="Normal 5 3 3 2 2 2 8 3" xfId="18466" xr:uid="{F2553EDD-1CF6-4E65-BD70-3379A0DEF353}"/>
    <cellStyle name="Normal 5 3 3 2 2 2 9" xfId="19224" xr:uid="{EA2FB117-85A5-45EC-BFD2-A6D59C95B502}"/>
    <cellStyle name="Normal 5 3 3 2 2 3" xfId="917" xr:uid="{00000000-0005-0000-0000-00008C190000}"/>
    <cellStyle name="Normal 5 3 3 2 2 3 2" xfId="3151" xr:uid="{00000000-0005-0000-0000-00008D190000}"/>
    <cellStyle name="Normal 5 3 3 2 2 3 2 2" xfId="7373" xr:uid="{00000000-0005-0000-0000-00008E190000}"/>
    <cellStyle name="Normal 5 3 3 2 2 3 2 2 2" xfId="25998" xr:uid="{6B721DA9-B83F-4C1C-8A67-21CEDA01C8A6}"/>
    <cellStyle name="Normal 5 3 3 2 2 3 2 2 3" xfId="16699" xr:uid="{85A91DD6-76A7-4EE0-AF05-D8418D646698}"/>
    <cellStyle name="Normal 5 3 3 2 2 3 2 3" xfId="21781" xr:uid="{29AC09AE-1767-442F-A5D9-2BCC4A1445AE}"/>
    <cellStyle name="Normal 5 3 3 2 2 3 2 4" xfId="12482" xr:uid="{35B5B78B-5BCE-44AC-9BA5-0E82CD0F8DA4}"/>
    <cellStyle name="Normal 5 3 3 2 2 3 3" xfId="5228" xr:uid="{00000000-0005-0000-0000-00008F190000}"/>
    <cellStyle name="Normal 5 3 3 2 2 3 3 2" xfId="23853" xr:uid="{0B5C083C-37C3-4218-A29B-287C76228BE5}"/>
    <cellStyle name="Normal 5 3 3 2 2 3 3 3" xfId="14554" xr:uid="{5E88DABF-4ABB-4735-AD5C-758D7515308D}"/>
    <cellStyle name="Normal 5 3 3 2 2 3 4" xfId="9360" xr:uid="{07447062-3C9B-4A41-BE9D-50DE495FF588}"/>
    <cellStyle name="Normal 5 3 3 2 2 3 4 2" xfId="27974" xr:uid="{5B4155C2-F5AF-4868-9CF6-3EF15C5AB4C3}"/>
    <cellStyle name="Normal 5 3 3 2 2 3 4 3" xfId="18675" xr:uid="{BFD3F4BF-4DAE-4F72-9B05-27DA1B9F8F06}"/>
    <cellStyle name="Normal 5 3 3 2 2 3 5" xfId="19636" xr:uid="{76226D5D-C377-4B26-B060-AA673C6FAEDB}"/>
    <cellStyle name="Normal 5 3 3 2 2 3 6" xfId="10337" xr:uid="{9E827DF5-B42C-48A8-89A1-4D5FD85427F4}"/>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2 2 2" xfId="26411" xr:uid="{51F3E09F-914C-4959-A2B2-ABE5EB2F9918}"/>
    <cellStyle name="Normal 5 3 3 2 2 4 2 2 3" xfId="17112" xr:uid="{3118BF84-5DCD-4EE3-B87F-80A5A216CA2B}"/>
    <cellStyle name="Normal 5 3 3 2 2 4 2 3" xfId="22194" xr:uid="{427F7DC3-AD91-4971-A125-65EBB0F28D2F}"/>
    <cellStyle name="Normal 5 3 3 2 2 4 2 4" xfId="12895" xr:uid="{166CF6A2-3232-4710-8795-78F9640126A5}"/>
    <cellStyle name="Normal 5 3 3 2 2 4 3" xfId="5641" xr:uid="{00000000-0005-0000-0000-000093190000}"/>
    <cellStyle name="Normal 5 3 3 2 2 4 3 2" xfId="24266" xr:uid="{3454E642-EFB4-47BF-89A1-3A2AC12E4232}"/>
    <cellStyle name="Normal 5 3 3 2 2 4 3 3" xfId="14967" xr:uid="{E9B140CD-190D-4635-86B8-7F6982C68B0A}"/>
    <cellStyle name="Normal 5 3 3 2 2 4 4" xfId="20049" xr:uid="{DD5C18B9-FC27-4D45-B57C-D12808350FCB}"/>
    <cellStyle name="Normal 5 3 3 2 2 4 5" xfId="10750" xr:uid="{6D562310-E24F-4118-B68A-D9CE365E8711}"/>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2 2 2" xfId="26824" xr:uid="{EE34AA83-2517-4A91-9389-947AA07366A2}"/>
    <cellStyle name="Normal 5 3 3 2 2 5 2 2 3" xfId="17525" xr:uid="{F5B65A87-3B6F-4F1B-90EB-2CA382F9418D}"/>
    <cellStyle name="Normal 5 3 3 2 2 5 2 3" xfId="22607" xr:uid="{2E5CD1B3-B2E6-48FF-AB21-1530DBE46DBF}"/>
    <cellStyle name="Normal 5 3 3 2 2 5 2 4" xfId="13308" xr:uid="{74B7B7B8-B995-4548-B348-A2D84F327232}"/>
    <cellStyle name="Normal 5 3 3 2 2 5 3" xfId="6054" xr:uid="{00000000-0005-0000-0000-000097190000}"/>
    <cellStyle name="Normal 5 3 3 2 2 5 3 2" xfId="24679" xr:uid="{8A084053-3BB8-48E2-B743-A0E340572E7E}"/>
    <cellStyle name="Normal 5 3 3 2 2 5 3 3" xfId="15380" xr:uid="{7A63A377-95D3-4A16-84E0-2ED217A83071}"/>
    <cellStyle name="Normal 5 3 3 2 2 5 4" xfId="20462" xr:uid="{72BDEFAB-0436-4539-934F-07083B8B7C31}"/>
    <cellStyle name="Normal 5 3 3 2 2 5 5" xfId="11163" xr:uid="{ACA65F66-BC64-43C3-90CA-72247EFE837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2 2 2" xfId="27237" xr:uid="{AB492437-75E0-4A90-8BCE-BA72F55D338E}"/>
    <cellStyle name="Normal 5 3 3 2 2 6 2 2 3" xfId="17938" xr:uid="{49724ECC-7835-4FFF-8366-33FDA4BE884F}"/>
    <cellStyle name="Normal 5 3 3 2 2 6 2 3" xfId="23020" xr:uid="{B4175AD7-C050-4F3C-A8F9-3AB0EC893FD8}"/>
    <cellStyle name="Normal 5 3 3 2 2 6 2 4" xfId="13721" xr:uid="{6E296113-9F15-441A-AFCB-7AEA719E35C1}"/>
    <cellStyle name="Normal 5 3 3 2 2 6 3" xfId="6467" xr:uid="{00000000-0005-0000-0000-00009B190000}"/>
    <cellStyle name="Normal 5 3 3 2 2 6 3 2" xfId="25092" xr:uid="{11681235-6E59-408B-BCC8-76C53555B941}"/>
    <cellStyle name="Normal 5 3 3 2 2 6 3 3" xfId="15793" xr:uid="{E5B08DDD-9EC8-4615-9F95-0470605124C4}"/>
    <cellStyle name="Normal 5 3 3 2 2 6 4" xfId="20875" xr:uid="{608091E9-3C82-45F6-A811-EA96C118A757}"/>
    <cellStyle name="Normal 5 3 3 2 2 6 5" xfId="11576" xr:uid="{E03C06E7-D363-421E-BA17-E4A9AD308220}"/>
    <cellStyle name="Normal 5 3 3 2 2 7" xfId="2597" xr:uid="{00000000-0005-0000-0000-00009C190000}"/>
    <cellStyle name="Normal 5 3 3 2 2 7 2" xfId="6880" xr:uid="{00000000-0005-0000-0000-00009D190000}"/>
    <cellStyle name="Normal 5 3 3 2 2 7 2 2" xfId="25505" xr:uid="{96435A75-2DCD-4052-A9BA-8F72C6A67BED}"/>
    <cellStyle name="Normal 5 3 3 2 2 7 2 3" xfId="16206" xr:uid="{081F735A-D67B-4785-A786-1B2720E72AB7}"/>
    <cellStyle name="Normal 5 3 3 2 2 7 3" xfId="21288" xr:uid="{CAFE2E01-C315-4343-9F58-ECA6B8AB552C}"/>
    <cellStyle name="Normal 5 3 3 2 2 7 4" xfId="11989" xr:uid="{1617BD3F-78E4-4A9F-9BA5-92EDA38C93A3}"/>
    <cellStyle name="Normal 5 3 3 2 2 8" xfId="4815" xr:uid="{00000000-0005-0000-0000-00009E190000}"/>
    <cellStyle name="Normal 5 3 3 2 2 8 2" xfId="23440" xr:uid="{9884D91A-06CC-43C9-B758-B84DB4F65DF5}"/>
    <cellStyle name="Normal 5 3 3 2 2 8 3" xfId="14141" xr:uid="{7F75C6E1-9FA3-4104-9035-3AA0E98DFCB3}"/>
    <cellStyle name="Normal 5 3 3 2 2 9" xfId="8935" xr:uid="{94B8766B-0DD5-4CC7-9403-D37FC711344B}"/>
    <cellStyle name="Normal 5 3 3 2 2 9 2" xfId="27558" xr:uid="{58AB2DB0-EF2A-4F59-A756-834E667E8735}"/>
    <cellStyle name="Normal 5 3 3 2 2 9 3" xfId="18259" xr:uid="{64AA9664-7C57-4C06-BCE9-4D576481A797}"/>
    <cellStyle name="Normal 5 3 3 2 3" xfId="445" xr:uid="{00000000-0005-0000-0000-00009F190000}"/>
    <cellStyle name="Normal 5 3 3 2 3 10" xfId="9926" xr:uid="{13C28260-E194-49D2-909F-A220BDEE48A7}"/>
    <cellStyle name="Normal 5 3 3 2 3 2" xfId="919" xr:uid="{00000000-0005-0000-0000-0000A0190000}"/>
    <cellStyle name="Normal 5 3 3 2 3 2 2" xfId="3153" xr:uid="{00000000-0005-0000-0000-0000A1190000}"/>
    <cellStyle name="Normal 5 3 3 2 3 2 2 2" xfId="7375" xr:uid="{00000000-0005-0000-0000-0000A2190000}"/>
    <cellStyle name="Normal 5 3 3 2 3 2 2 2 2" xfId="26000" xr:uid="{B5A5390C-AEA1-4D6E-B3F1-9151B68676B3}"/>
    <cellStyle name="Normal 5 3 3 2 3 2 2 2 3" xfId="16701" xr:uid="{BC484262-D90B-4116-9574-5E41258BE9AA}"/>
    <cellStyle name="Normal 5 3 3 2 3 2 2 3" xfId="21783" xr:uid="{7E3C88B9-A353-4463-8518-BEA512E375FF}"/>
    <cellStyle name="Normal 5 3 3 2 3 2 2 4" xfId="12484" xr:uid="{52F0A00C-C61A-4A9D-8C77-0A395045CBD2}"/>
    <cellStyle name="Normal 5 3 3 2 3 2 3" xfId="5230" xr:uid="{00000000-0005-0000-0000-0000A3190000}"/>
    <cellStyle name="Normal 5 3 3 2 3 2 3 2" xfId="23855" xr:uid="{D9FD8388-1F7E-450C-8692-5DDCE94A3784}"/>
    <cellStyle name="Normal 5 3 3 2 3 2 3 3" xfId="14556" xr:uid="{25257CEE-7DBB-40F8-B0A9-A2C981793349}"/>
    <cellStyle name="Normal 5 3 3 2 3 2 4" xfId="9464" xr:uid="{6A182EEF-0879-47AD-839A-17D560B4AF3D}"/>
    <cellStyle name="Normal 5 3 3 2 3 2 4 2" xfId="28078" xr:uid="{C7B6ED78-B45D-4ED2-BF37-674B782065FF}"/>
    <cellStyle name="Normal 5 3 3 2 3 2 4 3" xfId="18779" xr:uid="{95F59751-7DE7-458D-912A-88A4A3654D74}"/>
    <cellStyle name="Normal 5 3 3 2 3 2 5" xfId="19638" xr:uid="{546D38AE-686D-43C8-9DD6-EF7364E6FE9C}"/>
    <cellStyle name="Normal 5 3 3 2 3 2 6" xfId="10339" xr:uid="{A03F2B02-26FE-418E-A73D-5FE14F62B894}"/>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2 2 2" xfId="26413" xr:uid="{74FD7451-CB55-45B5-BBFC-3BAEDB61120C}"/>
    <cellStyle name="Normal 5 3 3 2 3 3 2 2 3" xfId="17114" xr:uid="{4CDA341A-779D-4B6C-A8AF-9A437CF27D10}"/>
    <cellStyle name="Normal 5 3 3 2 3 3 2 3" xfId="22196" xr:uid="{D29B04B5-8A8B-4EBC-800C-2F18ABA8B8DC}"/>
    <cellStyle name="Normal 5 3 3 2 3 3 2 4" xfId="12897" xr:uid="{7A3EE840-E35E-439D-A6A4-E2442F4BF7D3}"/>
    <cellStyle name="Normal 5 3 3 2 3 3 3" xfId="5643" xr:uid="{00000000-0005-0000-0000-0000A7190000}"/>
    <cellStyle name="Normal 5 3 3 2 3 3 3 2" xfId="24268" xr:uid="{1F40CEBD-C663-48C5-9B60-C2C2F8B413DE}"/>
    <cellStyle name="Normal 5 3 3 2 3 3 3 3" xfId="14969" xr:uid="{85A87E8B-7F6B-4773-BC8D-6560DF40E674}"/>
    <cellStyle name="Normal 5 3 3 2 3 3 4" xfId="20051" xr:uid="{7C4509CA-BE47-40FA-9AFC-BCC7241F6591}"/>
    <cellStyle name="Normal 5 3 3 2 3 3 5" xfId="10752" xr:uid="{62426625-2F04-47FD-B7A8-B6E481612A49}"/>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2 2 2" xfId="26826" xr:uid="{75EEDB4F-19CF-4394-B359-FBAA42940BCE}"/>
    <cellStyle name="Normal 5 3 3 2 3 4 2 2 3" xfId="17527" xr:uid="{C90566D4-AD74-4B40-98AC-87BA041FDCEB}"/>
    <cellStyle name="Normal 5 3 3 2 3 4 2 3" xfId="22609" xr:uid="{8653823D-4BCE-45D1-9B71-BF993340CB95}"/>
    <cellStyle name="Normal 5 3 3 2 3 4 2 4" xfId="13310" xr:uid="{3456AF8C-923E-4B3B-95A6-DACBD8671E8F}"/>
    <cellStyle name="Normal 5 3 3 2 3 4 3" xfId="6056" xr:uid="{00000000-0005-0000-0000-0000AB190000}"/>
    <cellStyle name="Normal 5 3 3 2 3 4 3 2" xfId="24681" xr:uid="{25DC9AE7-07A9-44E6-967F-E7BFF77295DF}"/>
    <cellStyle name="Normal 5 3 3 2 3 4 3 3" xfId="15382" xr:uid="{CD656AC4-B10A-469B-84C6-A19558BD1AD9}"/>
    <cellStyle name="Normal 5 3 3 2 3 4 4" xfId="20464" xr:uid="{45ECEC73-E924-4BBF-88E0-4AD0C2B0546C}"/>
    <cellStyle name="Normal 5 3 3 2 3 4 5" xfId="11165" xr:uid="{D58430E2-A2A3-478A-B88D-AFA7CCC77F1C}"/>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2 2 2" xfId="27239" xr:uid="{887544B1-33B2-4E64-9D4D-C0727EAA2B8C}"/>
    <cellStyle name="Normal 5 3 3 2 3 5 2 2 3" xfId="17940" xr:uid="{8D1C1903-6E47-489F-B18D-D8AEEB91E60F}"/>
    <cellStyle name="Normal 5 3 3 2 3 5 2 3" xfId="23022" xr:uid="{93504C80-DC28-4107-9119-D98286877750}"/>
    <cellStyle name="Normal 5 3 3 2 3 5 2 4" xfId="13723" xr:uid="{3E4A8D0A-366C-422F-9468-FE437C98B06B}"/>
    <cellStyle name="Normal 5 3 3 2 3 5 3" xfId="6469" xr:uid="{00000000-0005-0000-0000-0000AF190000}"/>
    <cellStyle name="Normal 5 3 3 2 3 5 3 2" xfId="25094" xr:uid="{C77BB54B-B624-4F29-955B-0980B4A8979F}"/>
    <cellStyle name="Normal 5 3 3 2 3 5 3 3" xfId="15795" xr:uid="{54BBB718-09DA-419E-801E-EDEF03EAA266}"/>
    <cellStyle name="Normal 5 3 3 2 3 5 4" xfId="20877" xr:uid="{AD128C43-137E-42EE-A04D-67D3BF2939E9}"/>
    <cellStyle name="Normal 5 3 3 2 3 5 5" xfId="11578" xr:uid="{54DD7D38-CFCD-426C-B0CC-5F910926FE5C}"/>
    <cellStyle name="Normal 5 3 3 2 3 6" xfId="2599" xr:uid="{00000000-0005-0000-0000-0000B0190000}"/>
    <cellStyle name="Normal 5 3 3 2 3 6 2" xfId="6882" xr:uid="{00000000-0005-0000-0000-0000B1190000}"/>
    <cellStyle name="Normal 5 3 3 2 3 6 2 2" xfId="25507" xr:uid="{C9A747D0-486B-497D-89A5-366A5DEDD87F}"/>
    <cellStyle name="Normal 5 3 3 2 3 6 2 3" xfId="16208" xr:uid="{1CF0C3D3-0D02-4BD2-9522-CDC4E9CFB479}"/>
    <cellStyle name="Normal 5 3 3 2 3 6 3" xfId="21290" xr:uid="{49303C87-F43D-47E4-B04F-E99E933D894B}"/>
    <cellStyle name="Normal 5 3 3 2 3 6 4" xfId="11991" xr:uid="{2248D028-52AD-4C69-9093-758A4FC892A4}"/>
    <cellStyle name="Normal 5 3 3 2 3 7" xfId="4817" xr:uid="{00000000-0005-0000-0000-0000B2190000}"/>
    <cellStyle name="Normal 5 3 3 2 3 7 2" xfId="23442" xr:uid="{A297BFF0-BFCC-4E5B-8A5B-774718B087CC}"/>
    <cellStyle name="Normal 5 3 3 2 3 7 3" xfId="14143" xr:uid="{9692E042-7792-4F51-9FA9-56C41EEAA06C}"/>
    <cellStyle name="Normal 5 3 3 2 3 8" xfId="9039" xr:uid="{84D80CE6-A0CA-4841-8673-26EA7EC6806D}"/>
    <cellStyle name="Normal 5 3 3 2 3 8 2" xfId="27662" xr:uid="{B4511C0C-A353-4223-8F14-DC37FBFF3AF3}"/>
    <cellStyle name="Normal 5 3 3 2 3 8 3" xfId="18363" xr:uid="{D3741E38-0ADA-4E8E-BE96-76D6637349A9}"/>
    <cellStyle name="Normal 5 3 3 2 3 9" xfId="19225" xr:uid="{9847BB63-470B-4C7F-BA9D-DF2A0BE2C351}"/>
    <cellStyle name="Normal 5 3 3 2 4" xfId="916" xr:uid="{00000000-0005-0000-0000-0000B3190000}"/>
    <cellStyle name="Normal 5 3 3 2 4 2" xfId="3150" xr:uid="{00000000-0005-0000-0000-0000B4190000}"/>
    <cellStyle name="Normal 5 3 3 2 4 2 2" xfId="7372" xr:uid="{00000000-0005-0000-0000-0000B5190000}"/>
    <cellStyle name="Normal 5 3 3 2 4 2 2 2" xfId="25997" xr:uid="{1B0C2C40-6089-4385-9064-AF4CBC718A17}"/>
    <cellStyle name="Normal 5 3 3 2 4 2 2 3" xfId="16698" xr:uid="{9391D2AB-6A4D-4152-8755-EACFBC4C19A3}"/>
    <cellStyle name="Normal 5 3 3 2 4 2 3" xfId="21780" xr:uid="{0DA90BEF-FBA5-4AD1-98BF-EAFBD8A54154}"/>
    <cellStyle name="Normal 5 3 3 2 4 2 4" xfId="12481" xr:uid="{D6932703-8C10-4936-A666-4D9A5DEA07E7}"/>
    <cellStyle name="Normal 5 3 3 2 4 3" xfId="5227" xr:uid="{00000000-0005-0000-0000-0000B6190000}"/>
    <cellStyle name="Normal 5 3 3 2 4 3 2" xfId="23852" xr:uid="{58D71953-05DA-4FD1-B32A-51BD7548DC9B}"/>
    <cellStyle name="Normal 5 3 3 2 4 3 3" xfId="14553" xr:uid="{A854A35B-7D2A-42F7-BE1A-F2EF642B9DB5}"/>
    <cellStyle name="Normal 5 3 3 2 4 4" xfId="9257" xr:uid="{E6656214-6E5B-491F-B1E3-227CB6568726}"/>
    <cellStyle name="Normal 5 3 3 2 4 4 2" xfId="27871" xr:uid="{BA50E5A7-637D-498F-9BF4-12815E92579D}"/>
    <cellStyle name="Normal 5 3 3 2 4 4 3" xfId="18572" xr:uid="{0DAD6859-87B3-4F11-AAEF-597A9B04609D}"/>
    <cellStyle name="Normal 5 3 3 2 4 5" xfId="19635" xr:uid="{F1CD5DF3-FA2F-40A6-B1EC-8526B8FBDAE3}"/>
    <cellStyle name="Normal 5 3 3 2 4 6" xfId="10336" xr:uid="{1080E333-9130-42FC-BE0A-740AACA31DA0}"/>
    <cellStyle name="Normal 5 3 3 2 5" xfId="1333" xr:uid="{00000000-0005-0000-0000-0000B7190000}"/>
    <cellStyle name="Normal 5 3 3 2 5 2" xfId="3563" xr:uid="{00000000-0005-0000-0000-0000B8190000}"/>
    <cellStyle name="Normal 5 3 3 2 5 2 2" xfId="7785" xr:uid="{00000000-0005-0000-0000-0000B9190000}"/>
    <cellStyle name="Normal 5 3 3 2 5 2 2 2" xfId="26410" xr:uid="{658E24E7-06F1-4C46-A70D-182691D00DF4}"/>
    <cellStyle name="Normal 5 3 3 2 5 2 2 3" xfId="17111" xr:uid="{F0CB120C-A80C-42EA-8C13-91FCF4208A81}"/>
    <cellStyle name="Normal 5 3 3 2 5 2 3" xfId="22193" xr:uid="{C057B128-0F37-4799-BED5-EA93407278F1}"/>
    <cellStyle name="Normal 5 3 3 2 5 2 4" xfId="12894" xr:uid="{B609C9E4-6D29-41D0-9093-2663E7B199BB}"/>
    <cellStyle name="Normal 5 3 3 2 5 3" xfId="5640" xr:uid="{00000000-0005-0000-0000-0000BA190000}"/>
    <cellStyle name="Normal 5 3 3 2 5 3 2" xfId="24265" xr:uid="{80D28C52-E0BF-48A4-B6B8-2BDD48B252C6}"/>
    <cellStyle name="Normal 5 3 3 2 5 3 3" xfId="14966" xr:uid="{1BDFBDBB-ACBD-4AC5-BBA1-E45ADA0AFA05}"/>
    <cellStyle name="Normal 5 3 3 2 5 4" xfId="20048" xr:uid="{8901809C-B0DE-4E01-B3C6-119548FE074A}"/>
    <cellStyle name="Normal 5 3 3 2 5 5" xfId="10749" xr:uid="{8A2429ED-82E6-48E7-966B-069BF838A272}"/>
    <cellStyle name="Normal 5 3 3 2 6" xfId="1746" xr:uid="{00000000-0005-0000-0000-0000BB190000}"/>
    <cellStyle name="Normal 5 3 3 2 6 2" xfId="3976" xr:uid="{00000000-0005-0000-0000-0000BC190000}"/>
    <cellStyle name="Normal 5 3 3 2 6 2 2" xfId="8198" xr:uid="{00000000-0005-0000-0000-0000BD190000}"/>
    <cellStyle name="Normal 5 3 3 2 6 2 2 2" xfId="26823" xr:uid="{6F59D37C-5FA8-4624-82C7-C9876898BDF3}"/>
    <cellStyle name="Normal 5 3 3 2 6 2 2 3" xfId="17524" xr:uid="{8F97894B-5383-48E9-81A5-0FD344D8C65B}"/>
    <cellStyle name="Normal 5 3 3 2 6 2 3" xfId="22606" xr:uid="{D81F970B-62F7-4C55-85AD-752D82A40983}"/>
    <cellStyle name="Normal 5 3 3 2 6 2 4" xfId="13307" xr:uid="{8D061D72-51FF-4433-B39B-39C3CCF50E9C}"/>
    <cellStyle name="Normal 5 3 3 2 6 3" xfId="6053" xr:uid="{00000000-0005-0000-0000-0000BE190000}"/>
    <cellStyle name="Normal 5 3 3 2 6 3 2" xfId="24678" xr:uid="{104BC837-14EA-4507-BCDC-5D32E03238A5}"/>
    <cellStyle name="Normal 5 3 3 2 6 3 3" xfId="15379" xr:uid="{C7603367-49AC-4AA4-81E3-0CF686CC097B}"/>
    <cellStyle name="Normal 5 3 3 2 6 4" xfId="20461" xr:uid="{94801700-21AB-45A0-9FD4-C5BC156E4509}"/>
    <cellStyle name="Normal 5 3 3 2 6 5" xfId="11162" xr:uid="{BCEA9040-5193-4FD4-A0DE-841AF2F3E498}"/>
    <cellStyle name="Normal 5 3 3 2 7" xfId="2160" xr:uid="{00000000-0005-0000-0000-0000BF190000}"/>
    <cellStyle name="Normal 5 3 3 2 7 2" xfId="4389" xr:uid="{00000000-0005-0000-0000-0000C0190000}"/>
    <cellStyle name="Normal 5 3 3 2 7 2 2" xfId="8611" xr:uid="{00000000-0005-0000-0000-0000C1190000}"/>
    <cellStyle name="Normal 5 3 3 2 7 2 2 2" xfId="27236" xr:uid="{25482BC3-AD13-4848-A6A3-55226A6FC8E3}"/>
    <cellStyle name="Normal 5 3 3 2 7 2 2 3" xfId="17937" xr:uid="{71CF4474-C2DC-42CA-9BBE-8A631C49EAF6}"/>
    <cellStyle name="Normal 5 3 3 2 7 2 3" xfId="23019" xr:uid="{67F05FCB-93A1-4037-B731-10F1A9E98A3B}"/>
    <cellStyle name="Normal 5 3 3 2 7 2 4" xfId="13720" xr:uid="{280B2315-7909-465C-AF02-B0CE7E852A27}"/>
    <cellStyle name="Normal 5 3 3 2 7 3" xfId="6466" xr:uid="{00000000-0005-0000-0000-0000C2190000}"/>
    <cellStyle name="Normal 5 3 3 2 7 3 2" xfId="25091" xr:uid="{959D56A3-A7EF-429A-A8DA-84AE891E29F5}"/>
    <cellStyle name="Normal 5 3 3 2 7 3 3" xfId="15792" xr:uid="{79C8AE02-6710-486B-AC37-374FFBB6B88B}"/>
    <cellStyle name="Normal 5 3 3 2 7 4" xfId="20874" xr:uid="{47FA3706-101F-4642-9CCC-ECA541386D6D}"/>
    <cellStyle name="Normal 5 3 3 2 7 5" xfId="11575" xr:uid="{91C6DCF3-D344-45A2-88AC-97805BC027A3}"/>
    <cellStyle name="Normal 5 3 3 2 8" xfId="2596" xr:uid="{00000000-0005-0000-0000-0000C3190000}"/>
    <cellStyle name="Normal 5 3 3 2 8 2" xfId="6879" xr:uid="{00000000-0005-0000-0000-0000C4190000}"/>
    <cellStyle name="Normal 5 3 3 2 8 2 2" xfId="25504" xr:uid="{602B8F64-F9B4-4F38-8B84-20FBB39426BB}"/>
    <cellStyle name="Normal 5 3 3 2 8 2 3" xfId="16205" xr:uid="{42D97E35-1DC8-436F-8227-F428F9CA9BFE}"/>
    <cellStyle name="Normal 5 3 3 2 8 3" xfId="21287" xr:uid="{A667D719-B1CA-448F-A991-820A548EA35D}"/>
    <cellStyle name="Normal 5 3 3 2 8 4" xfId="11988" xr:uid="{EB9C00E6-FFA8-4C43-BA74-11CC7C10DCFB}"/>
    <cellStyle name="Normal 5 3 3 2 9" xfId="4814" xr:uid="{00000000-0005-0000-0000-0000C5190000}"/>
    <cellStyle name="Normal 5 3 3 2 9 2" xfId="23439" xr:uid="{EEAAB522-A211-4941-932E-D6AE2D1CEB26}"/>
    <cellStyle name="Normal 5 3 3 2 9 3" xfId="14140" xr:uid="{FBE7DEDB-733E-4745-B892-BDD922F91F67}"/>
    <cellStyle name="Normal 5 3 3 3" xfId="446" xr:uid="{00000000-0005-0000-0000-0000C6190000}"/>
    <cellStyle name="Normal 5 3 3 3 10" xfId="19226" xr:uid="{0302875F-1206-48D8-922A-5FBBF674E155}"/>
    <cellStyle name="Normal 5 3 3 3 11" xfId="9927" xr:uid="{57DAE12E-A503-4A7D-8740-66D3F473562D}"/>
    <cellStyle name="Normal 5 3 3 3 2" xfId="447" xr:uid="{00000000-0005-0000-0000-0000C7190000}"/>
    <cellStyle name="Normal 5 3 3 3 2 10" xfId="9928" xr:uid="{B4A65BDF-FF08-4840-9ED6-8BCBFBEC33CE}"/>
    <cellStyle name="Normal 5 3 3 3 2 2" xfId="921" xr:uid="{00000000-0005-0000-0000-0000C8190000}"/>
    <cellStyle name="Normal 5 3 3 3 2 2 2" xfId="3155" xr:uid="{00000000-0005-0000-0000-0000C9190000}"/>
    <cellStyle name="Normal 5 3 3 3 2 2 2 2" xfId="7377" xr:uid="{00000000-0005-0000-0000-0000CA190000}"/>
    <cellStyle name="Normal 5 3 3 3 2 2 2 2 2" xfId="26002" xr:uid="{75B5D238-A57E-408E-B82B-4F526880DCD3}"/>
    <cellStyle name="Normal 5 3 3 3 2 2 2 2 3" xfId="16703" xr:uid="{701430BA-A1DC-4EB8-BA19-00DFD001F2F7}"/>
    <cellStyle name="Normal 5 3 3 3 2 2 2 3" xfId="21785" xr:uid="{22E298A4-3157-4C28-A3A5-6D9F75528ABE}"/>
    <cellStyle name="Normal 5 3 3 3 2 2 2 4" xfId="12486" xr:uid="{D9FF3CE0-D1B8-4C3B-8E7B-17B82961DE88}"/>
    <cellStyle name="Normal 5 3 3 3 2 2 3" xfId="5232" xr:uid="{00000000-0005-0000-0000-0000CB190000}"/>
    <cellStyle name="Normal 5 3 3 3 2 2 3 2" xfId="23857" xr:uid="{EBAB08B5-F171-4646-AB8A-FC0B32A08E6C}"/>
    <cellStyle name="Normal 5 3 3 3 2 2 3 3" xfId="14558" xr:uid="{EBF63B99-DCC9-4415-8F79-CFC8015A7508}"/>
    <cellStyle name="Normal 5 3 3 3 2 2 4" xfId="9517" xr:uid="{EA62A3B1-8ED5-4A6F-ACE0-B924BC16AA9E}"/>
    <cellStyle name="Normal 5 3 3 3 2 2 4 2" xfId="28131" xr:uid="{F1FFA866-B415-4A07-BF98-8E4C6DA4088E}"/>
    <cellStyle name="Normal 5 3 3 3 2 2 4 3" xfId="18832" xr:uid="{614537C6-F29A-495C-972A-0F172D39E431}"/>
    <cellStyle name="Normal 5 3 3 3 2 2 5" xfId="19640" xr:uid="{CA6F76F5-A266-4CFD-B8E4-198BAF598F39}"/>
    <cellStyle name="Normal 5 3 3 3 2 2 6" xfId="10341" xr:uid="{CA94C2D5-7A9A-4E88-B253-CC74D73B98D4}"/>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2 2 2" xfId="26415" xr:uid="{C0443AC5-5B9A-440B-9C70-A39410B189C7}"/>
    <cellStyle name="Normal 5 3 3 3 2 3 2 2 3" xfId="17116" xr:uid="{F1B931A2-CE3B-4DB4-A704-4A3C407A89A1}"/>
    <cellStyle name="Normal 5 3 3 3 2 3 2 3" xfId="22198" xr:uid="{AEE395D3-CDB2-4471-A401-433A4F1AE758}"/>
    <cellStyle name="Normal 5 3 3 3 2 3 2 4" xfId="12899" xr:uid="{8BEF9873-670E-4D5C-93C1-3D5F3E8B56EF}"/>
    <cellStyle name="Normal 5 3 3 3 2 3 3" xfId="5645" xr:uid="{00000000-0005-0000-0000-0000CF190000}"/>
    <cellStyle name="Normal 5 3 3 3 2 3 3 2" xfId="24270" xr:uid="{F153650C-2F8A-48CF-AC15-C67FFA6AADEA}"/>
    <cellStyle name="Normal 5 3 3 3 2 3 3 3" xfId="14971" xr:uid="{96A82EF1-3114-49C0-B564-A4EF1A931F3A}"/>
    <cellStyle name="Normal 5 3 3 3 2 3 4" xfId="20053" xr:uid="{516EBC5C-43F1-43D1-97E9-7A47F4447CA1}"/>
    <cellStyle name="Normal 5 3 3 3 2 3 5" xfId="10754" xr:uid="{C5AADA14-6918-45DE-98FB-07E4362C103F}"/>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2 2 2" xfId="26828" xr:uid="{3AD94998-2E63-401F-854A-3174108007DA}"/>
    <cellStyle name="Normal 5 3 3 3 2 4 2 2 3" xfId="17529" xr:uid="{BAB30716-A9DE-49B6-8B3E-5E46D6986DE3}"/>
    <cellStyle name="Normal 5 3 3 3 2 4 2 3" xfId="22611" xr:uid="{B20CC12C-7CBA-48F0-9243-1789DFFE6F7A}"/>
    <cellStyle name="Normal 5 3 3 3 2 4 2 4" xfId="13312" xr:uid="{200BA143-D6AC-4E59-B0E8-695FCCA8C79B}"/>
    <cellStyle name="Normal 5 3 3 3 2 4 3" xfId="6058" xr:uid="{00000000-0005-0000-0000-0000D3190000}"/>
    <cellStyle name="Normal 5 3 3 3 2 4 3 2" xfId="24683" xr:uid="{C5FB7D98-BA26-4750-8131-39DB63D4FA58}"/>
    <cellStyle name="Normal 5 3 3 3 2 4 3 3" xfId="15384" xr:uid="{280CB8CD-703F-4D42-901D-21971A309FE0}"/>
    <cellStyle name="Normal 5 3 3 3 2 4 4" xfId="20466" xr:uid="{7D4186E4-61DC-4398-82A6-62CA27EF601A}"/>
    <cellStyle name="Normal 5 3 3 3 2 4 5" xfId="11167" xr:uid="{D7DF9646-049D-4073-867E-87F57116E265}"/>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2 2 2" xfId="27241" xr:uid="{5A4AFDD1-7E3A-48EB-A591-39C701BAB297}"/>
    <cellStyle name="Normal 5 3 3 3 2 5 2 2 3" xfId="17942" xr:uid="{4F71E830-FFCE-47CF-9675-22C021456A71}"/>
    <cellStyle name="Normal 5 3 3 3 2 5 2 3" xfId="23024" xr:uid="{671F8541-E1DC-46AC-A897-51D7AC279D60}"/>
    <cellStyle name="Normal 5 3 3 3 2 5 2 4" xfId="13725" xr:uid="{C96B06F5-893D-4769-B9CF-7BAA405EB6CB}"/>
    <cellStyle name="Normal 5 3 3 3 2 5 3" xfId="6471" xr:uid="{00000000-0005-0000-0000-0000D7190000}"/>
    <cellStyle name="Normal 5 3 3 3 2 5 3 2" xfId="25096" xr:uid="{955BD31F-A3F1-4CF9-882E-68131D33E87E}"/>
    <cellStyle name="Normal 5 3 3 3 2 5 3 3" xfId="15797" xr:uid="{95D6C9C0-75F9-4E11-86E7-122ADD5E3C11}"/>
    <cellStyle name="Normal 5 3 3 3 2 5 4" xfId="20879" xr:uid="{08EA00AC-48D6-4680-8ED9-5FFF0B7C90C7}"/>
    <cellStyle name="Normal 5 3 3 3 2 5 5" xfId="11580" xr:uid="{D819409A-A068-42AB-9213-6628551364EC}"/>
    <cellStyle name="Normal 5 3 3 3 2 6" xfId="2601" xr:uid="{00000000-0005-0000-0000-0000D8190000}"/>
    <cellStyle name="Normal 5 3 3 3 2 6 2" xfId="6884" xr:uid="{00000000-0005-0000-0000-0000D9190000}"/>
    <cellStyle name="Normal 5 3 3 3 2 6 2 2" xfId="25509" xr:uid="{7E333FDB-DA7E-4F1D-B558-DED6ABCE1BAB}"/>
    <cellStyle name="Normal 5 3 3 3 2 6 2 3" xfId="16210" xr:uid="{309BD16D-AC62-441C-B419-3306C065BDF1}"/>
    <cellStyle name="Normal 5 3 3 3 2 6 3" xfId="21292" xr:uid="{D757F373-1961-4512-939A-8DCB372A6BEF}"/>
    <cellStyle name="Normal 5 3 3 3 2 6 4" xfId="11993" xr:uid="{941E0B17-F7CF-42C6-A88B-7BA051D985E8}"/>
    <cellStyle name="Normal 5 3 3 3 2 7" xfId="4819" xr:uid="{00000000-0005-0000-0000-0000DA190000}"/>
    <cellStyle name="Normal 5 3 3 3 2 7 2" xfId="23444" xr:uid="{87C65F93-5F0E-487A-ABF1-79A84D9E0339}"/>
    <cellStyle name="Normal 5 3 3 3 2 7 3" xfId="14145" xr:uid="{7732C43B-9AB1-4F10-A598-08E0ACDDEA2F}"/>
    <cellStyle name="Normal 5 3 3 3 2 8" xfId="9092" xr:uid="{A018BC5E-3880-4BA4-8CFB-322C89A13B5F}"/>
    <cellStyle name="Normal 5 3 3 3 2 8 2" xfId="27715" xr:uid="{6F1961CF-8329-4F66-878B-28495487F264}"/>
    <cellStyle name="Normal 5 3 3 3 2 8 3" xfId="18416" xr:uid="{2A33945A-717E-48D7-8568-3DE4678CDA0A}"/>
    <cellStyle name="Normal 5 3 3 3 2 9" xfId="19227" xr:uid="{67CBBA6D-F9CB-4EDB-BC98-8885E8786D41}"/>
    <cellStyle name="Normal 5 3 3 3 3" xfId="920" xr:uid="{00000000-0005-0000-0000-0000DB190000}"/>
    <cellStyle name="Normal 5 3 3 3 3 2" xfId="3154" xr:uid="{00000000-0005-0000-0000-0000DC190000}"/>
    <cellStyle name="Normal 5 3 3 3 3 2 2" xfId="7376" xr:uid="{00000000-0005-0000-0000-0000DD190000}"/>
    <cellStyle name="Normal 5 3 3 3 3 2 2 2" xfId="26001" xr:uid="{ADDB45FD-0C2F-48A1-AACF-A8EC02A9EBDF}"/>
    <cellStyle name="Normal 5 3 3 3 3 2 2 3" xfId="16702" xr:uid="{DB3520EC-8A49-404C-BA67-564BDA08CD6C}"/>
    <cellStyle name="Normal 5 3 3 3 3 2 3" xfId="21784" xr:uid="{C3BF3C14-D681-47F5-B95C-28288443503C}"/>
    <cellStyle name="Normal 5 3 3 3 3 2 4" xfId="12485" xr:uid="{405A0A5E-D233-4199-B239-A5EA18895F49}"/>
    <cellStyle name="Normal 5 3 3 3 3 3" xfId="5231" xr:uid="{00000000-0005-0000-0000-0000DE190000}"/>
    <cellStyle name="Normal 5 3 3 3 3 3 2" xfId="23856" xr:uid="{0D09D6CE-7534-4802-A161-733F47E81F94}"/>
    <cellStyle name="Normal 5 3 3 3 3 3 3" xfId="14557" xr:uid="{991FFCFA-7C19-4A0C-954D-AA2112319E78}"/>
    <cellStyle name="Normal 5 3 3 3 3 4" xfId="9310" xr:uid="{D169C31A-17C5-4934-97DF-D90479FD2654}"/>
    <cellStyle name="Normal 5 3 3 3 3 4 2" xfId="27924" xr:uid="{67F4909D-E1A3-4DEB-87F4-EA53854B92A7}"/>
    <cellStyle name="Normal 5 3 3 3 3 4 3" xfId="18625" xr:uid="{3B2931F0-6706-440F-AE35-F9231CDAEB37}"/>
    <cellStyle name="Normal 5 3 3 3 3 5" xfId="19639" xr:uid="{BB440D9C-1685-4519-A5F8-3B5E7CC84E80}"/>
    <cellStyle name="Normal 5 3 3 3 3 6" xfId="10340" xr:uid="{27FA2AF4-E8CC-4372-9F94-15992EE554A0}"/>
    <cellStyle name="Normal 5 3 3 3 4" xfId="1337" xr:uid="{00000000-0005-0000-0000-0000DF190000}"/>
    <cellStyle name="Normal 5 3 3 3 4 2" xfId="3567" xr:uid="{00000000-0005-0000-0000-0000E0190000}"/>
    <cellStyle name="Normal 5 3 3 3 4 2 2" xfId="7789" xr:uid="{00000000-0005-0000-0000-0000E1190000}"/>
    <cellStyle name="Normal 5 3 3 3 4 2 2 2" xfId="26414" xr:uid="{D031D06F-7201-4944-963F-3192C6D9FD9A}"/>
    <cellStyle name="Normal 5 3 3 3 4 2 2 3" xfId="17115" xr:uid="{C3342FEE-8B73-47A8-B787-FD5443D35615}"/>
    <cellStyle name="Normal 5 3 3 3 4 2 3" xfId="22197" xr:uid="{D800EB1A-47CC-4355-A910-917C786423DB}"/>
    <cellStyle name="Normal 5 3 3 3 4 2 4" xfId="12898" xr:uid="{125867B0-B64B-4897-A3DA-388A6721E3E8}"/>
    <cellStyle name="Normal 5 3 3 3 4 3" xfId="5644" xr:uid="{00000000-0005-0000-0000-0000E2190000}"/>
    <cellStyle name="Normal 5 3 3 3 4 3 2" xfId="24269" xr:uid="{362679F6-5C66-4352-92D5-B206512BD8D8}"/>
    <cellStyle name="Normal 5 3 3 3 4 3 3" xfId="14970" xr:uid="{AA9FD7C0-4D3B-4F58-B6E9-9E9D6CB6973B}"/>
    <cellStyle name="Normal 5 3 3 3 4 4" xfId="20052" xr:uid="{1AD37B16-96AA-4A26-8F99-11A7DD4861C6}"/>
    <cellStyle name="Normal 5 3 3 3 4 5" xfId="10753" xr:uid="{FE7F8057-F398-4052-BFE4-60FA91775F43}"/>
    <cellStyle name="Normal 5 3 3 3 5" xfId="1750" xr:uid="{00000000-0005-0000-0000-0000E3190000}"/>
    <cellStyle name="Normal 5 3 3 3 5 2" xfId="3980" xr:uid="{00000000-0005-0000-0000-0000E4190000}"/>
    <cellStyle name="Normal 5 3 3 3 5 2 2" xfId="8202" xr:uid="{00000000-0005-0000-0000-0000E5190000}"/>
    <cellStyle name="Normal 5 3 3 3 5 2 2 2" xfId="26827" xr:uid="{46C6E739-F3AB-416C-85F3-75DDE8F2DE18}"/>
    <cellStyle name="Normal 5 3 3 3 5 2 2 3" xfId="17528" xr:uid="{B8532F67-4AE6-4041-AA43-78768DD4D70A}"/>
    <cellStyle name="Normal 5 3 3 3 5 2 3" xfId="22610" xr:uid="{E4519F7B-78AD-49EC-BF7A-E56137C174D5}"/>
    <cellStyle name="Normal 5 3 3 3 5 2 4" xfId="13311" xr:uid="{EB73F358-DD5E-4DD2-BC1F-3F3DFE88997C}"/>
    <cellStyle name="Normal 5 3 3 3 5 3" xfId="6057" xr:uid="{00000000-0005-0000-0000-0000E6190000}"/>
    <cellStyle name="Normal 5 3 3 3 5 3 2" xfId="24682" xr:uid="{69435210-F701-44BA-8333-2D5E902CB7DA}"/>
    <cellStyle name="Normal 5 3 3 3 5 3 3" xfId="15383" xr:uid="{8C97F9FA-7DFD-4AFB-89A2-B1E1696CFCCE}"/>
    <cellStyle name="Normal 5 3 3 3 5 4" xfId="20465" xr:uid="{E6FDE518-96DE-449C-8655-B7ADF61084C2}"/>
    <cellStyle name="Normal 5 3 3 3 5 5" xfId="11166" xr:uid="{8A32E1C1-1BD7-4510-83CB-6228C0E45B64}"/>
    <cellStyle name="Normal 5 3 3 3 6" xfId="2164" xr:uid="{00000000-0005-0000-0000-0000E7190000}"/>
    <cellStyle name="Normal 5 3 3 3 6 2" xfId="4393" xr:uid="{00000000-0005-0000-0000-0000E8190000}"/>
    <cellStyle name="Normal 5 3 3 3 6 2 2" xfId="8615" xr:uid="{00000000-0005-0000-0000-0000E9190000}"/>
    <cellStyle name="Normal 5 3 3 3 6 2 2 2" xfId="27240" xr:uid="{4EEB686B-50D2-4F50-9149-0BBCE0F5F67C}"/>
    <cellStyle name="Normal 5 3 3 3 6 2 2 3" xfId="17941" xr:uid="{AA80CF9D-CB87-40CE-979B-62D173A35619}"/>
    <cellStyle name="Normal 5 3 3 3 6 2 3" xfId="23023" xr:uid="{DDF3DCDD-5A6E-4E09-86DD-577A037BD895}"/>
    <cellStyle name="Normal 5 3 3 3 6 2 4" xfId="13724" xr:uid="{7FC2902F-07EE-4BF8-AA2F-56BC5C3B157A}"/>
    <cellStyle name="Normal 5 3 3 3 6 3" xfId="6470" xr:uid="{00000000-0005-0000-0000-0000EA190000}"/>
    <cellStyle name="Normal 5 3 3 3 6 3 2" xfId="25095" xr:uid="{BE8C7E56-5541-43E1-AA00-9F733E0501C1}"/>
    <cellStyle name="Normal 5 3 3 3 6 3 3" xfId="15796" xr:uid="{0C94B2FF-AF37-4E52-A195-C0E3087977D7}"/>
    <cellStyle name="Normal 5 3 3 3 6 4" xfId="20878" xr:uid="{8C61D268-D252-443A-857B-6FEE58667CBA}"/>
    <cellStyle name="Normal 5 3 3 3 6 5" xfId="11579" xr:uid="{286D7B19-F0B9-42F4-9806-A2AF981B9152}"/>
    <cellStyle name="Normal 5 3 3 3 7" xfId="2600" xr:uid="{00000000-0005-0000-0000-0000EB190000}"/>
    <cellStyle name="Normal 5 3 3 3 7 2" xfId="6883" xr:uid="{00000000-0005-0000-0000-0000EC190000}"/>
    <cellStyle name="Normal 5 3 3 3 7 2 2" xfId="25508" xr:uid="{F2D618F1-DD65-4D5F-96B0-9FE084B9FC04}"/>
    <cellStyle name="Normal 5 3 3 3 7 2 3" xfId="16209" xr:uid="{89022C18-490B-439D-8BC7-A801AD2B2617}"/>
    <cellStyle name="Normal 5 3 3 3 7 3" xfId="21291" xr:uid="{76150336-876A-41E0-91C1-B156D633CECF}"/>
    <cellStyle name="Normal 5 3 3 3 7 4" xfId="11992" xr:uid="{B731C6DF-3DBC-4213-8E47-1216F41FE609}"/>
    <cellStyle name="Normal 5 3 3 3 8" xfId="4818" xr:uid="{00000000-0005-0000-0000-0000ED190000}"/>
    <cellStyle name="Normal 5 3 3 3 8 2" xfId="23443" xr:uid="{57EEB0E4-918F-421D-9505-28665D845555}"/>
    <cellStyle name="Normal 5 3 3 3 8 3" xfId="14144" xr:uid="{B175E50D-BCAD-4516-9D8B-B545CE5D90AD}"/>
    <cellStyle name="Normal 5 3 3 3 9" xfId="8885" xr:uid="{BFA59703-C126-4DE9-A819-9190501D5C5B}"/>
    <cellStyle name="Normal 5 3 3 3 9 2" xfId="27508" xr:uid="{60B3B8BC-D1C8-4D48-8A57-DE113A97D649}"/>
    <cellStyle name="Normal 5 3 3 3 9 3" xfId="18209" xr:uid="{CB9DE27A-AA51-4824-BF42-6572FBDBA2C5}"/>
    <cellStyle name="Normal 5 3 3 4" xfId="448" xr:uid="{00000000-0005-0000-0000-0000EE190000}"/>
    <cellStyle name="Normal 5 3 3 4 10" xfId="9929" xr:uid="{C47630E2-5A17-4CE4-B621-DD5310DE98BC}"/>
    <cellStyle name="Normal 5 3 3 4 2" xfId="922" xr:uid="{00000000-0005-0000-0000-0000EF190000}"/>
    <cellStyle name="Normal 5 3 3 4 2 2" xfId="3156" xr:uid="{00000000-0005-0000-0000-0000F0190000}"/>
    <cellStyle name="Normal 5 3 3 4 2 2 2" xfId="7378" xr:uid="{00000000-0005-0000-0000-0000F1190000}"/>
    <cellStyle name="Normal 5 3 3 4 2 2 2 2" xfId="26003" xr:uid="{8B7F0ACC-6469-42F3-82CF-39628E23101C}"/>
    <cellStyle name="Normal 5 3 3 4 2 2 2 3" xfId="16704" xr:uid="{6A98220F-A664-4788-AE65-723B60E28DFC}"/>
    <cellStyle name="Normal 5 3 3 4 2 2 3" xfId="21786" xr:uid="{9F6C8716-8BB9-4DBE-9C48-AA90D8D5613E}"/>
    <cellStyle name="Normal 5 3 3 4 2 2 4" xfId="12487" xr:uid="{08612EAA-82B7-4959-A76B-9B0B0B2E448B}"/>
    <cellStyle name="Normal 5 3 3 4 2 3" xfId="5233" xr:uid="{00000000-0005-0000-0000-0000F2190000}"/>
    <cellStyle name="Normal 5 3 3 4 2 3 2" xfId="23858" xr:uid="{F5A05BBB-E759-4E9C-B1C8-59E5433E5361}"/>
    <cellStyle name="Normal 5 3 3 4 2 3 3" xfId="14559" xr:uid="{E54912C8-94B9-4D72-B180-C4CAB155D441}"/>
    <cellStyle name="Normal 5 3 3 4 2 4" xfId="9414" xr:uid="{BD781A4C-FDA7-4D11-87F3-3D38EC19B37A}"/>
    <cellStyle name="Normal 5 3 3 4 2 4 2" xfId="28028" xr:uid="{B258BB3E-5D05-465E-98EB-54A03275F6EC}"/>
    <cellStyle name="Normal 5 3 3 4 2 4 3" xfId="18729" xr:uid="{54803272-E052-481E-AF26-521C5193DA53}"/>
    <cellStyle name="Normal 5 3 3 4 2 5" xfId="19641" xr:uid="{592672D1-9B1D-4D7E-BA73-8B487D29A91A}"/>
    <cellStyle name="Normal 5 3 3 4 2 6" xfId="10342" xr:uid="{7AF1F39B-BA69-4ABD-BA82-B7DA4CF8EB45}"/>
    <cellStyle name="Normal 5 3 3 4 3" xfId="1339" xr:uid="{00000000-0005-0000-0000-0000F3190000}"/>
    <cellStyle name="Normal 5 3 3 4 3 2" xfId="3569" xr:uid="{00000000-0005-0000-0000-0000F4190000}"/>
    <cellStyle name="Normal 5 3 3 4 3 2 2" xfId="7791" xr:uid="{00000000-0005-0000-0000-0000F5190000}"/>
    <cellStyle name="Normal 5 3 3 4 3 2 2 2" xfId="26416" xr:uid="{4EEB29ED-AC85-4942-8A7C-15B088EAA63C}"/>
    <cellStyle name="Normal 5 3 3 4 3 2 2 3" xfId="17117" xr:uid="{BC5531F5-5915-4942-BF18-8FADDF7692CC}"/>
    <cellStyle name="Normal 5 3 3 4 3 2 3" xfId="22199" xr:uid="{33ADE798-884B-4557-91C4-92CDF224B7A4}"/>
    <cellStyle name="Normal 5 3 3 4 3 2 4" xfId="12900" xr:uid="{80BF0C54-DFA8-41B1-B090-61977FE766F3}"/>
    <cellStyle name="Normal 5 3 3 4 3 3" xfId="5646" xr:uid="{00000000-0005-0000-0000-0000F6190000}"/>
    <cellStyle name="Normal 5 3 3 4 3 3 2" xfId="24271" xr:uid="{FD973DA7-35E9-4C2F-96A6-CFAF228D0D6C}"/>
    <cellStyle name="Normal 5 3 3 4 3 3 3" xfId="14972" xr:uid="{08775418-3BBA-499F-A00E-9BA0D902F9AA}"/>
    <cellStyle name="Normal 5 3 3 4 3 4" xfId="20054" xr:uid="{C882374C-76DD-4C94-B2F2-A0023DCFDB74}"/>
    <cellStyle name="Normal 5 3 3 4 3 5" xfId="10755" xr:uid="{32E0ABF3-1990-41D1-88A2-A960B87CD1BF}"/>
    <cellStyle name="Normal 5 3 3 4 4" xfId="1752" xr:uid="{00000000-0005-0000-0000-0000F7190000}"/>
    <cellStyle name="Normal 5 3 3 4 4 2" xfId="3982" xr:uid="{00000000-0005-0000-0000-0000F8190000}"/>
    <cellStyle name="Normal 5 3 3 4 4 2 2" xfId="8204" xr:uid="{00000000-0005-0000-0000-0000F9190000}"/>
    <cellStyle name="Normal 5 3 3 4 4 2 2 2" xfId="26829" xr:uid="{C8D4C8ED-6F02-4AFA-A1CD-D4CFF059FE86}"/>
    <cellStyle name="Normal 5 3 3 4 4 2 2 3" xfId="17530" xr:uid="{19C34B43-BF73-474A-9792-E9098DB55185}"/>
    <cellStyle name="Normal 5 3 3 4 4 2 3" xfId="22612" xr:uid="{DB3036E8-ECF6-44B0-89A9-D9652E77DDD4}"/>
    <cellStyle name="Normal 5 3 3 4 4 2 4" xfId="13313" xr:uid="{E48A43DD-3AA8-4A64-87B0-ECAF1DC2FFDE}"/>
    <cellStyle name="Normal 5 3 3 4 4 3" xfId="6059" xr:uid="{00000000-0005-0000-0000-0000FA190000}"/>
    <cellStyle name="Normal 5 3 3 4 4 3 2" xfId="24684" xr:uid="{7D393D7D-D7F6-4371-81C9-E4EEE0F43B29}"/>
    <cellStyle name="Normal 5 3 3 4 4 3 3" xfId="15385" xr:uid="{11034F6E-7EEE-4C08-91A0-63225AD7B903}"/>
    <cellStyle name="Normal 5 3 3 4 4 4" xfId="20467" xr:uid="{088B00C7-E9AD-41F7-AF72-18C904C44C5C}"/>
    <cellStyle name="Normal 5 3 3 4 4 5" xfId="11168" xr:uid="{77E576FC-9BB0-4E44-B943-8C5AB7DB225C}"/>
    <cellStyle name="Normal 5 3 3 4 5" xfId="2166" xr:uid="{00000000-0005-0000-0000-0000FB190000}"/>
    <cellStyle name="Normal 5 3 3 4 5 2" xfId="4395" xr:uid="{00000000-0005-0000-0000-0000FC190000}"/>
    <cellStyle name="Normal 5 3 3 4 5 2 2" xfId="8617" xr:uid="{00000000-0005-0000-0000-0000FD190000}"/>
    <cellStyle name="Normal 5 3 3 4 5 2 2 2" xfId="27242" xr:uid="{B5220218-DE59-4CE3-8BC8-3EFA2CCEB3F4}"/>
    <cellStyle name="Normal 5 3 3 4 5 2 2 3" xfId="17943" xr:uid="{6FF1C778-8957-41BF-8B3C-4534128F9B03}"/>
    <cellStyle name="Normal 5 3 3 4 5 2 3" xfId="23025" xr:uid="{1CF607BE-AD00-45DB-A0F0-B8C7C73BC68F}"/>
    <cellStyle name="Normal 5 3 3 4 5 2 4" xfId="13726" xr:uid="{56D328D7-376F-4B22-96D4-CAF6A3257996}"/>
    <cellStyle name="Normal 5 3 3 4 5 3" xfId="6472" xr:uid="{00000000-0005-0000-0000-0000FE190000}"/>
    <cellStyle name="Normal 5 3 3 4 5 3 2" xfId="25097" xr:uid="{940A917A-5554-4D00-8600-505E57D5A9C5}"/>
    <cellStyle name="Normal 5 3 3 4 5 3 3" xfId="15798" xr:uid="{CE65F6C5-5024-4772-A941-D20CB5A2775C}"/>
    <cellStyle name="Normal 5 3 3 4 5 4" xfId="20880" xr:uid="{CE3423C4-887C-4E6E-B6A7-E4C2BCF79AEA}"/>
    <cellStyle name="Normal 5 3 3 4 5 5" xfId="11581" xr:uid="{702A46CA-7D89-4762-A36F-3377E002E80E}"/>
    <cellStyle name="Normal 5 3 3 4 6" xfId="2602" xr:uid="{00000000-0005-0000-0000-0000FF190000}"/>
    <cellStyle name="Normal 5 3 3 4 6 2" xfId="6885" xr:uid="{00000000-0005-0000-0000-0000001A0000}"/>
    <cellStyle name="Normal 5 3 3 4 6 2 2" xfId="25510" xr:uid="{19DF0249-20DF-4CCC-B84E-E1B7134DDE4A}"/>
    <cellStyle name="Normal 5 3 3 4 6 2 3" xfId="16211" xr:uid="{BD90C2E3-DB28-4E03-8907-4647E929FEFF}"/>
    <cellStyle name="Normal 5 3 3 4 6 3" xfId="21293" xr:uid="{8CB93E43-9215-4412-B1A5-9E734A3BED02}"/>
    <cellStyle name="Normal 5 3 3 4 6 4" xfId="11994" xr:uid="{657D57DF-77C0-4D25-9A53-30759FB450E9}"/>
    <cellStyle name="Normal 5 3 3 4 7" xfId="4820" xr:uid="{00000000-0005-0000-0000-0000011A0000}"/>
    <cellStyle name="Normal 5 3 3 4 7 2" xfId="23445" xr:uid="{82E72297-57E3-4B03-8164-7E9D4C34CF16}"/>
    <cellStyle name="Normal 5 3 3 4 7 3" xfId="14146" xr:uid="{9BCCA894-499C-40CC-BEE8-D155ACECF67D}"/>
    <cellStyle name="Normal 5 3 3 4 8" xfId="8989" xr:uid="{20FA1483-98E6-46C4-B00B-4EAF7957981D}"/>
    <cellStyle name="Normal 5 3 3 4 8 2" xfId="27612" xr:uid="{7F284181-4152-40EA-B5E0-4D8A6EA0B3E3}"/>
    <cellStyle name="Normal 5 3 3 4 8 3" xfId="18313" xr:uid="{689B4931-DAB4-4D0F-98B0-DB7D172E2030}"/>
    <cellStyle name="Normal 5 3 3 4 9" xfId="19228" xr:uid="{3258D9D5-E028-4409-82E7-76C52F96E4DB}"/>
    <cellStyle name="Normal 5 3 3 5" xfId="915" xr:uid="{00000000-0005-0000-0000-0000021A0000}"/>
    <cellStyle name="Normal 5 3 3 5 2" xfId="3149" xr:uid="{00000000-0005-0000-0000-0000031A0000}"/>
    <cellStyle name="Normal 5 3 3 5 2 2" xfId="7371" xr:uid="{00000000-0005-0000-0000-0000041A0000}"/>
    <cellStyle name="Normal 5 3 3 5 2 2 2" xfId="25996" xr:uid="{A6585123-CCD4-4F18-8E84-CEDF4C8B515E}"/>
    <cellStyle name="Normal 5 3 3 5 2 2 3" xfId="16697" xr:uid="{82BEE66A-30F4-47AB-B17F-778CDAE16C63}"/>
    <cellStyle name="Normal 5 3 3 5 2 3" xfId="21779" xr:uid="{8D09258E-651B-4CC7-9CD9-F349C7722E0F}"/>
    <cellStyle name="Normal 5 3 3 5 2 4" xfId="12480" xr:uid="{C963EEFE-13DF-4691-89F9-6C3B7728B4D3}"/>
    <cellStyle name="Normal 5 3 3 5 3" xfId="5226" xr:uid="{00000000-0005-0000-0000-0000051A0000}"/>
    <cellStyle name="Normal 5 3 3 5 3 2" xfId="23851" xr:uid="{06423C49-CDBB-4679-873C-9D1D39CEFB4A}"/>
    <cellStyle name="Normal 5 3 3 5 3 3" xfId="14552" xr:uid="{A9364779-9619-4B61-ADA8-DF39AC8C25DF}"/>
    <cellStyle name="Normal 5 3 3 5 4" xfId="9206" xr:uid="{CA749CBB-EAB5-483B-862D-D7B95A23D45C}"/>
    <cellStyle name="Normal 5 3 3 5 4 2" xfId="27821" xr:uid="{435FE6D3-1848-45AB-B014-75F972E0A904}"/>
    <cellStyle name="Normal 5 3 3 5 4 3" xfId="18522" xr:uid="{9DE984AD-72F3-41A5-A95B-3CBCF8C1E72F}"/>
    <cellStyle name="Normal 5 3 3 5 5" xfId="19634" xr:uid="{4655AE02-1D52-4AFE-B4F0-B34C39BA0ED5}"/>
    <cellStyle name="Normal 5 3 3 5 6" xfId="10335" xr:uid="{E13753A7-39B6-4610-B9E3-33C58509079B}"/>
    <cellStyle name="Normal 5 3 3 6" xfId="1332" xr:uid="{00000000-0005-0000-0000-0000061A0000}"/>
    <cellStyle name="Normal 5 3 3 6 2" xfId="3562" xr:uid="{00000000-0005-0000-0000-0000071A0000}"/>
    <cellStyle name="Normal 5 3 3 6 2 2" xfId="7784" xr:uid="{00000000-0005-0000-0000-0000081A0000}"/>
    <cellStyle name="Normal 5 3 3 6 2 2 2" xfId="26409" xr:uid="{0EA52DFA-49B6-43E9-8DB6-E3610E88FA00}"/>
    <cellStyle name="Normal 5 3 3 6 2 2 3" xfId="17110" xr:uid="{911DC480-2AEA-4D44-B9E0-A9EF1AE3AECB}"/>
    <cellStyle name="Normal 5 3 3 6 2 3" xfId="22192" xr:uid="{B6B8D0E6-43DE-4375-B525-2C81A936CAF5}"/>
    <cellStyle name="Normal 5 3 3 6 2 4" xfId="12893" xr:uid="{9749EF5F-D522-440A-BD01-772BBB4244B9}"/>
    <cellStyle name="Normal 5 3 3 6 3" xfId="5639" xr:uid="{00000000-0005-0000-0000-0000091A0000}"/>
    <cellStyle name="Normal 5 3 3 6 3 2" xfId="24264" xr:uid="{35821BA2-0066-41C6-B101-9FDBEB2C3E25}"/>
    <cellStyle name="Normal 5 3 3 6 3 3" xfId="14965" xr:uid="{9C9F7FF9-DE1F-4AF9-8D1D-1A7AC3C228ED}"/>
    <cellStyle name="Normal 5 3 3 6 4" xfId="20047" xr:uid="{ED21776A-954C-45A6-B986-14635D18D81F}"/>
    <cellStyle name="Normal 5 3 3 6 5" xfId="10748" xr:uid="{4CFA5FE1-4B63-44AF-A4E7-524B26B0C019}"/>
    <cellStyle name="Normal 5 3 3 7" xfId="1745" xr:uid="{00000000-0005-0000-0000-00000A1A0000}"/>
    <cellStyle name="Normal 5 3 3 7 2" xfId="3975" xr:uid="{00000000-0005-0000-0000-00000B1A0000}"/>
    <cellStyle name="Normal 5 3 3 7 2 2" xfId="8197" xr:uid="{00000000-0005-0000-0000-00000C1A0000}"/>
    <cellStyle name="Normal 5 3 3 7 2 2 2" xfId="26822" xr:uid="{A05BD519-2C78-46AB-9FB6-44144B359FDC}"/>
    <cellStyle name="Normal 5 3 3 7 2 2 3" xfId="17523" xr:uid="{36F4A020-6453-42BA-9DCD-84DE7C25F624}"/>
    <cellStyle name="Normal 5 3 3 7 2 3" xfId="22605" xr:uid="{BC1C559F-3724-4B55-B9C1-4B8FCA69A0ED}"/>
    <cellStyle name="Normal 5 3 3 7 2 4" xfId="13306" xr:uid="{B3EC4DBC-74AF-4833-842D-A0EDE95F3282}"/>
    <cellStyle name="Normal 5 3 3 7 3" xfId="6052" xr:uid="{00000000-0005-0000-0000-00000D1A0000}"/>
    <cellStyle name="Normal 5 3 3 7 3 2" xfId="24677" xr:uid="{2BE87C8E-87E4-4BD1-A1CC-8212E7F3F454}"/>
    <cellStyle name="Normal 5 3 3 7 3 3" xfId="15378" xr:uid="{6A69C835-F68B-47F0-8A42-E7E7C67BED45}"/>
    <cellStyle name="Normal 5 3 3 7 4" xfId="20460" xr:uid="{E1879B50-479B-45C6-AC33-2FCE2F6799C0}"/>
    <cellStyle name="Normal 5 3 3 7 5" xfId="11161" xr:uid="{D5715924-BF7A-4F0C-BBEA-797760DC8296}"/>
    <cellStyle name="Normal 5 3 3 8" xfId="2159" xr:uid="{00000000-0005-0000-0000-00000E1A0000}"/>
    <cellStyle name="Normal 5 3 3 8 2" xfId="4388" xr:uid="{00000000-0005-0000-0000-00000F1A0000}"/>
    <cellStyle name="Normal 5 3 3 8 2 2" xfId="8610" xr:uid="{00000000-0005-0000-0000-0000101A0000}"/>
    <cellStyle name="Normal 5 3 3 8 2 2 2" xfId="27235" xr:uid="{E768F256-810B-4900-951D-1FFB542A0FFA}"/>
    <cellStyle name="Normal 5 3 3 8 2 2 3" xfId="17936" xr:uid="{1C544D37-09AE-4E15-B307-34187870F890}"/>
    <cellStyle name="Normal 5 3 3 8 2 3" xfId="23018" xr:uid="{09322A6C-2E04-46E3-8003-325B25831124}"/>
    <cellStyle name="Normal 5 3 3 8 2 4" xfId="13719" xr:uid="{12277DAB-235E-4C3E-9CB9-483EDD980ED2}"/>
    <cellStyle name="Normal 5 3 3 8 3" xfId="6465" xr:uid="{00000000-0005-0000-0000-0000111A0000}"/>
    <cellStyle name="Normal 5 3 3 8 3 2" xfId="25090" xr:uid="{A23EC28E-1E98-407F-B41D-A692A04D1047}"/>
    <cellStyle name="Normal 5 3 3 8 3 3" xfId="15791" xr:uid="{F1A08009-BC84-4B85-BDB0-9D7B0E842F40}"/>
    <cellStyle name="Normal 5 3 3 8 4" xfId="20873" xr:uid="{D12A6D92-B7DE-447E-9E10-2D5AED24E3FE}"/>
    <cellStyle name="Normal 5 3 3 8 5" xfId="11574" xr:uid="{E6263E34-458A-4498-8AFC-0847253B5389}"/>
    <cellStyle name="Normal 5 3 3 9" xfId="2595" xr:uid="{00000000-0005-0000-0000-0000121A0000}"/>
    <cellStyle name="Normal 5 3 3 9 2" xfId="6878" xr:uid="{00000000-0005-0000-0000-0000131A0000}"/>
    <cellStyle name="Normal 5 3 3 9 2 2" xfId="25503" xr:uid="{3D48C894-2B04-40A0-BC3F-0016F58CD4F7}"/>
    <cellStyle name="Normal 5 3 3 9 2 3" xfId="16204" xr:uid="{87932645-3669-4772-8B04-BB386CDEFA9A}"/>
    <cellStyle name="Normal 5 3 3 9 3" xfId="21286" xr:uid="{7B5484D4-ABC6-478A-B5DE-4675C9282D3D}"/>
    <cellStyle name="Normal 5 3 3 9 4" xfId="11987" xr:uid="{008C283E-52D5-4753-9550-B2B15309D1FD}"/>
    <cellStyle name="Normal 5 3 4" xfId="449" xr:uid="{00000000-0005-0000-0000-0000141A0000}"/>
    <cellStyle name="Normal 5 3 4 10" xfId="8831" xr:uid="{39AD872D-FBC2-4C4A-B537-79F8014E4247}"/>
    <cellStyle name="Normal 5 3 4 10 2" xfId="27454" xr:uid="{CD6049B8-8D21-4739-8511-D30995B51B53}"/>
    <cellStyle name="Normal 5 3 4 10 3" xfId="18155" xr:uid="{AB056522-641B-4382-8387-CD38F80696F8}"/>
    <cellStyle name="Normal 5 3 4 11" xfId="19229" xr:uid="{9DCC42D9-39D9-488E-AE52-DA1FCB970966}"/>
    <cellStyle name="Normal 5 3 4 12" xfId="9930" xr:uid="{11485F53-E6FB-485A-BC4B-477FAAC3A08A}"/>
    <cellStyle name="Normal 5 3 4 2" xfId="450" xr:uid="{00000000-0005-0000-0000-0000151A0000}"/>
    <cellStyle name="Normal 5 3 4 2 10" xfId="19230" xr:uid="{FF7C29E0-7544-4573-8695-FB9F37A60457}"/>
    <cellStyle name="Normal 5 3 4 2 11" xfId="9931" xr:uid="{0A583830-46CB-4CF5-9252-BE082680FA61}"/>
    <cellStyle name="Normal 5 3 4 2 2" xfId="451" xr:uid="{00000000-0005-0000-0000-0000161A0000}"/>
    <cellStyle name="Normal 5 3 4 2 2 10" xfId="9932" xr:uid="{F02B49DA-9790-4840-A840-13EB735BA127}"/>
    <cellStyle name="Normal 5 3 4 2 2 2" xfId="925" xr:uid="{00000000-0005-0000-0000-0000171A0000}"/>
    <cellStyle name="Normal 5 3 4 2 2 2 2" xfId="3159" xr:uid="{00000000-0005-0000-0000-0000181A0000}"/>
    <cellStyle name="Normal 5 3 4 2 2 2 2 2" xfId="7381" xr:uid="{00000000-0005-0000-0000-0000191A0000}"/>
    <cellStyle name="Normal 5 3 4 2 2 2 2 2 2" xfId="26006" xr:uid="{27A0AA52-E3B5-436C-B5F8-FAD1E99B8969}"/>
    <cellStyle name="Normal 5 3 4 2 2 2 2 2 3" xfId="16707" xr:uid="{5A8EB0BA-2616-4FAA-AFF4-3F8F3B8B9870}"/>
    <cellStyle name="Normal 5 3 4 2 2 2 2 3" xfId="21789" xr:uid="{A3A05EBE-45D4-4AE8-B66D-B1CC7C58FF19}"/>
    <cellStyle name="Normal 5 3 4 2 2 2 2 4" xfId="12490" xr:uid="{A4E08057-9BF2-41F2-99E6-727E3C4F8E23}"/>
    <cellStyle name="Normal 5 3 4 2 2 2 3" xfId="5236" xr:uid="{00000000-0005-0000-0000-00001A1A0000}"/>
    <cellStyle name="Normal 5 3 4 2 2 2 3 2" xfId="23861" xr:uid="{E2F634DE-E7E3-4F8F-8196-D22E7B50593C}"/>
    <cellStyle name="Normal 5 3 4 2 2 2 3 3" xfId="14562" xr:uid="{1D06B107-9C71-4789-A281-23807B0AED58}"/>
    <cellStyle name="Normal 5 3 4 2 2 2 4" xfId="9566" xr:uid="{D483C248-9680-462F-989C-42C712CD6EB7}"/>
    <cellStyle name="Normal 5 3 4 2 2 2 4 2" xfId="28180" xr:uid="{51AD644C-458A-42EE-B145-DD101968A6F6}"/>
    <cellStyle name="Normal 5 3 4 2 2 2 4 3" xfId="18881" xr:uid="{A9F6B992-116E-4ACC-8F85-D34888BF3DAF}"/>
    <cellStyle name="Normal 5 3 4 2 2 2 5" xfId="19644" xr:uid="{B10E1AA7-47A8-461D-9886-9099B759FFB1}"/>
    <cellStyle name="Normal 5 3 4 2 2 2 6" xfId="10345" xr:uid="{3BDE8C20-D082-4D13-9E92-0978330367F3}"/>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2 2 2" xfId="26419" xr:uid="{0B92FF52-6056-4254-9719-7992D57F4C0C}"/>
    <cellStyle name="Normal 5 3 4 2 2 3 2 2 3" xfId="17120" xr:uid="{6C387811-EFE1-44A8-B4E8-EB111D543D50}"/>
    <cellStyle name="Normal 5 3 4 2 2 3 2 3" xfId="22202" xr:uid="{E50B2CA9-395D-44E7-B2F9-9A5BF404E8A2}"/>
    <cellStyle name="Normal 5 3 4 2 2 3 2 4" xfId="12903" xr:uid="{BE2B8465-00DD-4BA8-A94A-5B0310B95DA4}"/>
    <cellStyle name="Normal 5 3 4 2 2 3 3" xfId="5649" xr:uid="{00000000-0005-0000-0000-00001E1A0000}"/>
    <cellStyle name="Normal 5 3 4 2 2 3 3 2" xfId="24274" xr:uid="{E174FB84-86A8-4D01-B7A6-0A973BCF8433}"/>
    <cellStyle name="Normal 5 3 4 2 2 3 3 3" xfId="14975" xr:uid="{A3589DA1-4D28-4C6A-AE4F-5B444CEEDD8A}"/>
    <cellStyle name="Normal 5 3 4 2 2 3 4" xfId="20057" xr:uid="{54E8F448-3C49-4C1D-8D01-973A164220B2}"/>
    <cellStyle name="Normal 5 3 4 2 2 3 5" xfId="10758" xr:uid="{9A1250D8-DAFF-4EC8-B541-1BE27FBDB081}"/>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2 2 2" xfId="26832" xr:uid="{2F26D704-277A-49BE-B007-73971E3287AB}"/>
    <cellStyle name="Normal 5 3 4 2 2 4 2 2 3" xfId="17533" xr:uid="{CCA92731-BFC8-41B5-8B01-2B2D23E1FAE4}"/>
    <cellStyle name="Normal 5 3 4 2 2 4 2 3" xfId="22615" xr:uid="{EB8692BD-1CA7-4792-ACFC-E45306018171}"/>
    <cellStyle name="Normal 5 3 4 2 2 4 2 4" xfId="13316" xr:uid="{7F44C8F2-6A72-4120-80AE-B8343810855C}"/>
    <cellStyle name="Normal 5 3 4 2 2 4 3" xfId="6062" xr:uid="{00000000-0005-0000-0000-0000221A0000}"/>
    <cellStyle name="Normal 5 3 4 2 2 4 3 2" xfId="24687" xr:uid="{CCFBDF09-673D-44A7-AB90-AE7CC2614B1A}"/>
    <cellStyle name="Normal 5 3 4 2 2 4 3 3" xfId="15388" xr:uid="{0FDBB578-D6DB-4EE8-B882-F78B7BAC52BB}"/>
    <cellStyle name="Normal 5 3 4 2 2 4 4" xfId="20470" xr:uid="{2F27DA1B-F5B7-414F-B471-1C95F8322D9A}"/>
    <cellStyle name="Normal 5 3 4 2 2 4 5" xfId="11171" xr:uid="{9ACB4C93-B5DE-40F3-A64D-E1C8D22734D4}"/>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2 2 2" xfId="27245" xr:uid="{18EB6767-918C-4F22-B6B6-253213591562}"/>
    <cellStyle name="Normal 5 3 4 2 2 5 2 2 3" xfId="17946" xr:uid="{1D070217-1E9C-4C4F-93B9-8F65B1ED37C1}"/>
    <cellStyle name="Normal 5 3 4 2 2 5 2 3" xfId="23028" xr:uid="{87EF5BD4-29B7-4C29-8C4B-50EE3E166943}"/>
    <cellStyle name="Normal 5 3 4 2 2 5 2 4" xfId="13729" xr:uid="{039A4286-A8BC-460A-98F7-DEDCA5309C66}"/>
    <cellStyle name="Normal 5 3 4 2 2 5 3" xfId="6475" xr:uid="{00000000-0005-0000-0000-0000261A0000}"/>
    <cellStyle name="Normal 5 3 4 2 2 5 3 2" xfId="25100" xr:uid="{73E53007-DF58-45B7-997E-1DEB296D0032}"/>
    <cellStyle name="Normal 5 3 4 2 2 5 3 3" xfId="15801" xr:uid="{EA221CA9-C4D0-4AC3-9EF8-F56DBEC81E55}"/>
    <cellStyle name="Normal 5 3 4 2 2 5 4" xfId="20883" xr:uid="{836E45CB-CEEF-4AC2-9A39-AC2EB74A95DC}"/>
    <cellStyle name="Normal 5 3 4 2 2 5 5" xfId="11584" xr:uid="{634CF7B8-84C0-4109-BBB9-2C0659556E86}"/>
    <cellStyle name="Normal 5 3 4 2 2 6" xfId="2605" xr:uid="{00000000-0005-0000-0000-0000271A0000}"/>
    <cellStyle name="Normal 5 3 4 2 2 6 2" xfId="6888" xr:uid="{00000000-0005-0000-0000-0000281A0000}"/>
    <cellStyle name="Normal 5 3 4 2 2 6 2 2" xfId="25513" xr:uid="{BAFFF807-B4F3-4B3F-AE00-9C5920C50BA3}"/>
    <cellStyle name="Normal 5 3 4 2 2 6 2 3" xfId="16214" xr:uid="{8A753640-9B82-41DF-AA5E-EC8A6DCB1152}"/>
    <cellStyle name="Normal 5 3 4 2 2 6 3" xfId="21296" xr:uid="{E464EDCD-4B38-42E7-A25A-DDDEFEDC3B93}"/>
    <cellStyle name="Normal 5 3 4 2 2 6 4" xfId="11997" xr:uid="{3A70D391-8CC2-41CF-9204-84A188FCA200}"/>
    <cellStyle name="Normal 5 3 4 2 2 7" xfId="4823" xr:uid="{00000000-0005-0000-0000-0000291A0000}"/>
    <cellStyle name="Normal 5 3 4 2 2 7 2" xfId="23448" xr:uid="{55A2C185-473F-4718-8467-3D2FAA790F80}"/>
    <cellStyle name="Normal 5 3 4 2 2 7 3" xfId="14149" xr:uid="{C8774F48-FDD8-4863-83B4-6AB308A72A4C}"/>
    <cellStyle name="Normal 5 3 4 2 2 8" xfId="9141" xr:uid="{6B63A6D0-0E60-498B-8E53-451D5144533A}"/>
    <cellStyle name="Normal 5 3 4 2 2 8 2" xfId="27764" xr:uid="{628FD6CA-2799-4EC3-941B-7EAA618627D1}"/>
    <cellStyle name="Normal 5 3 4 2 2 8 3" xfId="18465" xr:uid="{E2264752-899E-438A-A412-67F92718EA0F}"/>
    <cellStyle name="Normal 5 3 4 2 2 9" xfId="19231" xr:uid="{518FC274-F171-4A34-9A8B-B7489583A726}"/>
    <cellStyle name="Normal 5 3 4 2 3" xfId="924" xr:uid="{00000000-0005-0000-0000-00002A1A0000}"/>
    <cellStyle name="Normal 5 3 4 2 3 2" xfId="3158" xr:uid="{00000000-0005-0000-0000-00002B1A0000}"/>
    <cellStyle name="Normal 5 3 4 2 3 2 2" xfId="7380" xr:uid="{00000000-0005-0000-0000-00002C1A0000}"/>
    <cellStyle name="Normal 5 3 4 2 3 2 2 2" xfId="26005" xr:uid="{30091C3F-45C3-42DD-83BB-B8ACD2E3EFE0}"/>
    <cellStyle name="Normal 5 3 4 2 3 2 2 3" xfId="16706" xr:uid="{3ED4680D-4E7D-40C1-9E2A-EB6C5172B3D1}"/>
    <cellStyle name="Normal 5 3 4 2 3 2 3" xfId="21788" xr:uid="{A157A1EA-4B8F-4C32-BAD6-9C67A003485E}"/>
    <cellStyle name="Normal 5 3 4 2 3 2 4" xfId="12489" xr:uid="{27191876-C8F3-433D-9B28-65E4F253377F}"/>
    <cellStyle name="Normal 5 3 4 2 3 3" xfId="5235" xr:uid="{00000000-0005-0000-0000-00002D1A0000}"/>
    <cellStyle name="Normal 5 3 4 2 3 3 2" xfId="23860" xr:uid="{27C0BDF3-9AEB-4854-B47D-6523FA7D623F}"/>
    <cellStyle name="Normal 5 3 4 2 3 3 3" xfId="14561" xr:uid="{BECA18EA-C21A-4E48-A6A7-8FC32A32EA75}"/>
    <cellStyle name="Normal 5 3 4 2 3 4" xfId="9359" xr:uid="{FAC41203-2BC4-411F-9296-10781BA4F1AB}"/>
    <cellStyle name="Normal 5 3 4 2 3 4 2" xfId="27973" xr:uid="{D0E43DE4-C4F2-45C1-8943-06F24CB018EA}"/>
    <cellStyle name="Normal 5 3 4 2 3 4 3" xfId="18674" xr:uid="{AB4F027B-DF62-4516-B8BD-9D3737B595E1}"/>
    <cellStyle name="Normal 5 3 4 2 3 5" xfId="19643" xr:uid="{902E16A8-06CD-418F-9CA9-65CDDEEFE084}"/>
    <cellStyle name="Normal 5 3 4 2 3 6" xfId="10344" xr:uid="{C0208CC9-DB0F-4FDF-8929-6D9028192731}"/>
    <cellStyle name="Normal 5 3 4 2 4" xfId="1341" xr:uid="{00000000-0005-0000-0000-00002E1A0000}"/>
    <cellStyle name="Normal 5 3 4 2 4 2" xfId="3571" xr:uid="{00000000-0005-0000-0000-00002F1A0000}"/>
    <cellStyle name="Normal 5 3 4 2 4 2 2" xfId="7793" xr:uid="{00000000-0005-0000-0000-0000301A0000}"/>
    <cellStyle name="Normal 5 3 4 2 4 2 2 2" xfId="26418" xr:uid="{15C9AB02-6081-4C98-B99D-F12A86C1A134}"/>
    <cellStyle name="Normal 5 3 4 2 4 2 2 3" xfId="17119" xr:uid="{9FC7DAF3-B470-481B-B757-6DEF11310F57}"/>
    <cellStyle name="Normal 5 3 4 2 4 2 3" xfId="22201" xr:uid="{855BFD85-3302-447B-BAC6-BF7DDF383DC7}"/>
    <cellStyle name="Normal 5 3 4 2 4 2 4" xfId="12902" xr:uid="{8941FF88-21E8-41F7-A457-4F18F964A7B2}"/>
    <cellStyle name="Normal 5 3 4 2 4 3" xfId="5648" xr:uid="{00000000-0005-0000-0000-0000311A0000}"/>
    <cellStyle name="Normal 5 3 4 2 4 3 2" xfId="24273" xr:uid="{A10032F6-6AA5-431D-9E3D-7E8AD596CC5D}"/>
    <cellStyle name="Normal 5 3 4 2 4 3 3" xfId="14974" xr:uid="{98CA247A-CEBB-4E00-8F88-A96BBBDEDA01}"/>
    <cellStyle name="Normal 5 3 4 2 4 4" xfId="20056" xr:uid="{3E856835-0E54-4912-8E64-7E62B143B5C2}"/>
    <cellStyle name="Normal 5 3 4 2 4 5" xfId="10757" xr:uid="{1FEA876E-A5A4-4782-BA8D-B4A9D62EEE2D}"/>
    <cellStyle name="Normal 5 3 4 2 5" xfId="1754" xr:uid="{00000000-0005-0000-0000-0000321A0000}"/>
    <cellStyle name="Normal 5 3 4 2 5 2" xfId="3984" xr:uid="{00000000-0005-0000-0000-0000331A0000}"/>
    <cellStyle name="Normal 5 3 4 2 5 2 2" xfId="8206" xr:uid="{00000000-0005-0000-0000-0000341A0000}"/>
    <cellStyle name="Normal 5 3 4 2 5 2 2 2" xfId="26831" xr:uid="{D481DF3E-AF42-4410-AC0D-23D847449ED4}"/>
    <cellStyle name="Normal 5 3 4 2 5 2 2 3" xfId="17532" xr:uid="{1194D50E-03D6-44CA-98DB-BD65327EA580}"/>
    <cellStyle name="Normal 5 3 4 2 5 2 3" xfId="22614" xr:uid="{0A6D545F-D6F8-416C-A7F1-C32EBF233CBB}"/>
    <cellStyle name="Normal 5 3 4 2 5 2 4" xfId="13315" xr:uid="{181CFC35-9DFD-410A-BD57-56DF706B9537}"/>
    <cellStyle name="Normal 5 3 4 2 5 3" xfId="6061" xr:uid="{00000000-0005-0000-0000-0000351A0000}"/>
    <cellStyle name="Normal 5 3 4 2 5 3 2" xfId="24686" xr:uid="{C32C5251-16E0-411F-8504-91F35BAA3FA6}"/>
    <cellStyle name="Normal 5 3 4 2 5 3 3" xfId="15387" xr:uid="{22D31364-1110-46ED-A617-F50490967ADE}"/>
    <cellStyle name="Normal 5 3 4 2 5 4" xfId="20469" xr:uid="{C55418D8-6E76-42C5-8D10-0165F34290E7}"/>
    <cellStyle name="Normal 5 3 4 2 5 5" xfId="11170" xr:uid="{FA47634F-91C5-44D8-9813-452AC8481B32}"/>
    <cellStyle name="Normal 5 3 4 2 6" xfId="2168" xr:uid="{00000000-0005-0000-0000-0000361A0000}"/>
    <cellStyle name="Normal 5 3 4 2 6 2" xfId="4397" xr:uid="{00000000-0005-0000-0000-0000371A0000}"/>
    <cellStyle name="Normal 5 3 4 2 6 2 2" xfId="8619" xr:uid="{00000000-0005-0000-0000-0000381A0000}"/>
    <cellStyle name="Normal 5 3 4 2 6 2 2 2" xfId="27244" xr:uid="{C5D2CC18-7FC1-4058-8871-12B0C5D11436}"/>
    <cellStyle name="Normal 5 3 4 2 6 2 2 3" xfId="17945" xr:uid="{C6EB4A04-128A-4ED0-BD3A-39EEE6ABC123}"/>
    <cellStyle name="Normal 5 3 4 2 6 2 3" xfId="23027" xr:uid="{8F8D819B-EEB8-4982-8087-90F9EB5D5E3F}"/>
    <cellStyle name="Normal 5 3 4 2 6 2 4" xfId="13728" xr:uid="{F8B7BC5E-F452-4E72-A06E-F42D1D9C1A3F}"/>
    <cellStyle name="Normal 5 3 4 2 6 3" xfId="6474" xr:uid="{00000000-0005-0000-0000-0000391A0000}"/>
    <cellStyle name="Normal 5 3 4 2 6 3 2" xfId="25099" xr:uid="{59BE37FC-E10D-4F63-AE40-91DE5EC69EFD}"/>
    <cellStyle name="Normal 5 3 4 2 6 3 3" xfId="15800" xr:uid="{83E1105E-8D56-44AD-AE98-9D820E5D46A6}"/>
    <cellStyle name="Normal 5 3 4 2 6 4" xfId="20882" xr:uid="{DAD01674-9606-4997-AB23-978819364D4E}"/>
    <cellStyle name="Normal 5 3 4 2 6 5" xfId="11583" xr:uid="{E73E519C-0C54-4487-86FD-6899024323E8}"/>
    <cellStyle name="Normal 5 3 4 2 7" xfId="2604" xr:uid="{00000000-0005-0000-0000-00003A1A0000}"/>
    <cellStyle name="Normal 5 3 4 2 7 2" xfId="6887" xr:uid="{00000000-0005-0000-0000-00003B1A0000}"/>
    <cellStyle name="Normal 5 3 4 2 7 2 2" xfId="25512" xr:uid="{41DDB517-B41B-4E06-B6FC-CFF8FDBC5627}"/>
    <cellStyle name="Normal 5 3 4 2 7 2 3" xfId="16213" xr:uid="{1A1D9CBD-FAFE-4940-B2FF-1A6203707522}"/>
    <cellStyle name="Normal 5 3 4 2 7 3" xfId="21295" xr:uid="{91C2315A-518B-4192-A24C-FC5AC7C50E81}"/>
    <cellStyle name="Normal 5 3 4 2 7 4" xfId="11996" xr:uid="{E553FE78-A266-410A-9082-6AC2CD2D494D}"/>
    <cellStyle name="Normal 5 3 4 2 8" xfId="4822" xr:uid="{00000000-0005-0000-0000-00003C1A0000}"/>
    <cellStyle name="Normal 5 3 4 2 8 2" xfId="23447" xr:uid="{5305C9D5-868F-45D1-ABA2-093C7E207D8B}"/>
    <cellStyle name="Normal 5 3 4 2 8 3" xfId="14148" xr:uid="{DB67F1CD-2777-49E5-9CA3-B3FBFB9F2330}"/>
    <cellStyle name="Normal 5 3 4 2 9" xfId="8934" xr:uid="{D16D0DF9-4576-4200-8972-8AAD50545E0D}"/>
    <cellStyle name="Normal 5 3 4 2 9 2" xfId="27557" xr:uid="{7257686F-C0A7-407E-AE76-1B8E668FBA92}"/>
    <cellStyle name="Normal 5 3 4 2 9 3" xfId="18258" xr:uid="{97220CB4-7BBD-4939-980E-BD2C48C5CDE3}"/>
    <cellStyle name="Normal 5 3 4 3" xfId="452" xr:uid="{00000000-0005-0000-0000-00003D1A0000}"/>
    <cellStyle name="Normal 5 3 4 3 10" xfId="9933" xr:uid="{FB45BB44-B1C2-464D-B48C-5DC328C77D42}"/>
    <cellStyle name="Normal 5 3 4 3 2" xfId="926" xr:uid="{00000000-0005-0000-0000-00003E1A0000}"/>
    <cellStyle name="Normal 5 3 4 3 2 2" xfId="3160" xr:uid="{00000000-0005-0000-0000-00003F1A0000}"/>
    <cellStyle name="Normal 5 3 4 3 2 2 2" xfId="7382" xr:uid="{00000000-0005-0000-0000-0000401A0000}"/>
    <cellStyle name="Normal 5 3 4 3 2 2 2 2" xfId="26007" xr:uid="{8F1AAE4D-0EAB-4998-9A5D-351359D847C1}"/>
    <cellStyle name="Normal 5 3 4 3 2 2 2 3" xfId="16708" xr:uid="{EF51093F-7D08-48EE-A830-F7D65A1E65A3}"/>
    <cellStyle name="Normal 5 3 4 3 2 2 3" xfId="21790" xr:uid="{F8CC713F-1410-46B4-9C8F-914372CFBB58}"/>
    <cellStyle name="Normal 5 3 4 3 2 2 4" xfId="12491" xr:uid="{EF608087-2328-44E4-B120-3F2D99D982BB}"/>
    <cellStyle name="Normal 5 3 4 3 2 3" xfId="5237" xr:uid="{00000000-0005-0000-0000-0000411A0000}"/>
    <cellStyle name="Normal 5 3 4 3 2 3 2" xfId="23862" xr:uid="{86BCED01-D1C7-42BF-AC97-D6A213499FB2}"/>
    <cellStyle name="Normal 5 3 4 3 2 3 3" xfId="14563" xr:uid="{9E9302D3-3746-4F53-BBB4-B6EA55FB970F}"/>
    <cellStyle name="Normal 5 3 4 3 2 4" xfId="9463" xr:uid="{1CC38E89-013B-404F-9F3E-11BABC37F656}"/>
    <cellStyle name="Normal 5 3 4 3 2 4 2" xfId="28077" xr:uid="{121F9273-7545-46C8-9357-BD788E89F5EC}"/>
    <cellStyle name="Normal 5 3 4 3 2 4 3" xfId="18778" xr:uid="{C0E355B5-3E23-4E60-B384-7206399546E3}"/>
    <cellStyle name="Normal 5 3 4 3 2 5" xfId="19645" xr:uid="{4909C1E1-7B81-4D58-9AD5-C171E6C8F9BD}"/>
    <cellStyle name="Normal 5 3 4 3 2 6" xfId="10346" xr:uid="{2419C966-F5A9-40AF-B2D5-8D11ED616231}"/>
    <cellStyle name="Normal 5 3 4 3 3" xfId="1343" xr:uid="{00000000-0005-0000-0000-0000421A0000}"/>
    <cellStyle name="Normal 5 3 4 3 3 2" xfId="3573" xr:uid="{00000000-0005-0000-0000-0000431A0000}"/>
    <cellStyle name="Normal 5 3 4 3 3 2 2" xfId="7795" xr:uid="{00000000-0005-0000-0000-0000441A0000}"/>
    <cellStyle name="Normal 5 3 4 3 3 2 2 2" xfId="26420" xr:uid="{79AA328E-0873-4E72-8421-6E68814F2394}"/>
    <cellStyle name="Normal 5 3 4 3 3 2 2 3" xfId="17121" xr:uid="{9F542052-7E93-4FE1-B81D-DC456064B295}"/>
    <cellStyle name="Normal 5 3 4 3 3 2 3" xfId="22203" xr:uid="{99C0258B-D4BC-404B-9DF1-44AE9BF4E3AD}"/>
    <cellStyle name="Normal 5 3 4 3 3 2 4" xfId="12904" xr:uid="{9377F584-D7CC-4CA7-A046-6636F2192517}"/>
    <cellStyle name="Normal 5 3 4 3 3 3" xfId="5650" xr:uid="{00000000-0005-0000-0000-0000451A0000}"/>
    <cellStyle name="Normal 5 3 4 3 3 3 2" xfId="24275" xr:uid="{1CFBF92E-D326-4BA7-B567-C89910AD18E4}"/>
    <cellStyle name="Normal 5 3 4 3 3 3 3" xfId="14976" xr:uid="{FA4E7DE4-4F5F-4316-B562-DBEED33E913C}"/>
    <cellStyle name="Normal 5 3 4 3 3 4" xfId="20058" xr:uid="{D58944AA-C7BA-4CE8-BF77-CE6879D6F00A}"/>
    <cellStyle name="Normal 5 3 4 3 3 5" xfId="10759" xr:uid="{33A2F6D5-7344-4CA5-A7D1-5BB2C8B6D8D2}"/>
    <cellStyle name="Normal 5 3 4 3 4" xfId="1756" xr:uid="{00000000-0005-0000-0000-0000461A0000}"/>
    <cellStyle name="Normal 5 3 4 3 4 2" xfId="3986" xr:uid="{00000000-0005-0000-0000-0000471A0000}"/>
    <cellStyle name="Normal 5 3 4 3 4 2 2" xfId="8208" xr:uid="{00000000-0005-0000-0000-0000481A0000}"/>
    <cellStyle name="Normal 5 3 4 3 4 2 2 2" xfId="26833" xr:uid="{3CCFD984-A7CA-4B69-BA47-34A5153EBAF4}"/>
    <cellStyle name="Normal 5 3 4 3 4 2 2 3" xfId="17534" xr:uid="{49A69FDE-3BD8-4F2B-950E-FE4C599F39CB}"/>
    <cellStyle name="Normal 5 3 4 3 4 2 3" xfId="22616" xr:uid="{A2005CD7-656F-49CB-8301-A36F06F0F67F}"/>
    <cellStyle name="Normal 5 3 4 3 4 2 4" xfId="13317" xr:uid="{4C6701C3-CC30-4CDB-83BA-187463A49D51}"/>
    <cellStyle name="Normal 5 3 4 3 4 3" xfId="6063" xr:uid="{00000000-0005-0000-0000-0000491A0000}"/>
    <cellStyle name="Normal 5 3 4 3 4 3 2" xfId="24688" xr:uid="{B2D15836-08F0-49B2-BDB8-6A1BF9FA3997}"/>
    <cellStyle name="Normal 5 3 4 3 4 3 3" xfId="15389" xr:uid="{02C5510F-A59C-410E-B902-9054C8D19622}"/>
    <cellStyle name="Normal 5 3 4 3 4 4" xfId="20471" xr:uid="{EA6D011E-F1E6-4FCD-8273-AD4779E37B32}"/>
    <cellStyle name="Normal 5 3 4 3 4 5" xfId="11172" xr:uid="{E3DB57AB-6EE7-479B-9E21-9EAFAEF5D3D2}"/>
    <cellStyle name="Normal 5 3 4 3 5" xfId="2170" xr:uid="{00000000-0005-0000-0000-00004A1A0000}"/>
    <cellStyle name="Normal 5 3 4 3 5 2" xfId="4399" xr:uid="{00000000-0005-0000-0000-00004B1A0000}"/>
    <cellStyle name="Normal 5 3 4 3 5 2 2" xfId="8621" xr:uid="{00000000-0005-0000-0000-00004C1A0000}"/>
    <cellStyle name="Normal 5 3 4 3 5 2 2 2" xfId="27246" xr:uid="{0484E682-7D62-44DE-99A6-F959CC675424}"/>
    <cellStyle name="Normal 5 3 4 3 5 2 2 3" xfId="17947" xr:uid="{E230447F-A21F-456C-8044-4997363491DC}"/>
    <cellStyle name="Normal 5 3 4 3 5 2 3" xfId="23029" xr:uid="{71EBF479-CE31-4A29-82BF-F43DC361BC98}"/>
    <cellStyle name="Normal 5 3 4 3 5 2 4" xfId="13730" xr:uid="{A49892E4-6AF6-412E-8AA5-B54A9DD0927F}"/>
    <cellStyle name="Normal 5 3 4 3 5 3" xfId="6476" xr:uid="{00000000-0005-0000-0000-00004D1A0000}"/>
    <cellStyle name="Normal 5 3 4 3 5 3 2" xfId="25101" xr:uid="{3D0E2BAD-8860-4838-A78E-3085F719F580}"/>
    <cellStyle name="Normal 5 3 4 3 5 3 3" xfId="15802" xr:uid="{AC1CAE49-5BFE-47BA-A23E-E52624A87386}"/>
    <cellStyle name="Normal 5 3 4 3 5 4" xfId="20884" xr:uid="{38D3F6A8-F81B-4A6E-B681-1B1B97F953BD}"/>
    <cellStyle name="Normal 5 3 4 3 5 5" xfId="11585" xr:uid="{05DE20F2-C5DD-479B-A9DA-79C75D0D09A5}"/>
    <cellStyle name="Normal 5 3 4 3 6" xfId="2606" xr:uid="{00000000-0005-0000-0000-00004E1A0000}"/>
    <cellStyle name="Normal 5 3 4 3 6 2" xfId="6889" xr:uid="{00000000-0005-0000-0000-00004F1A0000}"/>
    <cellStyle name="Normal 5 3 4 3 6 2 2" xfId="25514" xr:uid="{2CD04A21-B8FE-4F38-80AA-3DA803254481}"/>
    <cellStyle name="Normal 5 3 4 3 6 2 3" xfId="16215" xr:uid="{445FB151-2723-4433-BBEB-DE95145F0986}"/>
    <cellStyle name="Normal 5 3 4 3 6 3" xfId="21297" xr:uid="{7A428B3C-B004-49CF-A53E-A2D1C4142ACB}"/>
    <cellStyle name="Normal 5 3 4 3 6 4" xfId="11998" xr:uid="{EC0CBE86-6C76-40E9-B51C-143521A34B1E}"/>
    <cellStyle name="Normal 5 3 4 3 7" xfId="4824" xr:uid="{00000000-0005-0000-0000-0000501A0000}"/>
    <cellStyle name="Normal 5 3 4 3 7 2" xfId="23449" xr:uid="{DC109B76-0012-493C-BCAB-49A689B7B9EB}"/>
    <cellStyle name="Normal 5 3 4 3 7 3" xfId="14150" xr:uid="{FED1B85D-5C95-4CFA-9C35-0F98D3B0B443}"/>
    <cellStyle name="Normal 5 3 4 3 8" xfId="9038" xr:uid="{15024032-E3C2-4FDD-B674-481D39A836C5}"/>
    <cellStyle name="Normal 5 3 4 3 8 2" xfId="27661" xr:uid="{A673F690-F8D6-4529-BB0F-B637CD0151D1}"/>
    <cellStyle name="Normal 5 3 4 3 8 3" xfId="18362" xr:uid="{A39D6202-F849-40EA-881A-A0DB7526AB5F}"/>
    <cellStyle name="Normal 5 3 4 3 9" xfId="19232" xr:uid="{814006FF-AA4C-4515-9835-E3D240FE7F00}"/>
    <cellStyle name="Normal 5 3 4 4" xfId="923" xr:uid="{00000000-0005-0000-0000-0000511A0000}"/>
    <cellStyle name="Normal 5 3 4 4 2" xfId="3157" xr:uid="{00000000-0005-0000-0000-0000521A0000}"/>
    <cellStyle name="Normal 5 3 4 4 2 2" xfId="7379" xr:uid="{00000000-0005-0000-0000-0000531A0000}"/>
    <cellStyle name="Normal 5 3 4 4 2 2 2" xfId="26004" xr:uid="{F3CE500F-D24B-4BD8-896C-2C4E5CBD0FCE}"/>
    <cellStyle name="Normal 5 3 4 4 2 2 3" xfId="16705" xr:uid="{FEC37E5B-86AA-489D-9798-312802FF1BA9}"/>
    <cellStyle name="Normal 5 3 4 4 2 3" xfId="21787" xr:uid="{5575D9F6-ACB2-4920-87E2-F07CF209DE52}"/>
    <cellStyle name="Normal 5 3 4 4 2 4" xfId="12488" xr:uid="{7C939208-1ABC-4A5D-926C-14974319D4C0}"/>
    <cellStyle name="Normal 5 3 4 4 3" xfId="5234" xr:uid="{00000000-0005-0000-0000-0000541A0000}"/>
    <cellStyle name="Normal 5 3 4 4 3 2" xfId="23859" xr:uid="{CBACFD5E-F87A-4850-B96F-B280E73CD170}"/>
    <cellStyle name="Normal 5 3 4 4 3 3" xfId="14560" xr:uid="{3A01C333-F8ED-427B-AD1E-1A2409D52B63}"/>
    <cellStyle name="Normal 5 3 4 4 4" xfId="9256" xr:uid="{69A14F57-2B46-4294-8CA5-E21858516C25}"/>
    <cellStyle name="Normal 5 3 4 4 4 2" xfId="27870" xr:uid="{3C1571BE-0676-4FAF-90F2-DFC0DD89849C}"/>
    <cellStyle name="Normal 5 3 4 4 4 3" xfId="18571" xr:uid="{AE684481-4D61-4125-B226-19FE048B5726}"/>
    <cellStyle name="Normal 5 3 4 4 5" xfId="19642" xr:uid="{B2DCBE8D-7FE7-49FA-9557-BDB44BCA1DB1}"/>
    <cellStyle name="Normal 5 3 4 4 6" xfId="10343" xr:uid="{3AB9E1F1-D2A4-4320-9650-2017B4B83AB1}"/>
    <cellStyle name="Normal 5 3 4 5" xfId="1340" xr:uid="{00000000-0005-0000-0000-0000551A0000}"/>
    <cellStyle name="Normal 5 3 4 5 2" xfId="3570" xr:uid="{00000000-0005-0000-0000-0000561A0000}"/>
    <cellStyle name="Normal 5 3 4 5 2 2" xfId="7792" xr:uid="{00000000-0005-0000-0000-0000571A0000}"/>
    <cellStyle name="Normal 5 3 4 5 2 2 2" xfId="26417" xr:uid="{C323F9BD-0BFC-4413-BDEB-0614C90A01C5}"/>
    <cellStyle name="Normal 5 3 4 5 2 2 3" xfId="17118" xr:uid="{88198A53-0130-41B9-99FC-DA37C29E3404}"/>
    <cellStyle name="Normal 5 3 4 5 2 3" xfId="22200" xr:uid="{7CA7338A-0D2B-44E5-960C-A42D62EA2375}"/>
    <cellStyle name="Normal 5 3 4 5 2 4" xfId="12901" xr:uid="{36544D64-2EE5-4588-A172-03BB67B9950F}"/>
    <cellStyle name="Normal 5 3 4 5 3" xfId="5647" xr:uid="{00000000-0005-0000-0000-0000581A0000}"/>
    <cellStyle name="Normal 5 3 4 5 3 2" xfId="24272" xr:uid="{44B29932-4E16-4D1A-B86F-63B00F49101F}"/>
    <cellStyle name="Normal 5 3 4 5 3 3" xfId="14973" xr:uid="{D5CDE1C3-CC30-48D2-B780-FD5DA74477A2}"/>
    <cellStyle name="Normal 5 3 4 5 4" xfId="20055" xr:uid="{B6EBF4D2-2771-4C92-B306-7F9F5A95FF1B}"/>
    <cellStyle name="Normal 5 3 4 5 5" xfId="10756" xr:uid="{F85530D5-32E7-48E8-B301-44A1C00B63C8}"/>
    <cellStyle name="Normal 5 3 4 6" xfId="1753" xr:uid="{00000000-0005-0000-0000-0000591A0000}"/>
    <cellStyle name="Normal 5 3 4 6 2" xfId="3983" xr:uid="{00000000-0005-0000-0000-00005A1A0000}"/>
    <cellStyle name="Normal 5 3 4 6 2 2" xfId="8205" xr:uid="{00000000-0005-0000-0000-00005B1A0000}"/>
    <cellStyle name="Normal 5 3 4 6 2 2 2" xfId="26830" xr:uid="{CC4EE196-C430-4367-86CC-02C758A5D3F7}"/>
    <cellStyle name="Normal 5 3 4 6 2 2 3" xfId="17531" xr:uid="{1606F085-0C8A-45FD-B11B-8C7218A80486}"/>
    <cellStyle name="Normal 5 3 4 6 2 3" xfId="22613" xr:uid="{123D908D-8196-4EE2-A482-7C90B861ADA4}"/>
    <cellStyle name="Normal 5 3 4 6 2 4" xfId="13314" xr:uid="{4EF9C416-E2C7-4666-BAC0-9917C8F37453}"/>
    <cellStyle name="Normal 5 3 4 6 3" xfId="6060" xr:uid="{00000000-0005-0000-0000-00005C1A0000}"/>
    <cellStyle name="Normal 5 3 4 6 3 2" xfId="24685" xr:uid="{82422B97-1DBF-4F48-9A70-903F09E21CAB}"/>
    <cellStyle name="Normal 5 3 4 6 3 3" xfId="15386" xr:uid="{DA9807DF-C31A-49E5-8E27-D2FCD67CD88F}"/>
    <cellStyle name="Normal 5 3 4 6 4" xfId="20468" xr:uid="{02D78162-CEC6-4203-90A0-7FCED005A72D}"/>
    <cellStyle name="Normal 5 3 4 6 5" xfId="11169" xr:uid="{3E150B38-5E57-4B14-B2CA-1387D6D38981}"/>
    <cellStyle name="Normal 5 3 4 7" xfId="2167" xr:uid="{00000000-0005-0000-0000-00005D1A0000}"/>
    <cellStyle name="Normal 5 3 4 7 2" xfId="4396" xr:uid="{00000000-0005-0000-0000-00005E1A0000}"/>
    <cellStyle name="Normal 5 3 4 7 2 2" xfId="8618" xr:uid="{00000000-0005-0000-0000-00005F1A0000}"/>
    <cellStyle name="Normal 5 3 4 7 2 2 2" xfId="27243" xr:uid="{68ADE758-83E3-431A-BC73-B1769BF200EA}"/>
    <cellStyle name="Normal 5 3 4 7 2 2 3" xfId="17944" xr:uid="{36E3C7F3-3CDE-4757-80EA-E612BE80471E}"/>
    <cellStyle name="Normal 5 3 4 7 2 3" xfId="23026" xr:uid="{EAC23525-3D06-414B-8D71-A5D1DEFBA5FE}"/>
    <cellStyle name="Normal 5 3 4 7 2 4" xfId="13727" xr:uid="{841B595D-4BA4-46B0-929C-22F91BCBC0C9}"/>
    <cellStyle name="Normal 5 3 4 7 3" xfId="6473" xr:uid="{00000000-0005-0000-0000-0000601A0000}"/>
    <cellStyle name="Normal 5 3 4 7 3 2" xfId="25098" xr:uid="{0849CD75-73CD-4744-AE8D-C88A2DBF4CCD}"/>
    <cellStyle name="Normal 5 3 4 7 3 3" xfId="15799" xr:uid="{14C81039-2CAC-4F73-98C5-C6179DF6EC99}"/>
    <cellStyle name="Normal 5 3 4 7 4" xfId="20881" xr:uid="{3A1EFB6C-C69F-4E1D-894B-E39BCE85CB3D}"/>
    <cellStyle name="Normal 5 3 4 7 5" xfId="11582" xr:uid="{3BB6F050-DE24-49B3-BB56-25543561D8D5}"/>
    <cellStyle name="Normal 5 3 4 8" xfId="2603" xr:uid="{00000000-0005-0000-0000-0000611A0000}"/>
    <cellStyle name="Normal 5 3 4 8 2" xfId="6886" xr:uid="{00000000-0005-0000-0000-0000621A0000}"/>
    <cellStyle name="Normal 5 3 4 8 2 2" xfId="25511" xr:uid="{91DF1CD1-2FD5-40AC-90CB-2F1D4C50DF79}"/>
    <cellStyle name="Normal 5 3 4 8 2 3" xfId="16212" xr:uid="{751C8307-0B62-4A74-B0A3-5AA275976756}"/>
    <cellStyle name="Normal 5 3 4 8 3" xfId="21294" xr:uid="{E11C4DF5-3855-4635-80D9-158D30494C0D}"/>
    <cellStyle name="Normal 5 3 4 8 4" xfId="11995" xr:uid="{931916DD-ADDA-41C3-ACF9-6408DC8E715A}"/>
    <cellStyle name="Normal 5 3 4 9" xfId="4821" xr:uid="{00000000-0005-0000-0000-0000631A0000}"/>
    <cellStyle name="Normal 5 3 4 9 2" xfId="23446" xr:uid="{B4D8A5B9-6BBB-42A4-8864-D64FA5F82CE5}"/>
    <cellStyle name="Normal 5 3 4 9 3" xfId="14147" xr:uid="{02EEE2E9-E290-4CB8-B103-03B7D643200E}"/>
    <cellStyle name="Normal 5 3 5" xfId="453" xr:uid="{00000000-0005-0000-0000-0000641A0000}"/>
    <cellStyle name="Normal 5 3 5 10" xfId="19233" xr:uid="{3B7109C0-AEFD-4668-9B74-4D820170E4C8}"/>
    <cellStyle name="Normal 5 3 5 11" xfId="9934" xr:uid="{9E47D4A0-1BC1-4635-A4E5-8392F4CC177C}"/>
    <cellStyle name="Normal 5 3 5 2" xfId="454" xr:uid="{00000000-0005-0000-0000-0000651A0000}"/>
    <cellStyle name="Normal 5 3 5 2 10" xfId="9935" xr:uid="{086BA1C3-4594-489E-96E4-5CBA47D092BA}"/>
    <cellStyle name="Normal 5 3 5 2 2" xfId="928" xr:uid="{00000000-0005-0000-0000-0000661A0000}"/>
    <cellStyle name="Normal 5 3 5 2 2 2" xfId="3162" xr:uid="{00000000-0005-0000-0000-0000671A0000}"/>
    <cellStyle name="Normal 5 3 5 2 2 2 2" xfId="7384" xr:uid="{00000000-0005-0000-0000-0000681A0000}"/>
    <cellStyle name="Normal 5 3 5 2 2 2 2 2" xfId="26009" xr:uid="{756F1B60-4BA9-4992-9106-7277627DA454}"/>
    <cellStyle name="Normal 5 3 5 2 2 2 2 3" xfId="16710" xr:uid="{87F913E4-D2DC-4D1A-B68D-BFB57DC5E05E}"/>
    <cellStyle name="Normal 5 3 5 2 2 2 3" xfId="21792" xr:uid="{F0317261-1383-4783-B065-E9E99B520911}"/>
    <cellStyle name="Normal 5 3 5 2 2 2 4" xfId="12493" xr:uid="{4094739D-C88F-46EF-91CB-F56DF3EBF935}"/>
    <cellStyle name="Normal 5 3 5 2 2 3" xfId="5239" xr:uid="{00000000-0005-0000-0000-0000691A0000}"/>
    <cellStyle name="Normal 5 3 5 2 2 3 2" xfId="23864" xr:uid="{7CE1CDBB-264B-4751-AF3D-83957A137110}"/>
    <cellStyle name="Normal 5 3 5 2 2 3 3" xfId="14565" xr:uid="{FCE3A6B6-48B5-4ECD-A18A-FDADE7EABF61}"/>
    <cellStyle name="Normal 5 3 5 2 2 4" xfId="9485" xr:uid="{E88A0512-4544-44F7-B02F-696DEB177F8E}"/>
    <cellStyle name="Normal 5 3 5 2 2 4 2" xfId="28099" xr:uid="{ED549CF9-98BE-40B8-BD4C-FF2845547FA9}"/>
    <cellStyle name="Normal 5 3 5 2 2 4 3" xfId="18800" xr:uid="{827F26BD-6F70-4617-9B1C-A075A0C01F0A}"/>
    <cellStyle name="Normal 5 3 5 2 2 5" xfId="19647" xr:uid="{4ED52C5F-567E-47BE-81DB-75C3A7820BFC}"/>
    <cellStyle name="Normal 5 3 5 2 2 6" xfId="10348" xr:uid="{4B6E038C-86C4-4675-A085-6F89DAB4F934}"/>
    <cellStyle name="Normal 5 3 5 2 3" xfId="1345" xr:uid="{00000000-0005-0000-0000-00006A1A0000}"/>
    <cellStyle name="Normal 5 3 5 2 3 2" xfId="3575" xr:uid="{00000000-0005-0000-0000-00006B1A0000}"/>
    <cellStyle name="Normal 5 3 5 2 3 2 2" xfId="7797" xr:uid="{00000000-0005-0000-0000-00006C1A0000}"/>
    <cellStyle name="Normal 5 3 5 2 3 2 2 2" xfId="26422" xr:uid="{FEDAED6F-F6C8-4281-BD07-5426BA395F72}"/>
    <cellStyle name="Normal 5 3 5 2 3 2 2 3" xfId="17123" xr:uid="{4A4EB6CF-398F-488E-B5C3-4C4FDB8C1E9B}"/>
    <cellStyle name="Normal 5 3 5 2 3 2 3" xfId="22205" xr:uid="{56D205F6-4AD5-40BD-9937-ACB2D85F9578}"/>
    <cellStyle name="Normal 5 3 5 2 3 2 4" xfId="12906" xr:uid="{B2FFB44D-878A-4AC9-868E-24673E083BC4}"/>
    <cellStyle name="Normal 5 3 5 2 3 3" xfId="5652" xr:uid="{00000000-0005-0000-0000-00006D1A0000}"/>
    <cellStyle name="Normal 5 3 5 2 3 3 2" xfId="24277" xr:uid="{DA7C3315-A628-4138-8A9E-402F8611B305}"/>
    <cellStyle name="Normal 5 3 5 2 3 3 3" xfId="14978" xr:uid="{25B691C4-67BB-41DF-A0BA-C4DB625AD1C5}"/>
    <cellStyle name="Normal 5 3 5 2 3 4" xfId="20060" xr:uid="{AC9DB90F-7411-4C4B-8DF3-9D1EE0431B77}"/>
    <cellStyle name="Normal 5 3 5 2 3 5" xfId="10761" xr:uid="{DE3902C7-460B-4BAA-93A2-6635CFC58C69}"/>
    <cellStyle name="Normal 5 3 5 2 4" xfId="1758" xr:uid="{00000000-0005-0000-0000-00006E1A0000}"/>
    <cellStyle name="Normal 5 3 5 2 4 2" xfId="3988" xr:uid="{00000000-0005-0000-0000-00006F1A0000}"/>
    <cellStyle name="Normal 5 3 5 2 4 2 2" xfId="8210" xr:uid="{00000000-0005-0000-0000-0000701A0000}"/>
    <cellStyle name="Normal 5 3 5 2 4 2 2 2" xfId="26835" xr:uid="{C512D8A2-56B3-4B77-974B-0FC469358295}"/>
    <cellStyle name="Normal 5 3 5 2 4 2 2 3" xfId="17536" xr:uid="{C2228F66-5E6A-4854-B100-F87FEE4EC72C}"/>
    <cellStyle name="Normal 5 3 5 2 4 2 3" xfId="22618" xr:uid="{E70EA6EA-4E88-4D01-BF41-EBC566CEFDBC}"/>
    <cellStyle name="Normal 5 3 5 2 4 2 4" xfId="13319" xr:uid="{EFBA8D55-DC19-4DD5-B897-5A1130B11A9B}"/>
    <cellStyle name="Normal 5 3 5 2 4 3" xfId="6065" xr:uid="{00000000-0005-0000-0000-0000711A0000}"/>
    <cellStyle name="Normal 5 3 5 2 4 3 2" xfId="24690" xr:uid="{2631D74B-B9AD-4A6B-A8F3-2EA04129D79D}"/>
    <cellStyle name="Normal 5 3 5 2 4 3 3" xfId="15391" xr:uid="{4F02DE41-E019-4FB3-8707-96FD513AA1DB}"/>
    <cellStyle name="Normal 5 3 5 2 4 4" xfId="20473" xr:uid="{9B5E54FB-5EB4-4070-BBAC-3411135811FB}"/>
    <cellStyle name="Normal 5 3 5 2 4 5" xfId="11174" xr:uid="{085D47C1-96D9-41A6-A863-E92DBFAEF950}"/>
    <cellStyle name="Normal 5 3 5 2 5" xfId="2172" xr:uid="{00000000-0005-0000-0000-0000721A0000}"/>
    <cellStyle name="Normal 5 3 5 2 5 2" xfId="4401" xr:uid="{00000000-0005-0000-0000-0000731A0000}"/>
    <cellStyle name="Normal 5 3 5 2 5 2 2" xfId="8623" xr:uid="{00000000-0005-0000-0000-0000741A0000}"/>
    <cellStyle name="Normal 5 3 5 2 5 2 2 2" xfId="27248" xr:uid="{910B4F5B-EBC5-401C-8D2B-2F463B7E8F79}"/>
    <cellStyle name="Normal 5 3 5 2 5 2 2 3" xfId="17949" xr:uid="{A1F70A99-6C73-4880-BD92-34F3D1C0D979}"/>
    <cellStyle name="Normal 5 3 5 2 5 2 3" xfId="23031" xr:uid="{C73572C8-27DA-4BE2-A391-AF3C19EB55B0}"/>
    <cellStyle name="Normal 5 3 5 2 5 2 4" xfId="13732" xr:uid="{A7D2A958-7E7D-40A3-8A23-D153055DF805}"/>
    <cellStyle name="Normal 5 3 5 2 5 3" xfId="6478" xr:uid="{00000000-0005-0000-0000-0000751A0000}"/>
    <cellStyle name="Normal 5 3 5 2 5 3 2" xfId="25103" xr:uid="{F18BE4AF-EC6F-4CB0-87F4-C47CEB4C5FF2}"/>
    <cellStyle name="Normal 5 3 5 2 5 3 3" xfId="15804" xr:uid="{D11FB14E-0F43-409A-B0F5-00BE076A595E}"/>
    <cellStyle name="Normal 5 3 5 2 5 4" xfId="20886" xr:uid="{06263F99-8521-449A-B263-709498050F22}"/>
    <cellStyle name="Normal 5 3 5 2 5 5" xfId="11587" xr:uid="{9B4E75E1-5FDC-43EE-960E-9F4EC03489DD}"/>
    <cellStyle name="Normal 5 3 5 2 6" xfId="2608" xr:uid="{00000000-0005-0000-0000-0000761A0000}"/>
    <cellStyle name="Normal 5 3 5 2 6 2" xfId="6891" xr:uid="{00000000-0005-0000-0000-0000771A0000}"/>
    <cellStyle name="Normal 5 3 5 2 6 2 2" xfId="25516" xr:uid="{A2D9DE2A-67E1-4AAD-BA37-972287B41054}"/>
    <cellStyle name="Normal 5 3 5 2 6 2 3" xfId="16217" xr:uid="{C3D5E671-BA3D-4E01-9F88-834BF3BFA3D6}"/>
    <cellStyle name="Normal 5 3 5 2 6 3" xfId="21299" xr:uid="{3AC642CD-86AF-4EF7-882F-8C71A411469F}"/>
    <cellStyle name="Normal 5 3 5 2 6 4" xfId="12000" xr:uid="{8E16B9CB-0827-4C93-B590-4237DAAE2379}"/>
    <cellStyle name="Normal 5 3 5 2 7" xfId="4826" xr:uid="{00000000-0005-0000-0000-0000781A0000}"/>
    <cellStyle name="Normal 5 3 5 2 7 2" xfId="23451" xr:uid="{6490EBB8-BA3E-4BE7-A144-968A0C34C708}"/>
    <cellStyle name="Normal 5 3 5 2 7 3" xfId="14152" xr:uid="{8C11CF71-C7B8-4FE7-B35C-6D7C22464CC8}"/>
    <cellStyle name="Normal 5 3 5 2 8" xfId="9060" xr:uid="{D76124DC-5753-46E4-97E7-1D76E6E20EEE}"/>
    <cellStyle name="Normal 5 3 5 2 8 2" xfId="27683" xr:uid="{C47EECF3-5DF1-4544-B16E-CD7A19335F9E}"/>
    <cellStyle name="Normal 5 3 5 2 8 3" xfId="18384" xr:uid="{2F3C5DD7-ABEF-4BD4-A7B0-E94D806F1F0C}"/>
    <cellStyle name="Normal 5 3 5 2 9" xfId="19234" xr:uid="{EE0FCFCA-340A-47DD-B937-3180E27790A5}"/>
    <cellStyle name="Normal 5 3 5 3" xfId="927" xr:uid="{00000000-0005-0000-0000-0000791A0000}"/>
    <cellStyle name="Normal 5 3 5 3 2" xfId="3161" xr:uid="{00000000-0005-0000-0000-00007A1A0000}"/>
    <cellStyle name="Normal 5 3 5 3 2 2" xfId="7383" xr:uid="{00000000-0005-0000-0000-00007B1A0000}"/>
    <cellStyle name="Normal 5 3 5 3 2 2 2" xfId="26008" xr:uid="{CA003275-FACE-4CE6-A7BA-B38B24DF88FF}"/>
    <cellStyle name="Normal 5 3 5 3 2 2 3" xfId="16709" xr:uid="{2F249234-4068-400A-AB88-FE1DD0D57B91}"/>
    <cellStyle name="Normal 5 3 5 3 2 3" xfId="21791" xr:uid="{FCCC913A-1D08-454B-A421-855008D23AB7}"/>
    <cellStyle name="Normal 5 3 5 3 2 4" xfId="12492" xr:uid="{EF3A202B-401F-4F0F-954F-3C238DACA129}"/>
    <cellStyle name="Normal 5 3 5 3 3" xfId="5238" xr:uid="{00000000-0005-0000-0000-00007C1A0000}"/>
    <cellStyle name="Normal 5 3 5 3 3 2" xfId="23863" xr:uid="{4DB22EDF-E7C2-4B13-8BCF-E2C1DD18B4F4}"/>
    <cellStyle name="Normal 5 3 5 3 3 3" xfId="14564" xr:uid="{F97E9B13-DE84-42F6-AE7D-86A5A9A3DDDF}"/>
    <cellStyle name="Normal 5 3 5 3 4" xfId="9278" xr:uid="{6197750A-97CA-41EF-A67C-63E25EE58E9E}"/>
    <cellStyle name="Normal 5 3 5 3 4 2" xfId="27892" xr:uid="{D4D66824-8BC5-4E0C-9302-A66378B160AB}"/>
    <cellStyle name="Normal 5 3 5 3 4 3" xfId="18593" xr:uid="{0FF1FDC2-51BE-42A7-A0EA-77E1DD6C126C}"/>
    <cellStyle name="Normal 5 3 5 3 5" xfId="19646" xr:uid="{48D110DF-E444-4301-9DE9-A0E588C4D8B8}"/>
    <cellStyle name="Normal 5 3 5 3 6" xfId="10347" xr:uid="{E8EC1A03-08A6-4A46-895B-365F33F2054E}"/>
    <cellStyle name="Normal 5 3 5 4" xfId="1344" xr:uid="{00000000-0005-0000-0000-00007D1A0000}"/>
    <cellStyle name="Normal 5 3 5 4 2" xfId="3574" xr:uid="{00000000-0005-0000-0000-00007E1A0000}"/>
    <cellStyle name="Normal 5 3 5 4 2 2" xfId="7796" xr:uid="{00000000-0005-0000-0000-00007F1A0000}"/>
    <cellStyle name="Normal 5 3 5 4 2 2 2" xfId="26421" xr:uid="{EA19BDD9-0310-48B9-9811-9CFAF097F7CD}"/>
    <cellStyle name="Normal 5 3 5 4 2 2 3" xfId="17122" xr:uid="{C8CF400C-9014-4406-9DFB-FB6D206EFAE0}"/>
    <cellStyle name="Normal 5 3 5 4 2 3" xfId="22204" xr:uid="{7FF726D5-BC10-4808-96C9-ED99ABAE1202}"/>
    <cellStyle name="Normal 5 3 5 4 2 4" xfId="12905" xr:uid="{8DB8149B-16B8-4464-80E7-7ACCC8288ECC}"/>
    <cellStyle name="Normal 5 3 5 4 3" xfId="5651" xr:uid="{00000000-0005-0000-0000-0000801A0000}"/>
    <cellStyle name="Normal 5 3 5 4 3 2" xfId="24276" xr:uid="{71BC28FE-524C-43CC-851C-A253174D08E6}"/>
    <cellStyle name="Normal 5 3 5 4 3 3" xfId="14977" xr:uid="{5D5AB246-831C-40BF-B52D-5F342B78D42C}"/>
    <cellStyle name="Normal 5 3 5 4 4" xfId="20059" xr:uid="{0C5DC83E-467D-4251-8537-9AC051CE25AE}"/>
    <cellStyle name="Normal 5 3 5 4 5" xfId="10760" xr:uid="{AE7B51C8-5E23-46E8-87DC-2060F71414E8}"/>
    <cellStyle name="Normal 5 3 5 5" xfId="1757" xr:uid="{00000000-0005-0000-0000-0000811A0000}"/>
    <cellStyle name="Normal 5 3 5 5 2" xfId="3987" xr:uid="{00000000-0005-0000-0000-0000821A0000}"/>
    <cellStyle name="Normal 5 3 5 5 2 2" xfId="8209" xr:uid="{00000000-0005-0000-0000-0000831A0000}"/>
    <cellStyle name="Normal 5 3 5 5 2 2 2" xfId="26834" xr:uid="{D5F01FBB-7083-4F61-A2A1-E216ECA654D2}"/>
    <cellStyle name="Normal 5 3 5 5 2 2 3" xfId="17535" xr:uid="{56C176B9-927B-4AE7-B14B-7EAD6A878770}"/>
    <cellStyle name="Normal 5 3 5 5 2 3" xfId="22617" xr:uid="{113151EE-2857-44E9-8DA5-2B0392D925C6}"/>
    <cellStyle name="Normal 5 3 5 5 2 4" xfId="13318" xr:uid="{79158467-33E1-4598-BC66-67126F93CF5E}"/>
    <cellStyle name="Normal 5 3 5 5 3" xfId="6064" xr:uid="{00000000-0005-0000-0000-0000841A0000}"/>
    <cellStyle name="Normal 5 3 5 5 3 2" xfId="24689" xr:uid="{642E1EFE-0737-4497-9436-75589FE24025}"/>
    <cellStyle name="Normal 5 3 5 5 3 3" xfId="15390" xr:uid="{4B03EC53-9A03-46BC-839F-FA6C3F7BFE91}"/>
    <cellStyle name="Normal 5 3 5 5 4" xfId="20472" xr:uid="{D9210C39-C599-47AA-8B27-CCE893F3D95D}"/>
    <cellStyle name="Normal 5 3 5 5 5" xfId="11173" xr:uid="{3D7F8231-20E4-4595-AC70-BB8AF1B2F160}"/>
    <cellStyle name="Normal 5 3 5 6" xfId="2171" xr:uid="{00000000-0005-0000-0000-0000851A0000}"/>
    <cellStyle name="Normal 5 3 5 6 2" xfId="4400" xr:uid="{00000000-0005-0000-0000-0000861A0000}"/>
    <cellStyle name="Normal 5 3 5 6 2 2" xfId="8622" xr:uid="{00000000-0005-0000-0000-0000871A0000}"/>
    <cellStyle name="Normal 5 3 5 6 2 2 2" xfId="27247" xr:uid="{3E897F48-9628-4D34-8DB2-E07FF03637EE}"/>
    <cellStyle name="Normal 5 3 5 6 2 2 3" xfId="17948" xr:uid="{15CC35A1-7A18-40AB-96AA-F659650A147A}"/>
    <cellStyle name="Normal 5 3 5 6 2 3" xfId="23030" xr:uid="{A0F41822-2B5F-4290-A729-805895FD965F}"/>
    <cellStyle name="Normal 5 3 5 6 2 4" xfId="13731" xr:uid="{ECBE9B44-BBED-4B9F-B08E-04AC361E2114}"/>
    <cellStyle name="Normal 5 3 5 6 3" xfId="6477" xr:uid="{00000000-0005-0000-0000-0000881A0000}"/>
    <cellStyle name="Normal 5 3 5 6 3 2" xfId="25102" xr:uid="{EBC734F5-6644-4B27-8864-9AB00E247489}"/>
    <cellStyle name="Normal 5 3 5 6 3 3" xfId="15803" xr:uid="{4707BBC4-4678-4BC4-920C-BBCA0522CAFD}"/>
    <cellStyle name="Normal 5 3 5 6 4" xfId="20885" xr:uid="{4CCB7C14-3450-47FA-829E-89A536595132}"/>
    <cellStyle name="Normal 5 3 5 6 5" xfId="11586" xr:uid="{F6DB3769-E9CA-4674-88F0-90AF66888765}"/>
    <cellStyle name="Normal 5 3 5 7" xfId="2607" xr:uid="{00000000-0005-0000-0000-0000891A0000}"/>
    <cellStyle name="Normal 5 3 5 7 2" xfId="6890" xr:uid="{00000000-0005-0000-0000-00008A1A0000}"/>
    <cellStyle name="Normal 5 3 5 7 2 2" xfId="25515" xr:uid="{5B5610C4-A59D-4769-8CB8-E10CC02BAF11}"/>
    <cellStyle name="Normal 5 3 5 7 2 3" xfId="16216" xr:uid="{FD5A8148-2B14-4BBD-AD5B-82095531240B}"/>
    <cellStyle name="Normal 5 3 5 7 3" xfId="21298" xr:uid="{29A9EEC1-3272-4AD0-87F1-713B161064B5}"/>
    <cellStyle name="Normal 5 3 5 7 4" xfId="11999" xr:uid="{BAC1FEE8-ED0A-435F-BC2F-801A70DF02FF}"/>
    <cellStyle name="Normal 5 3 5 8" xfId="4825" xr:uid="{00000000-0005-0000-0000-00008B1A0000}"/>
    <cellStyle name="Normal 5 3 5 8 2" xfId="23450" xr:uid="{ACB2BDD9-5EF4-48E7-B334-08E7714C3308}"/>
    <cellStyle name="Normal 5 3 5 8 3" xfId="14151" xr:uid="{84A0409C-0A2B-411A-B216-91609B3976A3}"/>
    <cellStyle name="Normal 5 3 5 9" xfId="8853" xr:uid="{049FA2CE-003F-47C1-A264-645323886F35}"/>
    <cellStyle name="Normal 5 3 5 9 2" xfId="27476" xr:uid="{B4562DE6-D5D5-4DE5-809E-6F26F02C1B3C}"/>
    <cellStyle name="Normal 5 3 5 9 3" xfId="18177" xr:uid="{10869EEF-0DF0-4002-BBC0-A5DBC38707B7}"/>
    <cellStyle name="Normal 5 3 6" xfId="455" xr:uid="{00000000-0005-0000-0000-00008C1A0000}"/>
    <cellStyle name="Normal 5 3 6 10" xfId="9936" xr:uid="{0E0EE29F-B1AB-4119-ABA0-BBBAD69793FC}"/>
    <cellStyle name="Normal 5 3 6 2" xfId="929" xr:uid="{00000000-0005-0000-0000-00008D1A0000}"/>
    <cellStyle name="Normal 5 3 6 2 2" xfId="3163" xr:uid="{00000000-0005-0000-0000-00008E1A0000}"/>
    <cellStyle name="Normal 5 3 6 2 2 2" xfId="7385" xr:uid="{00000000-0005-0000-0000-00008F1A0000}"/>
    <cellStyle name="Normal 5 3 6 2 2 2 2" xfId="26010" xr:uid="{DE378756-2066-4D80-B1D5-78E6E9FA4310}"/>
    <cellStyle name="Normal 5 3 6 2 2 2 3" xfId="16711" xr:uid="{46983EDD-A628-4F85-9037-DACEA427B5E5}"/>
    <cellStyle name="Normal 5 3 6 2 2 3" xfId="21793" xr:uid="{685D3015-7048-4BB2-987A-52B1D25AFB17}"/>
    <cellStyle name="Normal 5 3 6 2 2 4" xfId="12494" xr:uid="{CD62DCFA-8253-438A-9B53-8DE63498B994}"/>
    <cellStyle name="Normal 5 3 6 2 3" xfId="5240" xr:uid="{00000000-0005-0000-0000-0000901A0000}"/>
    <cellStyle name="Normal 5 3 6 2 3 2" xfId="23865" xr:uid="{29BD88D7-4D94-4669-A1E2-A13C4C192174}"/>
    <cellStyle name="Normal 5 3 6 2 3 3" xfId="14566" xr:uid="{4CA44F5E-9D16-4F69-9B7A-289B6EEF4B12}"/>
    <cellStyle name="Normal 5 3 6 2 4" xfId="9394" xr:uid="{040FDD8C-10C9-4583-9A6E-8F76047ECA0C}"/>
    <cellStyle name="Normal 5 3 6 2 4 2" xfId="28008" xr:uid="{8E228585-2212-4FC7-8E0E-046F55451F4B}"/>
    <cellStyle name="Normal 5 3 6 2 4 3" xfId="18709" xr:uid="{60B1EAA3-C593-45BD-862F-F9F93A64D623}"/>
    <cellStyle name="Normal 5 3 6 2 5" xfId="19648" xr:uid="{5C844AC0-0F57-4630-AE0C-000BFE955806}"/>
    <cellStyle name="Normal 5 3 6 2 6" xfId="10349" xr:uid="{94FF891F-C10F-47E6-9D73-B4BF40B1FDA2}"/>
    <cellStyle name="Normal 5 3 6 3" xfId="1346" xr:uid="{00000000-0005-0000-0000-0000911A0000}"/>
    <cellStyle name="Normal 5 3 6 3 2" xfId="3576" xr:uid="{00000000-0005-0000-0000-0000921A0000}"/>
    <cellStyle name="Normal 5 3 6 3 2 2" xfId="7798" xr:uid="{00000000-0005-0000-0000-0000931A0000}"/>
    <cellStyle name="Normal 5 3 6 3 2 2 2" xfId="26423" xr:uid="{90CC1207-1D24-4BC6-8BBB-C75F3D7EC67D}"/>
    <cellStyle name="Normal 5 3 6 3 2 2 3" xfId="17124" xr:uid="{F2642897-4D29-467B-8CA7-3A91A999B6AE}"/>
    <cellStyle name="Normal 5 3 6 3 2 3" xfId="22206" xr:uid="{AFA9065C-ACBF-4FD8-ACAC-987F37C306BE}"/>
    <cellStyle name="Normal 5 3 6 3 2 4" xfId="12907" xr:uid="{7A344235-D6AF-4F28-91A4-B6FD56862ACE}"/>
    <cellStyle name="Normal 5 3 6 3 3" xfId="5653" xr:uid="{00000000-0005-0000-0000-0000941A0000}"/>
    <cellStyle name="Normal 5 3 6 3 3 2" xfId="24278" xr:uid="{00DCC58B-4306-45E7-86EE-8AB3B9066B55}"/>
    <cellStyle name="Normal 5 3 6 3 3 3" xfId="14979" xr:uid="{420CDA61-BB60-44BA-B95B-BFEF6223BA61}"/>
    <cellStyle name="Normal 5 3 6 3 4" xfId="20061" xr:uid="{65D5B440-83CA-4A06-B079-D304CED40808}"/>
    <cellStyle name="Normal 5 3 6 3 5" xfId="10762" xr:uid="{8800757E-DB49-47F4-968E-47B7AFC8A166}"/>
    <cellStyle name="Normal 5 3 6 4" xfId="1759" xr:uid="{00000000-0005-0000-0000-0000951A0000}"/>
    <cellStyle name="Normal 5 3 6 4 2" xfId="3989" xr:uid="{00000000-0005-0000-0000-0000961A0000}"/>
    <cellStyle name="Normal 5 3 6 4 2 2" xfId="8211" xr:uid="{00000000-0005-0000-0000-0000971A0000}"/>
    <cellStyle name="Normal 5 3 6 4 2 2 2" xfId="26836" xr:uid="{F22CDECE-0EEF-4262-AFF8-A39F086083F3}"/>
    <cellStyle name="Normal 5 3 6 4 2 2 3" xfId="17537" xr:uid="{C05F7921-DD7E-4B8D-B8BC-7099217E9423}"/>
    <cellStyle name="Normal 5 3 6 4 2 3" xfId="22619" xr:uid="{10338CE9-CC68-453A-B64F-44C9E4E515FF}"/>
    <cellStyle name="Normal 5 3 6 4 2 4" xfId="13320" xr:uid="{9CE20B54-3ECD-44D8-AA3F-12F9D078A745}"/>
    <cellStyle name="Normal 5 3 6 4 3" xfId="6066" xr:uid="{00000000-0005-0000-0000-0000981A0000}"/>
    <cellStyle name="Normal 5 3 6 4 3 2" xfId="24691" xr:uid="{F912715A-4065-403D-8B05-D18287B620F8}"/>
    <cellStyle name="Normal 5 3 6 4 3 3" xfId="15392" xr:uid="{0AB5CD88-ED56-4A2A-8046-FFD4201D3B53}"/>
    <cellStyle name="Normal 5 3 6 4 4" xfId="20474" xr:uid="{C2769542-EE0B-4CED-9DFC-47FD464EE7FF}"/>
    <cellStyle name="Normal 5 3 6 4 5" xfId="11175" xr:uid="{648F0133-3AC7-403D-8E6C-AAE9385A92CA}"/>
    <cellStyle name="Normal 5 3 6 5" xfId="2173" xr:uid="{00000000-0005-0000-0000-0000991A0000}"/>
    <cellStyle name="Normal 5 3 6 5 2" xfId="4402" xr:uid="{00000000-0005-0000-0000-00009A1A0000}"/>
    <cellStyle name="Normal 5 3 6 5 2 2" xfId="8624" xr:uid="{00000000-0005-0000-0000-00009B1A0000}"/>
    <cellStyle name="Normal 5 3 6 5 2 2 2" xfId="27249" xr:uid="{7741D102-B2A4-446A-9195-F56C4153A8A8}"/>
    <cellStyle name="Normal 5 3 6 5 2 2 3" xfId="17950" xr:uid="{A9109CCB-CA72-4A64-83DE-2D29A9C7F250}"/>
    <cellStyle name="Normal 5 3 6 5 2 3" xfId="23032" xr:uid="{C1C9A818-835B-412A-9A65-307C85E5E929}"/>
    <cellStyle name="Normal 5 3 6 5 2 4" xfId="13733" xr:uid="{C9B6FAFF-1E2A-4DC6-948B-9FA9E93DAA25}"/>
    <cellStyle name="Normal 5 3 6 5 3" xfId="6479" xr:uid="{00000000-0005-0000-0000-00009C1A0000}"/>
    <cellStyle name="Normal 5 3 6 5 3 2" xfId="25104" xr:uid="{DC3DCD38-09E3-4694-9BE6-11B65160D963}"/>
    <cellStyle name="Normal 5 3 6 5 3 3" xfId="15805" xr:uid="{1CDD2F82-FBE6-4F63-B44B-E6C2277039CF}"/>
    <cellStyle name="Normal 5 3 6 5 4" xfId="20887" xr:uid="{1E336234-8230-47DE-8156-33250FB6F756}"/>
    <cellStyle name="Normal 5 3 6 5 5" xfId="11588" xr:uid="{CB571A2F-F242-4BE7-B4D5-0835EB877976}"/>
    <cellStyle name="Normal 5 3 6 6" xfId="2609" xr:uid="{00000000-0005-0000-0000-00009D1A0000}"/>
    <cellStyle name="Normal 5 3 6 6 2" xfId="6892" xr:uid="{00000000-0005-0000-0000-00009E1A0000}"/>
    <cellStyle name="Normal 5 3 6 6 2 2" xfId="25517" xr:uid="{C7F844CA-732B-4E82-BD65-44E9F3D079D5}"/>
    <cellStyle name="Normal 5 3 6 6 2 3" xfId="16218" xr:uid="{504B1989-662B-4B6F-8ABA-29C0DE80C078}"/>
    <cellStyle name="Normal 5 3 6 6 3" xfId="21300" xr:uid="{490BB0C7-7C24-4B1B-B2CE-3EE900B4FE63}"/>
    <cellStyle name="Normal 5 3 6 6 4" xfId="12001" xr:uid="{CEACC2DF-3C43-4035-A4A2-F31586E6AC91}"/>
    <cellStyle name="Normal 5 3 6 7" xfId="4827" xr:uid="{00000000-0005-0000-0000-00009F1A0000}"/>
    <cellStyle name="Normal 5 3 6 7 2" xfId="23452" xr:uid="{F75037EA-0B55-40ED-8743-0E519A9FD1EA}"/>
    <cellStyle name="Normal 5 3 6 7 3" xfId="14153" xr:uid="{F9D8A41A-E585-4397-8EA4-06D5DEA600B4}"/>
    <cellStyle name="Normal 5 3 6 8" xfId="8969" xr:uid="{FA7ABEAF-BFEA-4D3E-A53B-E23F3117BFD8}"/>
    <cellStyle name="Normal 5 3 6 8 2" xfId="27592" xr:uid="{D8FF643D-CBF3-4F9D-BB5F-1FDCADE7CF65}"/>
    <cellStyle name="Normal 5 3 6 8 3" xfId="18293" xr:uid="{50598F6B-77C4-4C18-BD22-CF1E9C59FF84}"/>
    <cellStyle name="Normal 5 3 6 9" xfId="19235" xr:uid="{4CDE5E54-2E49-4BEE-85A0-37360F8A234E}"/>
    <cellStyle name="Normal 5 3 7" xfId="913" xr:uid="{00000000-0005-0000-0000-0000A01A0000}"/>
    <cellStyle name="Normal 5 3 7 2" xfId="3148" xr:uid="{00000000-0005-0000-0000-0000A11A0000}"/>
    <cellStyle name="Normal 5 3 7 2 2" xfId="7370" xr:uid="{00000000-0005-0000-0000-0000A21A0000}"/>
    <cellStyle name="Normal 5 3 7 2 2 2" xfId="25995" xr:uid="{B6822980-810D-42C3-A45E-D32A1F45FF96}"/>
    <cellStyle name="Normal 5 3 7 2 2 3" xfId="16696" xr:uid="{39815A00-1B6B-429D-99F6-164B6F796678}"/>
    <cellStyle name="Normal 5 3 7 2 3" xfId="21778" xr:uid="{E1612974-0F83-4DE9-BA5F-CDD111E7AEE7}"/>
    <cellStyle name="Normal 5 3 7 2 4" xfId="12479" xr:uid="{35458332-7EE1-4F38-BEBC-5055291B7006}"/>
    <cellStyle name="Normal 5 3 7 3" xfId="5225" xr:uid="{00000000-0005-0000-0000-0000A31A0000}"/>
    <cellStyle name="Normal 5 3 7 3 2" xfId="23850" xr:uid="{58D8F187-DB6F-44B9-982E-87F31227BDA2}"/>
    <cellStyle name="Normal 5 3 7 3 3" xfId="14551" xr:uid="{5650C491-147E-4DE9-BC37-4AFCC3887726}"/>
    <cellStyle name="Normal 5 3 7 4" xfId="9172" xr:uid="{5609ABAF-B913-41DD-9CCE-B28C6A880815}"/>
    <cellStyle name="Normal 5 3 7 4 2" xfId="27789" xr:uid="{75ADA5AF-AE6B-4D53-86CF-41852203E84C}"/>
    <cellStyle name="Normal 5 3 7 4 3" xfId="18490" xr:uid="{7B058BFF-FB5E-4BDD-A3BA-4CE6842E1B3C}"/>
    <cellStyle name="Normal 5 3 7 5" xfId="19633" xr:uid="{4FB0F23E-6459-4E09-9D67-7D6DC85FE89F}"/>
    <cellStyle name="Normal 5 3 7 6" xfId="10334" xr:uid="{F1468E48-F67A-4E9E-BB00-4FF662FA1050}"/>
    <cellStyle name="Normal 5 3 8" xfId="1331" xr:uid="{00000000-0005-0000-0000-0000A41A0000}"/>
    <cellStyle name="Normal 5 3 8 2" xfId="3561" xr:uid="{00000000-0005-0000-0000-0000A51A0000}"/>
    <cellStyle name="Normal 5 3 8 2 2" xfId="7783" xr:uid="{00000000-0005-0000-0000-0000A61A0000}"/>
    <cellStyle name="Normal 5 3 8 2 2 2" xfId="26408" xr:uid="{FC1CA789-49F3-4ED0-8413-AACB3FFA26A0}"/>
    <cellStyle name="Normal 5 3 8 2 2 3" xfId="17109" xr:uid="{656B23EC-F949-4FB3-9F43-F1C1E028F03E}"/>
    <cellStyle name="Normal 5 3 8 2 3" xfId="22191" xr:uid="{FC6AE5B5-BAA1-4662-9B66-42357084402C}"/>
    <cellStyle name="Normal 5 3 8 2 4" xfId="12892" xr:uid="{B474974E-C439-4B95-93D1-8B9F7590556A}"/>
    <cellStyle name="Normal 5 3 8 3" xfId="5638" xr:uid="{00000000-0005-0000-0000-0000A71A0000}"/>
    <cellStyle name="Normal 5 3 8 3 2" xfId="24263" xr:uid="{F94673D3-F72C-40A0-AD64-F30B456C2278}"/>
    <cellStyle name="Normal 5 3 8 3 3" xfId="14964" xr:uid="{10B49D10-42C8-4C60-9FEF-B69945101F7E}"/>
    <cellStyle name="Normal 5 3 8 4" xfId="20046" xr:uid="{13FADC90-BDB5-44F0-B145-148EC1B8C24B}"/>
    <cellStyle name="Normal 5 3 8 5" xfId="10747" xr:uid="{E4E104FF-BAA0-4038-9273-A0A6ABFFF6A7}"/>
    <cellStyle name="Normal 5 3 9" xfId="1744" xr:uid="{00000000-0005-0000-0000-0000A81A0000}"/>
    <cellStyle name="Normal 5 3 9 2" xfId="3974" xr:uid="{00000000-0005-0000-0000-0000A91A0000}"/>
    <cellStyle name="Normal 5 3 9 2 2" xfId="8196" xr:uid="{00000000-0005-0000-0000-0000AA1A0000}"/>
    <cellStyle name="Normal 5 3 9 2 2 2" xfId="26821" xr:uid="{54EF8AD4-2B46-4BBF-BC55-C8F359C53CD5}"/>
    <cellStyle name="Normal 5 3 9 2 2 3" xfId="17522" xr:uid="{44AA83E8-954E-4417-A4B8-35D421252875}"/>
    <cellStyle name="Normal 5 3 9 2 3" xfId="22604" xr:uid="{9DBDB71D-6FBF-426F-93A4-815E80D2A671}"/>
    <cellStyle name="Normal 5 3 9 2 4" xfId="13305" xr:uid="{E8C5285F-3CD4-448C-927F-47EEA7C4865C}"/>
    <cellStyle name="Normal 5 3 9 3" xfId="6051" xr:uid="{00000000-0005-0000-0000-0000AB1A0000}"/>
    <cellStyle name="Normal 5 3 9 3 2" xfId="24676" xr:uid="{83ADE2AD-A698-489A-8410-313E7D8495FF}"/>
    <cellStyle name="Normal 5 3 9 3 3" xfId="15377" xr:uid="{6457D91F-060A-4486-9955-83D69ABE2C43}"/>
    <cellStyle name="Normal 5 3 9 4" xfId="20459" xr:uid="{4D78E3C5-8E43-4F82-95EA-7971CF73E582}"/>
    <cellStyle name="Normal 5 3 9 5" xfId="11160" xr:uid="{7B923C1B-B567-41F1-BA62-B93BF64A3706}"/>
    <cellStyle name="Normal 5 4" xfId="456" xr:uid="{00000000-0005-0000-0000-0000AC1A0000}"/>
    <cellStyle name="Normal 5 4 10" xfId="4828" xr:uid="{00000000-0005-0000-0000-0000AD1A0000}"/>
    <cellStyle name="Normal 5 4 10 2" xfId="23453" xr:uid="{9A551E4D-5FC9-4015-B917-49689EA4A299}"/>
    <cellStyle name="Normal 5 4 10 3" xfId="14154" xr:uid="{EF80219F-2DD2-49B3-860A-419E7A427D74}"/>
    <cellStyle name="Normal 5 4 11" xfId="8773" xr:uid="{50472F80-32FD-428C-B078-8DE338D6CA16}"/>
    <cellStyle name="Normal 5 4 11 2" xfId="27396" xr:uid="{6CE4A8BD-B7BA-4EB6-8A1C-D80617471114}"/>
    <cellStyle name="Normal 5 4 11 3" xfId="18097" xr:uid="{7AE8BA52-2F92-4706-944F-EF86F4D96F86}"/>
    <cellStyle name="Normal 5 4 12" xfId="19236" xr:uid="{0436C7D3-7DD5-4B7B-A0BE-CAE850904299}"/>
    <cellStyle name="Normal 5 4 13" xfId="9937" xr:uid="{A2D75881-A81C-4FFA-9D17-5A10D6DD9FAB}"/>
    <cellStyle name="Normal 5 4 2" xfId="457" xr:uid="{00000000-0005-0000-0000-0000AE1A0000}"/>
    <cellStyle name="Normal 5 4 2 10" xfId="8833" xr:uid="{6EA55230-8E5B-4EF6-B83C-8DF4202F8C31}"/>
    <cellStyle name="Normal 5 4 2 10 2" xfId="27456" xr:uid="{740A6791-20BA-4ECD-BC7A-F37AF5488926}"/>
    <cellStyle name="Normal 5 4 2 10 3" xfId="18157" xr:uid="{F8C14349-3D68-4378-893A-F01765D5ABD2}"/>
    <cellStyle name="Normal 5 4 2 11" xfId="19237" xr:uid="{55A8A105-289D-43DB-956C-A94EFFDD69A5}"/>
    <cellStyle name="Normal 5 4 2 12" xfId="9938" xr:uid="{A652C734-0ECE-4CFC-B417-6CA34752CAD9}"/>
    <cellStyle name="Normal 5 4 2 2" xfId="458" xr:uid="{00000000-0005-0000-0000-0000AF1A0000}"/>
    <cellStyle name="Normal 5 4 2 2 10" xfId="19238" xr:uid="{3100226F-40A7-437B-B49C-B3DBDD93ED17}"/>
    <cellStyle name="Normal 5 4 2 2 11" xfId="9939" xr:uid="{B45ED227-A841-4389-AF0D-E2B19780946D}"/>
    <cellStyle name="Normal 5 4 2 2 2" xfId="459" xr:uid="{00000000-0005-0000-0000-0000B01A0000}"/>
    <cellStyle name="Normal 5 4 2 2 2 10" xfId="9940" xr:uid="{2D371466-3505-46F3-B920-3F31CDCA6946}"/>
    <cellStyle name="Normal 5 4 2 2 2 2" xfId="933" xr:uid="{00000000-0005-0000-0000-0000B11A0000}"/>
    <cellStyle name="Normal 5 4 2 2 2 2 2" xfId="3167" xr:uid="{00000000-0005-0000-0000-0000B21A0000}"/>
    <cellStyle name="Normal 5 4 2 2 2 2 2 2" xfId="7389" xr:uid="{00000000-0005-0000-0000-0000B31A0000}"/>
    <cellStyle name="Normal 5 4 2 2 2 2 2 2 2" xfId="26014" xr:uid="{4FCC931E-29ED-48DE-B9B0-AFADCD8267E6}"/>
    <cellStyle name="Normal 5 4 2 2 2 2 2 2 3" xfId="16715" xr:uid="{93B99686-0130-4308-BC7A-DA79E89FC7A9}"/>
    <cellStyle name="Normal 5 4 2 2 2 2 2 3" xfId="21797" xr:uid="{38B8AB1E-3AD6-49D9-9072-2472FD0B237A}"/>
    <cellStyle name="Normal 5 4 2 2 2 2 2 4" xfId="12498" xr:uid="{69021C76-AD57-4670-96B7-17A64CE55EEE}"/>
    <cellStyle name="Normal 5 4 2 2 2 2 3" xfId="5244" xr:uid="{00000000-0005-0000-0000-0000B41A0000}"/>
    <cellStyle name="Normal 5 4 2 2 2 2 3 2" xfId="23869" xr:uid="{DD630CAD-FC4A-4F49-AE70-0E4CF51F5E42}"/>
    <cellStyle name="Normal 5 4 2 2 2 2 3 3" xfId="14570" xr:uid="{5141D5C6-D66E-43F4-BCF4-6062B16BF5DD}"/>
    <cellStyle name="Normal 5 4 2 2 2 2 4" xfId="9568" xr:uid="{C9922021-D284-4633-BD4E-F2DB1197482A}"/>
    <cellStyle name="Normal 5 4 2 2 2 2 4 2" xfId="28182" xr:uid="{65DF1BFE-B82E-4F39-8038-035519065549}"/>
    <cellStyle name="Normal 5 4 2 2 2 2 4 3" xfId="18883" xr:uid="{F445E680-156A-4738-AA11-45456D5DA01C}"/>
    <cellStyle name="Normal 5 4 2 2 2 2 5" xfId="19652" xr:uid="{5A567746-11E8-4AC5-BC1C-22EC423DE526}"/>
    <cellStyle name="Normal 5 4 2 2 2 2 6" xfId="10353" xr:uid="{B12F4894-E3C5-491A-9E4F-FA09C226201B}"/>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2 2 2" xfId="26427" xr:uid="{AFD06ABB-9D21-4815-8A4E-AE501D6C4DA2}"/>
    <cellStyle name="Normal 5 4 2 2 2 3 2 2 3" xfId="17128" xr:uid="{5259D5AB-1106-4F9F-9416-DFA8B2FD64C4}"/>
    <cellStyle name="Normal 5 4 2 2 2 3 2 3" xfId="22210" xr:uid="{430D85FC-B487-4B99-A4CD-698B1F7F9F39}"/>
    <cellStyle name="Normal 5 4 2 2 2 3 2 4" xfId="12911" xr:uid="{4C348975-8C17-43B6-92DB-9DE7C081E05F}"/>
    <cellStyle name="Normal 5 4 2 2 2 3 3" xfId="5657" xr:uid="{00000000-0005-0000-0000-0000B81A0000}"/>
    <cellStyle name="Normal 5 4 2 2 2 3 3 2" xfId="24282" xr:uid="{0EF8BDA3-A5C6-4963-8664-7FD5FEDB710E}"/>
    <cellStyle name="Normal 5 4 2 2 2 3 3 3" xfId="14983" xr:uid="{BF11AE08-5057-44C1-8BA2-42723E16C14E}"/>
    <cellStyle name="Normal 5 4 2 2 2 3 4" xfId="20065" xr:uid="{6734CF32-FCF3-4077-9BD4-C19D9F6678C4}"/>
    <cellStyle name="Normal 5 4 2 2 2 3 5" xfId="10766" xr:uid="{E8CB19A2-742E-4ECA-A10C-2B5FB0AE99F6}"/>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2 2 2" xfId="26840" xr:uid="{D7533575-30B0-40B8-BF24-766E962B8AE9}"/>
    <cellStyle name="Normal 5 4 2 2 2 4 2 2 3" xfId="17541" xr:uid="{8F9B6B36-76A0-4943-9D05-733669944492}"/>
    <cellStyle name="Normal 5 4 2 2 2 4 2 3" xfId="22623" xr:uid="{C8B88FAE-3467-4934-AC15-BAC5DD837AF1}"/>
    <cellStyle name="Normal 5 4 2 2 2 4 2 4" xfId="13324" xr:uid="{55466B49-1552-4FE7-9E78-F7F2755763E3}"/>
    <cellStyle name="Normal 5 4 2 2 2 4 3" xfId="6070" xr:uid="{00000000-0005-0000-0000-0000BC1A0000}"/>
    <cellStyle name="Normal 5 4 2 2 2 4 3 2" xfId="24695" xr:uid="{2CB9DEB9-DE6E-465B-B11E-80A11B9C0784}"/>
    <cellStyle name="Normal 5 4 2 2 2 4 3 3" xfId="15396" xr:uid="{2F8A3656-37A2-48F6-AA80-840A73BC9DA4}"/>
    <cellStyle name="Normal 5 4 2 2 2 4 4" xfId="20478" xr:uid="{32883D8D-9B7B-4D82-AA3F-0175383949FF}"/>
    <cellStyle name="Normal 5 4 2 2 2 4 5" xfId="11179" xr:uid="{1320792A-31EF-4BE0-827D-D781BB372D08}"/>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2 2 2" xfId="27253" xr:uid="{5C718160-1679-4A64-AE33-E74F5F911728}"/>
    <cellStyle name="Normal 5 4 2 2 2 5 2 2 3" xfId="17954" xr:uid="{77EBF778-2272-4B07-9462-746DC822AF8A}"/>
    <cellStyle name="Normal 5 4 2 2 2 5 2 3" xfId="23036" xr:uid="{C685571C-117F-48A0-9D98-999275160035}"/>
    <cellStyle name="Normal 5 4 2 2 2 5 2 4" xfId="13737" xr:uid="{ECE3DD0B-7E95-4387-8ADC-C0EF09754A0B}"/>
    <cellStyle name="Normal 5 4 2 2 2 5 3" xfId="6483" xr:uid="{00000000-0005-0000-0000-0000C01A0000}"/>
    <cellStyle name="Normal 5 4 2 2 2 5 3 2" xfId="25108" xr:uid="{08E3697C-8E0C-4AF0-8313-E8EF18B1BBF8}"/>
    <cellStyle name="Normal 5 4 2 2 2 5 3 3" xfId="15809" xr:uid="{D13EA60D-49E2-4041-86A1-150C2AA1FFBE}"/>
    <cellStyle name="Normal 5 4 2 2 2 5 4" xfId="20891" xr:uid="{2E5639E9-6B00-4618-A7D2-7F7FB3F522CD}"/>
    <cellStyle name="Normal 5 4 2 2 2 5 5" xfId="11592" xr:uid="{35A453D1-6C9D-4F96-A762-94C0A6E97EB6}"/>
    <cellStyle name="Normal 5 4 2 2 2 6" xfId="2613" xr:uid="{00000000-0005-0000-0000-0000C11A0000}"/>
    <cellStyle name="Normal 5 4 2 2 2 6 2" xfId="6896" xr:uid="{00000000-0005-0000-0000-0000C21A0000}"/>
    <cellStyle name="Normal 5 4 2 2 2 6 2 2" xfId="25521" xr:uid="{49394966-96FE-4F97-A27E-1037E7282D04}"/>
    <cellStyle name="Normal 5 4 2 2 2 6 2 3" xfId="16222" xr:uid="{42098ACA-03F8-4B0B-9BB3-5F61ADB9AF7E}"/>
    <cellStyle name="Normal 5 4 2 2 2 6 3" xfId="21304" xr:uid="{F33B6847-7AF9-49AE-AFAF-A1FEA79593A7}"/>
    <cellStyle name="Normal 5 4 2 2 2 6 4" xfId="12005" xr:uid="{435D2FAB-4A98-4C0C-9705-399369C8E836}"/>
    <cellStyle name="Normal 5 4 2 2 2 7" xfId="4831" xr:uid="{00000000-0005-0000-0000-0000C31A0000}"/>
    <cellStyle name="Normal 5 4 2 2 2 7 2" xfId="23456" xr:uid="{F7AA9DBD-75F2-43C7-907E-3D555B7A4397}"/>
    <cellStyle name="Normal 5 4 2 2 2 7 3" xfId="14157" xr:uid="{7168A09D-8065-4135-862B-35A6243BB277}"/>
    <cellStyle name="Normal 5 4 2 2 2 8" xfId="9143" xr:uid="{C8F15FA9-FDFE-4358-95A8-17B14299B14C}"/>
    <cellStyle name="Normal 5 4 2 2 2 8 2" xfId="27766" xr:uid="{D4EE8D62-66D4-4F9C-89CF-44DD75CE8163}"/>
    <cellStyle name="Normal 5 4 2 2 2 8 3" xfId="18467" xr:uid="{D428F4B2-9995-4ABF-B64C-1D0627A95D78}"/>
    <cellStyle name="Normal 5 4 2 2 2 9" xfId="19239" xr:uid="{65961642-CC65-4CAC-B63E-49ACD7419C50}"/>
    <cellStyle name="Normal 5 4 2 2 3" xfId="932" xr:uid="{00000000-0005-0000-0000-0000C41A0000}"/>
    <cellStyle name="Normal 5 4 2 2 3 2" xfId="3166" xr:uid="{00000000-0005-0000-0000-0000C51A0000}"/>
    <cellStyle name="Normal 5 4 2 2 3 2 2" xfId="7388" xr:uid="{00000000-0005-0000-0000-0000C61A0000}"/>
    <cellStyle name="Normal 5 4 2 2 3 2 2 2" xfId="26013" xr:uid="{D5237010-3490-43C9-87FA-867A2EE5703B}"/>
    <cellStyle name="Normal 5 4 2 2 3 2 2 3" xfId="16714" xr:uid="{600A3F10-3707-448F-9C41-EAD5931C3E3B}"/>
    <cellStyle name="Normal 5 4 2 2 3 2 3" xfId="21796" xr:uid="{9F94376A-9984-4DC9-88AF-0E65B66A1A4C}"/>
    <cellStyle name="Normal 5 4 2 2 3 2 4" xfId="12497" xr:uid="{D1AE1648-52B2-4959-859D-BF8EAC876115}"/>
    <cellStyle name="Normal 5 4 2 2 3 3" xfId="5243" xr:uid="{00000000-0005-0000-0000-0000C71A0000}"/>
    <cellStyle name="Normal 5 4 2 2 3 3 2" xfId="23868" xr:uid="{E579EC8A-5ECD-4B6A-AA84-1799C9BC2DC3}"/>
    <cellStyle name="Normal 5 4 2 2 3 3 3" xfId="14569" xr:uid="{52B88B23-6A51-4ED2-8F40-313A3D21D5C0}"/>
    <cellStyle name="Normal 5 4 2 2 3 4" xfId="9361" xr:uid="{421F0FC8-8E8F-498F-BD31-B00CB58D5B43}"/>
    <cellStyle name="Normal 5 4 2 2 3 4 2" xfId="27975" xr:uid="{CBCD3FB2-B34E-4005-8A0F-A05B6DEF0122}"/>
    <cellStyle name="Normal 5 4 2 2 3 4 3" xfId="18676" xr:uid="{F6CAEC68-D032-4091-9498-0DD6768CFCEA}"/>
    <cellStyle name="Normal 5 4 2 2 3 5" xfId="19651" xr:uid="{48E9EDC8-C461-41CB-8954-C4AAEC6281BE}"/>
    <cellStyle name="Normal 5 4 2 2 3 6" xfId="10352" xr:uid="{1DD1B28A-74CA-48CB-8F07-71560F4E931D}"/>
    <cellStyle name="Normal 5 4 2 2 4" xfId="1349" xr:uid="{00000000-0005-0000-0000-0000C81A0000}"/>
    <cellStyle name="Normal 5 4 2 2 4 2" xfId="3579" xr:uid="{00000000-0005-0000-0000-0000C91A0000}"/>
    <cellStyle name="Normal 5 4 2 2 4 2 2" xfId="7801" xr:uid="{00000000-0005-0000-0000-0000CA1A0000}"/>
    <cellStyle name="Normal 5 4 2 2 4 2 2 2" xfId="26426" xr:uid="{67382437-331A-4523-8B78-6BCF6B4E8682}"/>
    <cellStyle name="Normal 5 4 2 2 4 2 2 3" xfId="17127" xr:uid="{F211AD30-D983-473A-8D1C-A61C8444720F}"/>
    <cellStyle name="Normal 5 4 2 2 4 2 3" xfId="22209" xr:uid="{B83B39E2-F809-476D-9D50-51E527DEAF0E}"/>
    <cellStyle name="Normal 5 4 2 2 4 2 4" xfId="12910" xr:uid="{2AE6C084-54B0-4AD5-8F86-D1703EDF7AC0}"/>
    <cellStyle name="Normal 5 4 2 2 4 3" xfId="5656" xr:uid="{00000000-0005-0000-0000-0000CB1A0000}"/>
    <cellStyle name="Normal 5 4 2 2 4 3 2" xfId="24281" xr:uid="{46DBE8B9-6FFC-4552-9927-1F202D123558}"/>
    <cellStyle name="Normal 5 4 2 2 4 3 3" xfId="14982" xr:uid="{E2241D3C-62FE-442B-8A54-864D420710C6}"/>
    <cellStyle name="Normal 5 4 2 2 4 4" xfId="20064" xr:uid="{48308249-F826-46D4-90AD-3C360B9A23BB}"/>
    <cellStyle name="Normal 5 4 2 2 4 5" xfId="10765" xr:uid="{5A8D88AB-6BD5-4FB8-ABC6-FC95D4D4A564}"/>
    <cellStyle name="Normal 5 4 2 2 5" xfId="1762" xr:uid="{00000000-0005-0000-0000-0000CC1A0000}"/>
    <cellStyle name="Normal 5 4 2 2 5 2" xfId="3992" xr:uid="{00000000-0005-0000-0000-0000CD1A0000}"/>
    <cellStyle name="Normal 5 4 2 2 5 2 2" xfId="8214" xr:uid="{00000000-0005-0000-0000-0000CE1A0000}"/>
    <cellStyle name="Normal 5 4 2 2 5 2 2 2" xfId="26839" xr:uid="{3DBB56E0-1062-496F-A946-D2AC453CEB69}"/>
    <cellStyle name="Normal 5 4 2 2 5 2 2 3" xfId="17540" xr:uid="{D863498E-B31B-41C6-B58F-78CD243C97E1}"/>
    <cellStyle name="Normal 5 4 2 2 5 2 3" xfId="22622" xr:uid="{5D0BFD19-D838-4630-A42F-CE5CD7CD29AD}"/>
    <cellStyle name="Normal 5 4 2 2 5 2 4" xfId="13323" xr:uid="{87203361-D636-46AE-B581-5AA087903192}"/>
    <cellStyle name="Normal 5 4 2 2 5 3" xfId="6069" xr:uid="{00000000-0005-0000-0000-0000CF1A0000}"/>
    <cellStyle name="Normal 5 4 2 2 5 3 2" xfId="24694" xr:uid="{87F7B25C-764C-4DC5-87CD-CE9571F4E988}"/>
    <cellStyle name="Normal 5 4 2 2 5 3 3" xfId="15395" xr:uid="{D6EBEAE7-E52E-4C52-94E6-DC9DE0D83E54}"/>
    <cellStyle name="Normal 5 4 2 2 5 4" xfId="20477" xr:uid="{BFDACF3F-7321-4BBE-9A76-AA708464DBF1}"/>
    <cellStyle name="Normal 5 4 2 2 5 5" xfId="11178" xr:uid="{ED229974-B4EE-4253-AC8B-CEFC1B056130}"/>
    <cellStyle name="Normal 5 4 2 2 6" xfId="2176" xr:uid="{00000000-0005-0000-0000-0000D01A0000}"/>
    <cellStyle name="Normal 5 4 2 2 6 2" xfId="4405" xr:uid="{00000000-0005-0000-0000-0000D11A0000}"/>
    <cellStyle name="Normal 5 4 2 2 6 2 2" xfId="8627" xr:uid="{00000000-0005-0000-0000-0000D21A0000}"/>
    <cellStyle name="Normal 5 4 2 2 6 2 2 2" xfId="27252" xr:uid="{239A8BC7-09A2-4991-966F-D510432E63B0}"/>
    <cellStyle name="Normal 5 4 2 2 6 2 2 3" xfId="17953" xr:uid="{69DEE46D-9C38-42FE-8B1B-F4CACDA6655E}"/>
    <cellStyle name="Normal 5 4 2 2 6 2 3" xfId="23035" xr:uid="{C13A6D3C-D706-4043-ABCA-6614C587D35F}"/>
    <cellStyle name="Normal 5 4 2 2 6 2 4" xfId="13736" xr:uid="{72822374-EE5B-4CF8-B623-EA71AD3DE71E}"/>
    <cellStyle name="Normal 5 4 2 2 6 3" xfId="6482" xr:uid="{00000000-0005-0000-0000-0000D31A0000}"/>
    <cellStyle name="Normal 5 4 2 2 6 3 2" xfId="25107" xr:uid="{FB013882-1600-40CD-883E-49460A09392A}"/>
    <cellStyle name="Normal 5 4 2 2 6 3 3" xfId="15808" xr:uid="{64A9E7CD-E0D7-49FC-BC4D-70997A77E91D}"/>
    <cellStyle name="Normal 5 4 2 2 6 4" xfId="20890" xr:uid="{A1CCB43B-EE89-477B-B4A8-B41C1B89E518}"/>
    <cellStyle name="Normal 5 4 2 2 6 5" xfId="11591" xr:uid="{D8B722C1-ADE3-470B-A843-5ADB88BC2BD1}"/>
    <cellStyle name="Normal 5 4 2 2 7" xfId="2612" xr:uid="{00000000-0005-0000-0000-0000D41A0000}"/>
    <cellStyle name="Normal 5 4 2 2 7 2" xfId="6895" xr:uid="{00000000-0005-0000-0000-0000D51A0000}"/>
    <cellStyle name="Normal 5 4 2 2 7 2 2" xfId="25520" xr:uid="{8C6747A9-3D81-4C9A-8369-12DB4BBF3B61}"/>
    <cellStyle name="Normal 5 4 2 2 7 2 3" xfId="16221" xr:uid="{E8427589-5655-4271-9511-46662799C39D}"/>
    <cellStyle name="Normal 5 4 2 2 7 3" xfId="21303" xr:uid="{4323CB9D-33BC-4BCB-9654-BF16912FCC9B}"/>
    <cellStyle name="Normal 5 4 2 2 7 4" xfId="12004" xr:uid="{22D39EF5-225D-485E-B289-14FDF7898E84}"/>
    <cellStyle name="Normal 5 4 2 2 8" xfId="4830" xr:uid="{00000000-0005-0000-0000-0000D61A0000}"/>
    <cellStyle name="Normal 5 4 2 2 8 2" xfId="23455" xr:uid="{E78A74AF-86FF-4DA4-959A-2BF6C4134F24}"/>
    <cellStyle name="Normal 5 4 2 2 8 3" xfId="14156" xr:uid="{5F2E5F21-B444-4FB5-88F7-61831CA17F47}"/>
    <cellStyle name="Normal 5 4 2 2 9" xfId="8936" xr:uid="{31CF7A09-919D-40D2-B5FD-098CEA44D314}"/>
    <cellStyle name="Normal 5 4 2 2 9 2" xfId="27559" xr:uid="{17421535-1D8C-494B-B32B-86509EF02174}"/>
    <cellStyle name="Normal 5 4 2 2 9 3" xfId="18260" xr:uid="{6AAA668F-4001-4255-8DE2-925AE2458E6E}"/>
    <cellStyle name="Normal 5 4 2 3" xfId="460" xr:uid="{00000000-0005-0000-0000-0000D71A0000}"/>
    <cellStyle name="Normal 5 4 2 3 10" xfId="9941" xr:uid="{C125F076-0084-46B0-B0F1-214493041D02}"/>
    <cellStyle name="Normal 5 4 2 3 2" xfId="934" xr:uid="{00000000-0005-0000-0000-0000D81A0000}"/>
    <cellStyle name="Normal 5 4 2 3 2 2" xfId="3168" xr:uid="{00000000-0005-0000-0000-0000D91A0000}"/>
    <cellStyle name="Normal 5 4 2 3 2 2 2" xfId="7390" xr:uid="{00000000-0005-0000-0000-0000DA1A0000}"/>
    <cellStyle name="Normal 5 4 2 3 2 2 2 2" xfId="26015" xr:uid="{E8175153-0E29-4415-B27A-53748584A1DF}"/>
    <cellStyle name="Normal 5 4 2 3 2 2 2 3" xfId="16716" xr:uid="{837DD292-20FE-4B03-A7F4-57E2FF051BAC}"/>
    <cellStyle name="Normal 5 4 2 3 2 2 3" xfId="21798" xr:uid="{C36B15C3-D072-4EC4-9537-BC21DC74F931}"/>
    <cellStyle name="Normal 5 4 2 3 2 2 4" xfId="12499" xr:uid="{1DEA5F3F-88B3-4B28-80FE-B079234A23EC}"/>
    <cellStyle name="Normal 5 4 2 3 2 3" xfId="5245" xr:uid="{00000000-0005-0000-0000-0000DB1A0000}"/>
    <cellStyle name="Normal 5 4 2 3 2 3 2" xfId="23870" xr:uid="{B8F88794-33B9-4BF9-A5D8-292067EAA0E6}"/>
    <cellStyle name="Normal 5 4 2 3 2 3 3" xfId="14571" xr:uid="{BB0AAC1B-CF88-413C-A678-C0656B22CF7E}"/>
    <cellStyle name="Normal 5 4 2 3 2 4" xfId="9465" xr:uid="{B8459C73-266B-467B-A163-FFDFF015A460}"/>
    <cellStyle name="Normal 5 4 2 3 2 4 2" xfId="28079" xr:uid="{829350E4-81B6-49BB-87B2-117CE411D19D}"/>
    <cellStyle name="Normal 5 4 2 3 2 4 3" xfId="18780" xr:uid="{98D0CAA5-079F-4923-97B1-30CE3199806E}"/>
    <cellStyle name="Normal 5 4 2 3 2 5" xfId="19653" xr:uid="{F28BFB67-1D08-45BB-9C44-C8D2D46F4E66}"/>
    <cellStyle name="Normal 5 4 2 3 2 6" xfId="10354" xr:uid="{C67057E8-DCE3-47AA-8FD3-EDF503DE0AF3}"/>
    <cellStyle name="Normal 5 4 2 3 3" xfId="1351" xr:uid="{00000000-0005-0000-0000-0000DC1A0000}"/>
    <cellStyle name="Normal 5 4 2 3 3 2" xfId="3581" xr:uid="{00000000-0005-0000-0000-0000DD1A0000}"/>
    <cellStyle name="Normal 5 4 2 3 3 2 2" xfId="7803" xr:uid="{00000000-0005-0000-0000-0000DE1A0000}"/>
    <cellStyle name="Normal 5 4 2 3 3 2 2 2" xfId="26428" xr:uid="{6D67CEFE-AB8D-4B7A-97D3-A060E702DA9E}"/>
    <cellStyle name="Normal 5 4 2 3 3 2 2 3" xfId="17129" xr:uid="{E5AF0A01-1F64-47D8-A33A-0DC83F7F39E6}"/>
    <cellStyle name="Normal 5 4 2 3 3 2 3" xfId="22211" xr:uid="{D145459A-0C90-49F9-AA2B-E8EE17526138}"/>
    <cellStyle name="Normal 5 4 2 3 3 2 4" xfId="12912" xr:uid="{541C8F7C-204B-487D-B2FF-4355A6C6D90D}"/>
    <cellStyle name="Normal 5 4 2 3 3 3" xfId="5658" xr:uid="{00000000-0005-0000-0000-0000DF1A0000}"/>
    <cellStyle name="Normal 5 4 2 3 3 3 2" xfId="24283" xr:uid="{908FDBF3-7AA0-44F5-BCAB-F92C9255B9C9}"/>
    <cellStyle name="Normal 5 4 2 3 3 3 3" xfId="14984" xr:uid="{77C5BEB3-DF2D-4885-8F38-BCC4EECF08FB}"/>
    <cellStyle name="Normal 5 4 2 3 3 4" xfId="20066" xr:uid="{9FE9F0DC-2C38-4F1E-82CC-7701D6F47F40}"/>
    <cellStyle name="Normal 5 4 2 3 3 5" xfId="10767" xr:uid="{247F57A7-536E-4EE7-BDFC-9EE8087E2000}"/>
    <cellStyle name="Normal 5 4 2 3 4" xfId="1764" xr:uid="{00000000-0005-0000-0000-0000E01A0000}"/>
    <cellStyle name="Normal 5 4 2 3 4 2" xfId="3994" xr:uid="{00000000-0005-0000-0000-0000E11A0000}"/>
    <cellStyle name="Normal 5 4 2 3 4 2 2" xfId="8216" xr:uid="{00000000-0005-0000-0000-0000E21A0000}"/>
    <cellStyle name="Normal 5 4 2 3 4 2 2 2" xfId="26841" xr:uid="{3C4EA922-2021-48AA-836E-D3A4AE9B013D}"/>
    <cellStyle name="Normal 5 4 2 3 4 2 2 3" xfId="17542" xr:uid="{E21CC678-BFC3-42D2-A107-0950F8010A56}"/>
    <cellStyle name="Normal 5 4 2 3 4 2 3" xfId="22624" xr:uid="{9D131EC8-6BAF-4980-B9A9-BFC35A329BDA}"/>
    <cellStyle name="Normal 5 4 2 3 4 2 4" xfId="13325" xr:uid="{D0379F2E-5E5F-45C1-9DF2-0546A4C8A77C}"/>
    <cellStyle name="Normal 5 4 2 3 4 3" xfId="6071" xr:uid="{00000000-0005-0000-0000-0000E31A0000}"/>
    <cellStyle name="Normal 5 4 2 3 4 3 2" xfId="24696" xr:uid="{378556DF-293B-45EA-9E3A-5DAE84618F98}"/>
    <cellStyle name="Normal 5 4 2 3 4 3 3" xfId="15397" xr:uid="{6C6B5608-7AA8-4604-B07D-99116A927B88}"/>
    <cellStyle name="Normal 5 4 2 3 4 4" xfId="20479" xr:uid="{11F6753E-DC56-48A7-8040-7BA4E2ADE86F}"/>
    <cellStyle name="Normal 5 4 2 3 4 5" xfId="11180" xr:uid="{48B762B3-208A-444E-9724-7C08E291FD3F}"/>
    <cellStyle name="Normal 5 4 2 3 5" xfId="2178" xr:uid="{00000000-0005-0000-0000-0000E41A0000}"/>
    <cellStyle name="Normal 5 4 2 3 5 2" xfId="4407" xr:uid="{00000000-0005-0000-0000-0000E51A0000}"/>
    <cellStyle name="Normal 5 4 2 3 5 2 2" xfId="8629" xr:uid="{00000000-0005-0000-0000-0000E61A0000}"/>
    <cellStyle name="Normal 5 4 2 3 5 2 2 2" xfId="27254" xr:uid="{64265300-6F38-40BF-A3A4-CFDC1B97D1D5}"/>
    <cellStyle name="Normal 5 4 2 3 5 2 2 3" xfId="17955" xr:uid="{3E375E28-BC04-4011-BAA4-AEA4BBB0DAFA}"/>
    <cellStyle name="Normal 5 4 2 3 5 2 3" xfId="23037" xr:uid="{7AF13CD5-A6FD-4747-A37E-1C5EF51DFB86}"/>
    <cellStyle name="Normal 5 4 2 3 5 2 4" xfId="13738" xr:uid="{363B8206-18AE-4776-93A0-69BEFA1C54AC}"/>
    <cellStyle name="Normal 5 4 2 3 5 3" xfId="6484" xr:uid="{00000000-0005-0000-0000-0000E71A0000}"/>
    <cellStyle name="Normal 5 4 2 3 5 3 2" xfId="25109" xr:uid="{1BB2F783-1350-4573-8AB2-01BBA95A3E76}"/>
    <cellStyle name="Normal 5 4 2 3 5 3 3" xfId="15810" xr:uid="{9605D977-5547-4BBF-95A6-F99B5212C9DD}"/>
    <cellStyle name="Normal 5 4 2 3 5 4" xfId="20892" xr:uid="{EBD310AF-9811-453D-83D2-1021B84B786A}"/>
    <cellStyle name="Normal 5 4 2 3 5 5" xfId="11593" xr:uid="{FA063C9D-DAC2-488B-92B8-CF3DD105EE5A}"/>
    <cellStyle name="Normal 5 4 2 3 6" xfId="2614" xr:uid="{00000000-0005-0000-0000-0000E81A0000}"/>
    <cellStyle name="Normal 5 4 2 3 6 2" xfId="6897" xr:uid="{00000000-0005-0000-0000-0000E91A0000}"/>
    <cellStyle name="Normal 5 4 2 3 6 2 2" xfId="25522" xr:uid="{DE0A9166-B134-4213-BBE4-030B5E9A0586}"/>
    <cellStyle name="Normal 5 4 2 3 6 2 3" xfId="16223" xr:uid="{A7AE262A-478B-453A-A4CD-58ADE384EF99}"/>
    <cellStyle name="Normal 5 4 2 3 6 3" xfId="21305" xr:uid="{96C66809-2D11-4DF7-8E5C-9437A618AEA7}"/>
    <cellStyle name="Normal 5 4 2 3 6 4" xfId="12006" xr:uid="{AED8518C-1CEF-4521-9C35-E3A68862CBF9}"/>
    <cellStyle name="Normal 5 4 2 3 7" xfId="4832" xr:uid="{00000000-0005-0000-0000-0000EA1A0000}"/>
    <cellStyle name="Normal 5 4 2 3 7 2" xfId="23457" xr:uid="{183D91EF-CD72-4F2B-B881-A2E16606B3F4}"/>
    <cellStyle name="Normal 5 4 2 3 7 3" xfId="14158" xr:uid="{12165CF3-3ACF-412E-8040-A2E2E2A3DE08}"/>
    <cellStyle name="Normal 5 4 2 3 8" xfId="9040" xr:uid="{D68CAB17-BB41-4D9B-AA76-76FE511392DC}"/>
    <cellStyle name="Normal 5 4 2 3 8 2" xfId="27663" xr:uid="{E5669C59-9FC7-4BB2-ADC0-15885C825362}"/>
    <cellStyle name="Normal 5 4 2 3 8 3" xfId="18364" xr:uid="{B713C3FC-B207-4FA8-A1B2-625F12F5FB09}"/>
    <cellStyle name="Normal 5 4 2 3 9" xfId="19240" xr:uid="{E3A3424D-468C-4B6F-88EA-EAF8FD714F1B}"/>
    <cellStyle name="Normal 5 4 2 4" xfId="931" xr:uid="{00000000-0005-0000-0000-0000EB1A0000}"/>
    <cellStyle name="Normal 5 4 2 4 2" xfId="3165" xr:uid="{00000000-0005-0000-0000-0000EC1A0000}"/>
    <cellStyle name="Normal 5 4 2 4 2 2" xfId="7387" xr:uid="{00000000-0005-0000-0000-0000ED1A0000}"/>
    <cellStyle name="Normal 5 4 2 4 2 2 2" xfId="26012" xr:uid="{BC2862C7-CFD1-460D-A57C-1894095E9360}"/>
    <cellStyle name="Normal 5 4 2 4 2 2 3" xfId="16713" xr:uid="{0456037D-5787-4C23-9F2B-F3E3FFBB3AF7}"/>
    <cellStyle name="Normal 5 4 2 4 2 3" xfId="21795" xr:uid="{03A58E4C-7FDD-4932-A977-D150A72B7E4C}"/>
    <cellStyle name="Normal 5 4 2 4 2 4" xfId="12496" xr:uid="{B3323112-8F75-452C-BFB8-3C6B0FD5655E}"/>
    <cellStyle name="Normal 5 4 2 4 3" xfId="5242" xr:uid="{00000000-0005-0000-0000-0000EE1A0000}"/>
    <cellStyle name="Normal 5 4 2 4 3 2" xfId="23867" xr:uid="{9C8875CD-620B-4365-843A-6E20E3875BA8}"/>
    <cellStyle name="Normal 5 4 2 4 3 3" xfId="14568" xr:uid="{C6327793-8DDF-4ED6-AFB9-2A6490DBFB56}"/>
    <cellStyle name="Normal 5 4 2 4 4" xfId="9258" xr:uid="{971C48A9-8200-405B-A9BE-B3AFD2CDDA76}"/>
    <cellStyle name="Normal 5 4 2 4 4 2" xfId="27872" xr:uid="{7B5B6D6B-25E4-40A4-BDBD-A1E9B548B10C}"/>
    <cellStyle name="Normal 5 4 2 4 4 3" xfId="18573" xr:uid="{DE389C5B-A26E-418D-9B52-B47CCC75F4C3}"/>
    <cellStyle name="Normal 5 4 2 4 5" xfId="19650" xr:uid="{7CBEF6D3-BEF8-4FDA-B230-D7884C58FD18}"/>
    <cellStyle name="Normal 5 4 2 4 6" xfId="10351" xr:uid="{C33BB5B5-72CE-4B64-AB04-C51D48DF2F9E}"/>
    <cellStyle name="Normal 5 4 2 5" xfId="1348" xr:uid="{00000000-0005-0000-0000-0000EF1A0000}"/>
    <cellStyle name="Normal 5 4 2 5 2" xfId="3578" xr:uid="{00000000-0005-0000-0000-0000F01A0000}"/>
    <cellStyle name="Normal 5 4 2 5 2 2" xfId="7800" xr:uid="{00000000-0005-0000-0000-0000F11A0000}"/>
    <cellStyle name="Normal 5 4 2 5 2 2 2" xfId="26425" xr:uid="{C3967A20-B1CB-447E-8F06-9F1934A9E6F1}"/>
    <cellStyle name="Normal 5 4 2 5 2 2 3" xfId="17126" xr:uid="{138A3837-A18F-4DFA-AA1D-9DB3B138F73D}"/>
    <cellStyle name="Normal 5 4 2 5 2 3" xfId="22208" xr:uid="{A6D11D1A-B3E4-4AF0-A544-D599FFD1DB97}"/>
    <cellStyle name="Normal 5 4 2 5 2 4" xfId="12909" xr:uid="{5770E311-041A-4BBF-8942-5420C7E995FD}"/>
    <cellStyle name="Normal 5 4 2 5 3" xfId="5655" xr:uid="{00000000-0005-0000-0000-0000F21A0000}"/>
    <cellStyle name="Normal 5 4 2 5 3 2" xfId="24280" xr:uid="{E385FD0B-0145-4CFD-B0ED-032974B5FEDD}"/>
    <cellStyle name="Normal 5 4 2 5 3 3" xfId="14981" xr:uid="{ADB39FC5-B8FA-4A4F-8C60-D4B815B3DD41}"/>
    <cellStyle name="Normal 5 4 2 5 4" xfId="20063" xr:uid="{EF7666EB-7FE4-4793-9798-C66A6550E2C4}"/>
    <cellStyle name="Normal 5 4 2 5 5" xfId="10764" xr:uid="{6F604964-7895-4659-93E5-A3340DD3BC79}"/>
    <cellStyle name="Normal 5 4 2 6" xfId="1761" xr:uid="{00000000-0005-0000-0000-0000F31A0000}"/>
    <cellStyle name="Normal 5 4 2 6 2" xfId="3991" xr:uid="{00000000-0005-0000-0000-0000F41A0000}"/>
    <cellStyle name="Normal 5 4 2 6 2 2" xfId="8213" xr:uid="{00000000-0005-0000-0000-0000F51A0000}"/>
    <cellStyle name="Normal 5 4 2 6 2 2 2" xfId="26838" xr:uid="{E4F16435-960E-4F86-8F39-23A20085A456}"/>
    <cellStyle name="Normal 5 4 2 6 2 2 3" xfId="17539" xr:uid="{8DE75517-B445-467E-906C-BD303CE0A29D}"/>
    <cellStyle name="Normal 5 4 2 6 2 3" xfId="22621" xr:uid="{EE84D91E-FF99-42B5-BFF5-CD9A2614A574}"/>
    <cellStyle name="Normal 5 4 2 6 2 4" xfId="13322" xr:uid="{EA3197FE-F039-4646-9386-D8FAC166EDB9}"/>
    <cellStyle name="Normal 5 4 2 6 3" xfId="6068" xr:uid="{00000000-0005-0000-0000-0000F61A0000}"/>
    <cellStyle name="Normal 5 4 2 6 3 2" xfId="24693" xr:uid="{9587113E-8647-46F4-948E-03DACF557AA9}"/>
    <cellStyle name="Normal 5 4 2 6 3 3" xfId="15394" xr:uid="{995BBE1A-F781-4834-86E1-D9C7BE7FA1B5}"/>
    <cellStyle name="Normal 5 4 2 6 4" xfId="20476" xr:uid="{EA826954-E76F-4F3D-8151-964248AF5F15}"/>
    <cellStyle name="Normal 5 4 2 6 5" xfId="11177" xr:uid="{726A7986-834F-44E9-8E5E-D7C73E9C6C5F}"/>
    <cellStyle name="Normal 5 4 2 7" xfId="2175" xr:uid="{00000000-0005-0000-0000-0000F71A0000}"/>
    <cellStyle name="Normal 5 4 2 7 2" xfId="4404" xr:uid="{00000000-0005-0000-0000-0000F81A0000}"/>
    <cellStyle name="Normal 5 4 2 7 2 2" xfId="8626" xr:uid="{00000000-0005-0000-0000-0000F91A0000}"/>
    <cellStyle name="Normal 5 4 2 7 2 2 2" xfId="27251" xr:uid="{8D462E56-9EF1-470C-964F-7FCECC7400D1}"/>
    <cellStyle name="Normal 5 4 2 7 2 2 3" xfId="17952" xr:uid="{EBFE53FF-4913-4627-B868-FE2DE3446207}"/>
    <cellStyle name="Normal 5 4 2 7 2 3" xfId="23034" xr:uid="{12901624-BA63-455A-BD8B-6810EA0C9108}"/>
    <cellStyle name="Normal 5 4 2 7 2 4" xfId="13735" xr:uid="{DB064F80-EE71-44C5-B8A6-1945993ACD95}"/>
    <cellStyle name="Normal 5 4 2 7 3" xfId="6481" xr:uid="{00000000-0005-0000-0000-0000FA1A0000}"/>
    <cellStyle name="Normal 5 4 2 7 3 2" xfId="25106" xr:uid="{B65C7166-5588-4188-A972-665EC70E1271}"/>
    <cellStyle name="Normal 5 4 2 7 3 3" xfId="15807" xr:uid="{F5D87743-C956-4895-B1F8-0D532FBFC501}"/>
    <cellStyle name="Normal 5 4 2 7 4" xfId="20889" xr:uid="{5A288E51-670A-4BB0-9451-92D947FABDB5}"/>
    <cellStyle name="Normal 5 4 2 7 5" xfId="11590" xr:uid="{52A42DFA-271C-4311-8659-F10792B62A3A}"/>
    <cellStyle name="Normal 5 4 2 8" xfId="2611" xr:uid="{00000000-0005-0000-0000-0000FB1A0000}"/>
    <cellStyle name="Normal 5 4 2 8 2" xfId="6894" xr:uid="{00000000-0005-0000-0000-0000FC1A0000}"/>
    <cellStyle name="Normal 5 4 2 8 2 2" xfId="25519" xr:uid="{056DBE10-7865-466A-ABCA-7503F824EF96}"/>
    <cellStyle name="Normal 5 4 2 8 2 3" xfId="16220" xr:uid="{FCB5AA58-C4FB-40FD-9214-2F5DE8FF1AFE}"/>
    <cellStyle name="Normal 5 4 2 8 3" xfId="21302" xr:uid="{AB16BF8D-0C74-42CB-AA01-030AC1BE60D4}"/>
    <cellStyle name="Normal 5 4 2 8 4" xfId="12003" xr:uid="{107732B8-49DD-432D-A498-C4C87C4A91D9}"/>
    <cellStyle name="Normal 5 4 2 9" xfId="4829" xr:uid="{00000000-0005-0000-0000-0000FD1A0000}"/>
    <cellStyle name="Normal 5 4 2 9 2" xfId="23454" xr:uid="{2A420D4B-9B4B-4135-B14B-C479F9619C97}"/>
    <cellStyle name="Normal 5 4 2 9 3" xfId="14155" xr:uid="{28640808-89D5-4620-8A1F-2C2BDA88E771}"/>
    <cellStyle name="Normal 5 4 3" xfId="461" xr:uid="{00000000-0005-0000-0000-0000FE1A0000}"/>
    <cellStyle name="Normal 5 4 3 10" xfId="19241" xr:uid="{A74B2E74-3B8A-4111-9995-C3E720A7E9F2}"/>
    <cellStyle name="Normal 5 4 3 11" xfId="9942" xr:uid="{09457F5F-C7AD-41C5-87E8-5312DBD6F8A2}"/>
    <cellStyle name="Normal 5 4 3 2" xfId="462" xr:uid="{00000000-0005-0000-0000-0000FF1A0000}"/>
    <cellStyle name="Normal 5 4 3 2 10" xfId="9943" xr:uid="{82AC3707-0C6F-4796-AD93-5D6B67B43B10}"/>
    <cellStyle name="Normal 5 4 3 2 2" xfId="936" xr:uid="{00000000-0005-0000-0000-0000001B0000}"/>
    <cellStyle name="Normal 5 4 3 2 2 2" xfId="3170" xr:uid="{00000000-0005-0000-0000-0000011B0000}"/>
    <cellStyle name="Normal 5 4 3 2 2 2 2" xfId="7392" xr:uid="{00000000-0005-0000-0000-0000021B0000}"/>
    <cellStyle name="Normal 5 4 3 2 2 2 2 2" xfId="26017" xr:uid="{8904C886-F021-45D9-A67F-EF73976E9310}"/>
    <cellStyle name="Normal 5 4 3 2 2 2 2 3" xfId="16718" xr:uid="{68F5F217-7CC2-497D-9C15-A0A49480E893}"/>
    <cellStyle name="Normal 5 4 3 2 2 2 3" xfId="21800" xr:uid="{B0F19DD6-5C53-4AF8-9986-167FCBB24BEE}"/>
    <cellStyle name="Normal 5 4 3 2 2 2 4" xfId="12501" xr:uid="{FE9EF5B4-8E86-4D01-AD35-A341EB33C556}"/>
    <cellStyle name="Normal 5 4 3 2 2 3" xfId="5247" xr:uid="{00000000-0005-0000-0000-0000031B0000}"/>
    <cellStyle name="Normal 5 4 3 2 2 3 2" xfId="23872" xr:uid="{9EBBCBEA-28EE-4781-A49F-287B839BB2C6}"/>
    <cellStyle name="Normal 5 4 3 2 2 3 3" xfId="14573" xr:uid="{269EDF6B-3F93-476A-8684-49715F2765EF}"/>
    <cellStyle name="Normal 5 4 3 2 2 4" xfId="9508" xr:uid="{1F9B5A8F-2A45-43C5-9422-E8BC84424A55}"/>
    <cellStyle name="Normal 5 4 3 2 2 4 2" xfId="28122" xr:uid="{917B658B-149F-4907-B319-6E1EF34719E0}"/>
    <cellStyle name="Normal 5 4 3 2 2 4 3" xfId="18823" xr:uid="{3F78CA91-BD43-49B7-BA2B-F0F14ADB252E}"/>
    <cellStyle name="Normal 5 4 3 2 2 5" xfId="19655" xr:uid="{54E06F8C-593F-43BA-8DDA-E5F7A6BFDF1D}"/>
    <cellStyle name="Normal 5 4 3 2 2 6" xfId="10356" xr:uid="{F5ECDB8F-1681-4F49-BF92-0FD21299AB18}"/>
    <cellStyle name="Normal 5 4 3 2 3" xfId="1353" xr:uid="{00000000-0005-0000-0000-0000041B0000}"/>
    <cellStyle name="Normal 5 4 3 2 3 2" xfId="3583" xr:uid="{00000000-0005-0000-0000-0000051B0000}"/>
    <cellStyle name="Normal 5 4 3 2 3 2 2" xfId="7805" xr:uid="{00000000-0005-0000-0000-0000061B0000}"/>
    <cellStyle name="Normal 5 4 3 2 3 2 2 2" xfId="26430" xr:uid="{20B09D93-7D4A-47FC-8D3D-F699E8EE1DF8}"/>
    <cellStyle name="Normal 5 4 3 2 3 2 2 3" xfId="17131" xr:uid="{BD0C7E74-059E-4A9F-A543-AC5C04BCDD75}"/>
    <cellStyle name="Normal 5 4 3 2 3 2 3" xfId="22213" xr:uid="{7175E274-6FAB-4AE8-82D6-90D2136C2A89}"/>
    <cellStyle name="Normal 5 4 3 2 3 2 4" xfId="12914" xr:uid="{75B957F8-F28D-47BE-A6CB-BBF144F263FF}"/>
    <cellStyle name="Normal 5 4 3 2 3 3" xfId="5660" xr:uid="{00000000-0005-0000-0000-0000071B0000}"/>
    <cellStyle name="Normal 5 4 3 2 3 3 2" xfId="24285" xr:uid="{52CF7895-E960-465E-842F-B5EE1CF9CBF0}"/>
    <cellStyle name="Normal 5 4 3 2 3 3 3" xfId="14986" xr:uid="{0DAD2A56-1E24-4303-A8B8-DF30ACF5CEBC}"/>
    <cellStyle name="Normal 5 4 3 2 3 4" xfId="20068" xr:uid="{E6E5CD3C-DD78-46E8-A181-9F5B962CF35F}"/>
    <cellStyle name="Normal 5 4 3 2 3 5" xfId="10769" xr:uid="{DD7CF5F3-3D5A-42D6-B1D2-4A39C5D5A169}"/>
    <cellStyle name="Normal 5 4 3 2 4" xfId="1766" xr:uid="{00000000-0005-0000-0000-0000081B0000}"/>
    <cellStyle name="Normal 5 4 3 2 4 2" xfId="3996" xr:uid="{00000000-0005-0000-0000-0000091B0000}"/>
    <cellStyle name="Normal 5 4 3 2 4 2 2" xfId="8218" xr:uid="{00000000-0005-0000-0000-00000A1B0000}"/>
    <cellStyle name="Normal 5 4 3 2 4 2 2 2" xfId="26843" xr:uid="{0111B01C-B75B-42A2-B4E5-C387042B94F0}"/>
    <cellStyle name="Normal 5 4 3 2 4 2 2 3" xfId="17544" xr:uid="{6196C35A-77A9-4002-9267-6B894880E052}"/>
    <cellStyle name="Normal 5 4 3 2 4 2 3" xfId="22626" xr:uid="{021E12F5-CAC5-4144-B95D-3E9BC2F94291}"/>
    <cellStyle name="Normal 5 4 3 2 4 2 4" xfId="13327" xr:uid="{301496F5-EBAE-4F98-8D5A-802CC5DC81ED}"/>
    <cellStyle name="Normal 5 4 3 2 4 3" xfId="6073" xr:uid="{00000000-0005-0000-0000-00000B1B0000}"/>
    <cellStyle name="Normal 5 4 3 2 4 3 2" xfId="24698" xr:uid="{FD2D5397-D225-4C2C-ACBF-B1E3528B1D9B}"/>
    <cellStyle name="Normal 5 4 3 2 4 3 3" xfId="15399" xr:uid="{7F5F3AA5-7401-4441-A352-968A9195956F}"/>
    <cellStyle name="Normal 5 4 3 2 4 4" xfId="20481" xr:uid="{CACBFB26-C4C5-46AB-AD24-D458DE0C7107}"/>
    <cellStyle name="Normal 5 4 3 2 4 5" xfId="11182" xr:uid="{6C1D7BA2-1B3B-4D46-8BEB-076F7AABF01E}"/>
    <cellStyle name="Normal 5 4 3 2 5" xfId="2180" xr:uid="{00000000-0005-0000-0000-00000C1B0000}"/>
    <cellStyle name="Normal 5 4 3 2 5 2" xfId="4409" xr:uid="{00000000-0005-0000-0000-00000D1B0000}"/>
    <cellStyle name="Normal 5 4 3 2 5 2 2" xfId="8631" xr:uid="{00000000-0005-0000-0000-00000E1B0000}"/>
    <cellStyle name="Normal 5 4 3 2 5 2 2 2" xfId="27256" xr:uid="{DBFDA926-B707-4D9F-89C6-B45315A84167}"/>
    <cellStyle name="Normal 5 4 3 2 5 2 2 3" xfId="17957" xr:uid="{B625E816-2C25-4D3B-B629-41C36D558C09}"/>
    <cellStyle name="Normal 5 4 3 2 5 2 3" xfId="23039" xr:uid="{46612097-9CE7-4B76-BF48-E157EE591DC1}"/>
    <cellStyle name="Normal 5 4 3 2 5 2 4" xfId="13740" xr:uid="{F75D7856-C309-4824-851A-4CAF7D7DE288}"/>
    <cellStyle name="Normal 5 4 3 2 5 3" xfId="6486" xr:uid="{00000000-0005-0000-0000-00000F1B0000}"/>
    <cellStyle name="Normal 5 4 3 2 5 3 2" xfId="25111" xr:uid="{FBCEE7C0-980F-48D9-B717-66F0AE3F99E4}"/>
    <cellStyle name="Normal 5 4 3 2 5 3 3" xfId="15812" xr:uid="{88115DC4-BAC5-452A-9976-E539F28DDE8C}"/>
    <cellStyle name="Normal 5 4 3 2 5 4" xfId="20894" xr:uid="{D06FB55C-4C21-4788-9181-C834D0FCB3AA}"/>
    <cellStyle name="Normal 5 4 3 2 5 5" xfId="11595" xr:uid="{728A1720-63C1-4F64-A390-79148774A2D7}"/>
    <cellStyle name="Normal 5 4 3 2 6" xfId="2616" xr:uid="{00000000-0005-0000-0000-0000101B0000}"/>
    <cellStyle name="Normal 5 4 3 2 6 2" xfId="6899" xr:uid="{00000000-0005-0000-0000-0000111B0000}"/>
    <cellStyle name="Normal 5 4 3 2 6 2 2" xfId="25524" xr:uid="{459B0213-C7AC-4638-97C4-5027196FC9D0}"/>
    <cellStyle name="Normal 5 4 3 2 6 2 3" xfId="16225" xr:uid="{8F4E7276-137F-4B17-90A0-DF0F414508A5}"/>
    <cellStyle name="Normal 5 4 3 2 6 3" xfId="21307" xr:uid="{E654C6AF-E469-4BCD-9505-C4067CC6CD5F}"/>
    <cellStyle name="Normal 5 4 3 2 6 4" xfId="12008" xr:uid="{F78D9A7B-3991-4640-9411-B16EDF994B31}"/>
    <cellStyle name="Normal 5 4 3 2 7" xfId="4834" xr:uid="{00000000-0005-0000-0000-0000121B0000}"/>
    <cellStyle name="Normal 5 4 3 2 7 2" xfId="23459" xr:uid="{0B563FBD-4C9E-4E7F-B47B-7122937689CF}"/>
    <cellStyle name="Normal 5 4 3 2 7 3" xfId="14160" xr:uid="{E825936E-8D92-4677-9E20-CA8650A88B5A}"/>
    <cellStyle name="Normal 5 4 3 2 8" xfId="9083" xr:uid="{206384C8-6AD8-4D28-8F99-3033A80D68FC}"/>
    <cellStyle name="Normal 5 4 3 2 8 2" xfId="27706" xr:uid="{F81C814E-B91D-441A-B5F8-150C7CE1A188}"/>
    <cellStyle name="Normal 5 4 3 2 8 3" xfId="18407" xr:uid="{BED89775-92C0-4569-80FA-E2A82EA38D64}"/>
    <cellStyle name="Normal 5 4 3 2 9" xfId="19242" xr:uid="{03FF93AE-A5B9-49BB-9FED-34C2F242204D}"/>
    <cellStyle name="Normal 5 4 3 3" xfId="935" xr:uid="{00000000-0005-0000-0000-0000131B0000}"/>
    <cellStyle name="Normal 5 4 3 3 2" xfId="3169" xr:uid="{00000000-0005-0000-0000-0000141B0000}"/>
    <cellStyle name="Normal 5 4 3 3 2 2" xfId="7391" xr:uid="{00000000-0005-0000-0000-0000151B0000}"/>
    <cellStyle name="Normal 5 4 3 3 2 2 2" xfId="26016" xr:uid="{3592AB23-A044-44A3-9E67-CAE9801170CF}"/>
    <cellStyle name="Normal 5 4 3 3 2 2 3" xfId="16717" xr:uid="{9DE7562F-1A47-4874-9EC9-31CEBC6EA802}"/>
    <cellStyle name="Normal 5 4 3 3 2 3" xfId="21799" xr:uid="{975C02C6-B152-4BD4-8CA8-958634C6287A}"/>
    <cellStyle name="Normal 5 4 3 3 2 4" xfId="12500" xr:uid="{67429AD4-D37B-4699-9977-509CD236C5BB}"/>
    <cellStyle name="Normal 5 4 3 3 3" xfId="5246" xr:uid="{00000000-0005-0000-0000-0000161B0000}"/>
    <cellStyle name="Normal 5 4 3 3 3 2" xfId="23871" xr:uid="{4191A039-00C5-4911-83F2-DA5933D20F30}"/>
    <cellStyle name="Normal 5 4 3 3 3 3" xfId="14572" xr:uid="{5810083F-4D53-4EE3-AE34-6A22739C1C2B}"/>
    <cellStyle name="Normal 5 4 3 3 4" xfId="9301" xr:uid="{CB02BBE7-2E3D-4C67-A62E-BA84DE882039}"/>
    <cellStyle name="Normal 5 4 3 3 4 2" xfId="27915" xr:uid="{CF9058E9-13CA-4653-94BE-21582EDBE238}"/>
    <cellStyle name="Normal 5 4 3 3 4 3" xfId="18616" xr:uid="{E3ABE782-A0E0-4F28-997B-DA95BB5E5B47}"/>
    <cellStyle name="Normal 5 4 3 3 5" xfId="19654" xr:uid="{9E7183AC-CD59-4EFF-BCE9-E181B3637608}"/>
    <cellStyle name="Normal 5 4 3 3 6" xfId="10355" xr:uid="{C1D2CEC5-2603-4C87-82FE-B606B6934FC7}"/>
    <cellStyle name="Normal 5 4 3 4" xfId="1352" xr:uid="{00000000-0005-0000-0000-0000171B0000}"/>
    <cellStyle name="Normal 5 4 3 4 2" xfId="3582" xr:uid="{00000000-0005-0000-0000-0000181B0000}"/>
    <cellStyle name="Normal 5 4 3 4 2 2" xfId="7804" xr:uid="{00000000-0005-0000-0000-0000191B0000}"/>
    <cellStyle name="Normal 5 4 3 4 2 2 2" xfId="26429" xr:uid="{A9FF246D-476D-4782-B1F0-41408F258713}"/>
    <cellStyle name="Normal 5 4 3 4 2 2 3" xfId="17130" xr:uid="{3C2F969E-02B0-45B2-97CD-4D36AD22DF66}"/>
    <cellStyle name="Normal 5 4 3 4 2 3" xfId="22212" xr:uid="{0DFB46F9-E500-4B46-B9DF-B8F8EAD4FA1F}"/>
    <cellStyle name="Normal 5 4 3 4 2 4" xfId="12913" xr:uid="{85A2F792-399C-4FC1-99ED-760DA5A4A359}"/>
    <cellStyle name="Normal 5 4 3 4 3" xfId="5659" xr:uid="{00000000-0005-0000-0000-00001A1B0000}"/>
    <cellStyle name="Normal 5 4 3 4 3 2" xfId="24284" xr:uid="{4423EC4A-45B9-4B58-9FDD-8AAB80BC7156}"/>
    <cellStyle name="Normal 5 4 3 4 3 3" xfId="14985" xr:uid="{53676CE6-E02E-417D-AF4C-0FC373D6A294}"/>
    <cellStyle name="Normal 5 4 3 4 4" xfId="20067" xr:uid="{460DC1C8-2D74-441A-B98A-05C2D81C14EE}"/>
    <cellStyle name="Normal 5 4 3 4 5" xfId="10768" xr:uid="{4378FAAE-A9DC-4E2F-9222-6A0B36828420}"/>
    <cellStyle name="Normal 5 4 3 5" xfId="1765" xr:uid="{00000000-0005-0000-0000-00001B1B0000}"/>
    <cellStyle name="Normal 5 4 3 5 2" xfId="3995" xr:uid="{00000000-0005-0000-0000-00001C1B0000}"/>
    <cellStyle name="Normal 5 4 3 5 2 2" xfId="8217" xr:uid="{00000000-0005-0000-0000-00001D1B0000}"/>
    <cellStyle name="Normal 5 4 3 5 2 2 2" xfId="26842" xr:uid="{C699D506-D3AF-4BCC-BF11-F2CBD82EACC0}"/>
    <cellStyle name="Normal 5 4 3 5 2 2 3" xfId="17543" xr:uid="{AB81749D-B337-4808-A9E5-5B518D260A8A}"/>
    <cellStyle name="Normal 5 4 3 5 2 3" xfId="22625" xr:uid="{D8DB12E9-854E-4B1E-A3A1-2B7601BDDD32}"/>
    <cellStyle name="Normal 5 4 3 5 2 4" xfId="13326" xr:uid="{7ABB3799-D689-4974-B8C8-8EEF65582733}"/>
    <cellStyle name="Normal 5 4 3 5 3" xfId="6072" xr:uid="{00000000-0005-0000-0000-00001E1B0000}"/>
    <cellStyle name="Normal 5 4 3 5 3 2" xfId="24697" xr:uid="{28D39749-EE56-40FD-990C-24328337FDCB}"/>
    <cellStyle name="Normal 5 4 3 5 3 3" xfId="15398" xr:uid="{EC19D8D0-6E43-4108-B6D2-D6EBF42D217C}"/>
    <cellStyle name="Normal 5 4 3 5 4" xfId="20480" xr:uid="{CAE4BD4A-7358-49AD-B21C-81D19BD1C6EF}"/>
    <cellStyle name="Normal 5 4 3 5 5" xfId="11181" xr:uid="{88D2DF58-B113-43D3-8CB9-961C3EEBD969}"/>
    <cellStyle name="Normal 5 4 3 6" xfId="2179" xr:uid="{00000000-0005-0000-0000-00001F1B0000}"/>
    <cellStyle name="Normal 5 4 3 6 2" xfId="4408" xr:uid="{00000000-0005-0000-0000-0000201B0000}"/>
    <cellStyle name="Normal 5 4 3 6 2 2" xfId="8630" xr:uid="{00000000-0005-0000-0000-0000211B0000}"/>
    <cellStyle name="Normal 5 4 3 6 2 2 2" xfId="27255" xr:uid="{71D25B89-E536-4692-88B8-17052F7B3722}"/>
    <cellStyle name="Normal 5 4 3 6 2 2 3" xfId="17956" xr:uid="{0EAA53EC-598B-466E-B0FA-C84C6ABA192D}"/>
    <cellStyle name="Normal 5 4 3 6 2 3" xfId="23038" xr:uid="{44240876-D3DF-4175-9E20-C2F635A39ECB}"/>
    <cellStyle name="Normal 5 4 3 6 2 4" xfId="13739" xr:uid="{D9B4F417-C9B4-4AF0-BB54-CA2FDB208B41}"/>
    <cellStyle name="Normal 5 4 3 6 3" xfId="6485" xr:uid="{00000000-0005-0000-0000-0000221B0000}"/>
    <cellStyle name="Normal 5 4 3 6 3 2" xfId="25110" xr:uid="{4286A894-DE94-46BB-B4EF-2102A0DE7BCF}"/>
    <cellStyle name="Normal 5 4 3 6 3 3" xfId="15811" xr:uid="{58FB1606-465A-48FB-9179-F1BE01F6D736}"/>
    <cellStyle name="Normal 5 4 3 6 4" xfId="20893" xr:uid="{130D14FF-DC4A-4C46-B954-13C70E4F73E4}"/>
    <cellStyle name="Normal 5 4 3 6 5" xfId="11594" xr:uid="{01CA0730-2F46-4997-A5D2-D67A556D26D0}"/>
    <cellStyle name="Normal 5 4 3 7" xfId="2615" xr:uid="{00000000-0005-0000-0000-0000231B0000}"/>
    <cellStyle name="Normal 5 4 3 7 2" xfId="6898" xr:uid="{00000000-0005-0000-0000-0000241B0000}"/>
    <cellStyle name="Normal 5 4 3 7 2 2" xfId="25523" xr:uid="{C42B4409-4E49-48A8-BA6A-C0FFC9212ED1}"/>
    <cellStyle name="Normal 5 4 3 7 2 3" xfId="16224" xr:uid="{F2C06E56-5EFB-4D89-9324-93563FBC991F}"/>
    <cellStyle name="Normal 5 4 3 7 3" xfId="21306" xr:uid="{491A9535-A0E8-4A1D-93C4-CDEA822FBA2C}"/>
    <cellStyle name="Normal 5 4 3 7 4" xfId="12007" xr:uid="{C4FF4C3E-C4CF-4B8D-83DD-D49BFEC03A7E}"/>
    <cellStyle name="Normal 5 4 3 8" xfId="4833" xr:uid="{00000000-0005-0000-0000-0000251B0000}"/>
    <cellStyle name="Normal 5 4 3 8 2" xfId="23458" xr:uid="{89C4E6D0-0854-4C73-B2C8-9EF7FB5E2E99}"/>
    <cellStyle name="Normal 5 4 3 8 3" xfId="14159" xr:uid="{9BFDB3EE-29D2-4F79-A125-0D5365BC9CA7}"/>
    <cellStyle name="Normal 5 4 3 9" xfId="8876" xr:uid="{D636A598-175F-46A4-8005-1A20EC6CCEC9}"/>
    <cellStyle name="Normal 5 4 3 9 2" xfId="27499" xr:uid="{8BC6662A-C678-4D2D-A872-0D58A8436B27}"/>
    <cellStyle name="Normal 5 4 3 9 3" xfId="18200" xr:uid="{2E97E522-13E5-4BB7-B491-86425E393149}"/>
    <cellStyle name="Normal 5 4 4" xfId="463" xr:uid="{00000000-0005-0000-0000-0000261B0000}"/>
    <cellStyle name="Normal 5 4 4 10" xfId="9944" xr:uid="{A396C639-3645-41E3-9D9E-7B1BE7F11CC6}"/>
    <cellStyle name="Normal 5 4 4 2" xfId="937" xr:uid="{00000000-0005-0000-0000-0000271B0000}"/>
    <cellStyle name="Normal 5 4 4 2 2" xfId="3171" xr:uid="{00000000-0005-0000-0000-0000281B0000}"/>
    <cellStyle name="Normal 5 4 4 2 2 2" xfId="7393" xr:uid="{00000000-0005-0000-0000-0000291B0000}"/>
    <cellStyle name="Normal 5 4 4 2 2 2 2" xfId="26018" xr:uid="{003BB335-C374-4512-AF81-94A9A4042CDF}"/>
    <cellStyle name="Normal 5 4 4 2 2 2 3" xfId="16719" xr:uid="{F404A9D2-F485-478C-8789-DBFCCFACF3A7}"/>
    <cellStyle name="Normal 5 4 4 2 2 3" xfId="21801" xr:uid="{B076E5E6-EDA2-4B37-ABA1-219FA169E462}"/>
    <cellStyle name="Normal 5 4 4 2 2 4" xfId="12502" xr:uid="{2D36A3BC-319F-481A-9691-B8AA8F84CD57}"/>
    <cellStyle name="Normal 5 4 4 2 3" xfId="5248" xr:uid="{00000000-0005-0000-0000-00002A1B0000}"/>
    <cellStyle name="Normal 5 4 4 2 3 2" xfId="23873" xr:uid="{D0BDF602-E665-4CD4-8F36-29E881F686BA}"/>
    <cellStyle name="Normal 5 4 4 2 3 3" xfId="14574" xr:uid="{C2B23C39-346D-4720-941C-4DDB04BD0CF6}"/>
    <cellStyle name="Normal 5 4 4 2 4" xfId="9405" xr:uid="{F05DE0DC-A0AA-4CEB-9ABC-0D70F781B819}"/>
    <cellStyle name="Normal 5 4 4 2 4 2" xfId="28019" xr:uid="{051930B8-2C5F-4698-B7BB-B5EDA6175AF7}"/>
    <cellStyle name="Normal 5 4 4 2 4 3" xfId="18720" xr:uid="{5E1E71B9-EB38-4BE8-8D5B-AE31E36A0DDD}"/>
    <cellStyle name="Normal 5 4 4 2 5" xfId="19656" xr:uid="{C5A72984-6239-426E-88BC-0F5EB9DC0524}"/>
    <cellStyle name="Normal 5 4 4 2 6" xfId="10357" xr:uid="{374EAA94-FDAD-439A-9B3D-EE7E72A8B683}"/>
    <cellStyle name="Normal 5 4 4 3" xfId="1354" xr:uid="{00000000-0005-0000-0000-00002B1B0000}"/>
    <cellStyle name="Normal 5 4 4 3 2" xfId="3584" xr:uid="{00000000-0005-0000-0000-00002C1B0000}"/>
    <cellStyle name="Normal 5 4 4 3 2 2" xfId="7806" xr:uid="{00000000-0005-0000-0000-00002D1B0000}"/>
    <cellStyle name="Normal 5 4 4 3 2 2 2" xfId="26431" xr:uid="{ED525A0E-A190-4498-8037-1B4CB0FF7FF3}"/>
    <cellStyle name="Normal 5 4 4 3 2 2 3" xfId="17132" xr:uid="{E1ED0899-CD45-4A5D-8DEF-1549BEEAA6B7}"/>
    <cellStyle name="Normal 5 4 4 3 2 3" xfId="22214" xr:uid="{F824106D-FA57-47C9-B8A3-03F27CE56981}"/>
    <cellStyle name="Normal 5 4 4 3 2 4" xfId="12915" xr:uid="{735940CB-D591-49E7-820E-1845FE22571E}"/>
    <cellStyle name="Normal 5 4 4 3 3" xfId="5661" xr:uid="{00000000-0005-0000-0000-00002E1B0000}"/>
    <cellStyle name="Normal 5 4 4 3 3 2" xfId="24286" xr:uid="{8C92D6A9-0F51-4541-B7E6-B5E3065188F2}"/>
    <cellStyle name="Normal 5 4 4 3 3 3" xfId="14987" xr:uid="{D93F19AE-DFDD-42D8-9A6A-6C4D6CA9D09E}"/>
    <cellStyle name="Normal 5 4 4 3 4" xfId="20069" xr:uid="{42DFFB87-FB02-4E09-A985-C74BAB84D4F7}"/>
    <cellStyle name="Normal 5 4 4 3 5" xfId="10770" xr:uid="{C119B293-5E39-43F8-807D-57EDFC19D899}"/>
    <cellStyle name="Normal 5 4 4 4" xfId="1767" xr:uid="{00000000-0005-0000-0000-00002F1B0000}"/>
    <cellStyle name="Normal 5 4 4 4 2" xfId="3997" xr:uid="{00000000-0005-0000-0000-0000301B0000}"/>
    <cellStyle name="Normal 5 4 4 4 2 2" xfId="8219" xr:uid="{00000000-0005-0000-0000-0000311B0000}"/>
    <cellStyle name="Normal 5 4 4 4 2 2 2" xfId="26844" xr:uid="{D6D2B671-44BC-4367-B56D-8C5457203152}"/>
    <cellStyle name="Normal 5 4 4 4 2 2 3" xfId="17545" xr:uid="{9A94E5AB-5B4B-4623-B997-5A0FE4425D0D}"/>
    <cellStyle name="Normal 5 4 4 4 2 3" xfId="22627" xr:uid="{FA3293AC-C329-4D43-A5A1-838FE6376E05}"/>
    <cellStyle name="Normal 5 4 4 4 2 4" xfId="13328" xr:uid="{1539039E-282C-43A3-AF67-9A5791117146}"/>
    <cellStyle name="Normal 5 4 4 4 3" xfId="6074" xr:uid="{00000000-0005-0000-0000-0000321B0000}"/>
    <cellStyle name="Normal 5 4 4 4 3 2" xfId="24699" xr:uid="{136E5EF5-9CAE-412C-9A86-225FC4656127}"/>
    <cellStyle name="Normal 5 4 4 4 3 3" xfId="15400" xr:uid="{A7F1DF01-18A1-4E12-BF21-17D116419010}"/>
    <cellStyle name="Normal 5 4 4 4 4" xfId="20482" xr:uid="{F56F08E6-E0F9-409C-B453-45F5BB585549}"/>
    <cellStyle name="Normal 5 4 4 4 5" xfId="11183" xr:uid="{3032ADD9-0A68-4DF0-BBB1-60C9040B665E}"/>
    <cellStyle name="Normal 5 4 4 5" xfId="2181" xr:uid="{00000000-0005-0000-0000-0000331B0000}"/>
    <cellStyle name="Normal 5 4 4 5 2" xfId="4410" xr:uid="{00000000-0005-0000-0000-0000341B0000}"/>
    <cellStyle name="Normal 5 4 4 5 2 2" xfId="8632" xr:uid="{00000000-0005-0000-0000-0000351B0000}"/>
    <cellStyle name="Normal 5 4 4 5 2 2 2" xfId="27257" xr:uid="{F561A6B8-73AD-4B43-ACDD-7133F03C24C1}"/>
    <cellStyle name="Normal 5 4 4 5 2 2 3" xfId="17958" xr:uid="{ED50590F-59CD-4248-96A2-8D1C6555F0D3}"/>
    <cellStyle name="Normal 5 4 4 5 2 3" xfId="23040" xr:uid="{837795AF-1984-4A5E-B073-02A961708551}"/>
    <cellStyle name="Normal 5 4 4 5 2 4" xfId="13741" xr:uid="{BA417DED-4799-48FA-9C8B-381B3FE673D0}"/>
    <cellStyle name="Normal 5 4 4 5 3" xfId="6487" xr:uid="{00000000-0005-0000-0000-0000361B0000}"/>
    <cellStyle name="Normal 5 4 4 5 3 2" xfId="25112" xr:uid="{75C68F0C-AC78-48B5-AD12-53F32760A9F9}"/>
    <cellStyle name="Normal 5 4 4 5 3 3" xfId="15813" xr:uid="{2236F49E-F935-4996-9764-2AAE877D7CAE}"/>
    <cellStyle name="Normal 5 4 4 5 4" xfId="20895" xr:uid="{85725EC9-04E3-4CE3-9841-64A4FE2B766C}"/>
    <cellStyle name="Normal 5 4 4 5 5" xfId="11596" xr:uid="{8AD3D52D-A1A3-4916-AAE4-B8CE38F887A2}"/>
    <cellStyle name="Normal 5 4 4 6" xfId="2617" xr:uid="{00000000-0005-0000-0000-0000371B0000}"/>
    <cellStyle name="Normal 5 4 4 6 2" xfId="6900" xr:uid="{00000000-0005-0000-0000-0000381B0000}"/>
    <cellStyle name="Normal 5 4 4 6 2 2" xfId="25525" xr:uid="{461C0675-E5D0-4E1D-8083-7FB9F6035150}"/>
    <cellStyle name="Normal 5 4 4 6 2 3" xfId="16226" xr:uid="{5E540D94-8699-4B66-AC94-081C56F4F48B}"/>
    <cellStyle name="Normal 5 4 4 6 3" xfId="21308" xr:uid="{5E349B8D-1D20-46D2-911C-6BBE0C0B485B}"/>
    <cellStyle name="Normal 5 4 4 6 4" xfId="12009" xr:uid="{090C2D0B-C657-4A9E-A0EB-8171F8EA29C2}"/>
    <cellStyle name="Normal 5 4 4 7" xfId="4835" xr:uid="{00000000-0005-0000-0000-0000391B0000}"/>
    <cellStyle name="Normal 5 4 4 7 2" xfId="23460" xr:uid="{1B3198C2-B399-49D8-94D0-DDA4F4D4911B}"/>
    <cellStyle name="Normal 5 4 4 7 3" xfId="14161" xr:uid="{B58DAE62-4C36-431C-A0A8-F8CECA8AE748}"/>
    <cellStyle name="Normal 5 4 4 8" xfId="8980" xr:uid="{B1DB48A4-94CB-4CC2-8D4B-8FD478363D48}"/>
    <cellStyle name="Normal 5 4 4 8 2" xfId="27603" xr:uid="{EEFEAA1C-09E5-4155-B71C-A5DFD7594DE3}"/>
    <cellStyle name="Normal 5 4 4 8 3" xfId="18304" xr:uid="{DF272EBE-FE6B-4A96-83EC-B6A014EDB06E}"/>
    <cellStyle name="Normal 5 4 4 9" xfId="19243" xr:uid="{5C857087-DED6-4CE8-94B4-9645FBB0FF7C}"/>
    <cellStyle name="Normal 5 4 5" xfId="930" xr:uid="{00000000-0005-0000-0000-00003A1B0000}"/>
    <cellStyle name="Normal 5 4 5 2" xfId="3164" xr:uid="{00000000-0005-0000-0000-00003B1B0000}"/>
    <cellStyle name="Normal 5 4 5 2 2" xfId="7386" xr:uid="{00000000-0005-0000-0000-00003C1B0000}"/>
    <cellStyle name="Normal 5 4 5 2 2 2" xfId="26011" xr:uid="{CDDDFE76-2F90-4144-96EA-45497807F553}"/>
    <cellStyle name="Normal 5 4 5 2 2 3" xfId="16712" xr:uid="{94AE8749-DDF7-4673-8907-8DE17FBAAA5C}"/>
    <cellStyle name="Normal 5 4 5 2 3" xfId="21794" xr:uid="{FE5DB2AA-EE76-42B6-A621-D96AF04D67AF}"/>
    <cellStyle name="Normal 5 4 5 2 4" xfId="12495" xr:uid="{A7AF3376-BD98-4A3A-B990-3A4993B76652}"/>
    <cellStyle name="Normal 5 4 5 3" xfId="5241" xr:uid="{00000000-0005-0000-0000-00003D1B0000}"/>
    <cellStyle name="Normal 5 4 5 3 2" xfId="23866" xr:uid="{150FC96B-CE74-41A9-88E3-05036773F948}"/>
    <cellStyle name="Normal 5 4 5 3 3" xfId="14567" xr:uid="{5800C226-1D73-4B83-A9E2-F919E496563F}"/>
    <cellStyle name="Normal 5 4 5 4" xfId="9197" xr:uid="{44FF0EFB-444B-4C40-B695-8C256ADB5563}"/>
    <cellStyle name="Normal 5 4 5 4 2" xfId="27812" xr:uid="{10A1C0DC-4704-4F54-BA57-8116A59E9B13}"/>
    <cellStyle name="Normal 5 4 5 4 3" xfId="18513" xr:uid="{4FF8E32D-A03E-4E7B-B3BE-CA0E0FFE64C1}"/>
    <cellStyle name="Normal 5 4 5 5" xfId="19649" xr:uid="{EC737B0B-5827-4910-914D-E02D671F5B40}"/>
    <cellStyle name="Normal 5 4 5 6" xfId="10350" xr:uid="{37614F94-99D2-42CB-AABB-32C3D423E2A2}"/>
    <cellStyle name="Normal 5 4 6" xfId="1347" xr:uid="{00000000-0005-0000-0000-00003E1B0000}"/>
    <cellStyle name="Normal 5 4 6 2" xfId="3577" xr:uid="{00000000-0005-0000-0000-00003F1B0000}"/>
    <cellStyle name="Normal 5 4 6 2 2" xfId="7799" xr:uid="{00000000-0005-0000-0000-0000401B0000}"/>
    <cellStyle name="Normal 5 4 6 2 2 2" xfId="26424" xr:uid="{6A558D46-AC3A-4B49-B1FA-6B7A6A0589F4}"/>
    <cellStyle name="Normal 5 4 6 2 2 3" xfId="17125" xr:uid="{CB8D73FB-45DD-435E-B135-5657CDB27EB0}"/>
    <cellStyle name="Normal 5 4 6 2 3" xfId="22207" xr:uid="{6A0EA560-5240-4264-9FB4-08DC153D4FCC}"/>
    <cellStyle name="Normal 5 4 6 2 4" xfId="12908" xr:uid="{24B92D03-4185-411D-B7C1-434C4FD03ED9}"/>
    <cellStyle name="Normal 5 4 6 3" xfId="5654" xr:uid="{00000000-0005-0000-0000-0000411B0000}"/>
    <cellStyle name="Normal 5 4 6 3 2" xfId="24279" xr:uid="{790D46BD-C1E6-42BB-82FB-CF3E6EE7FE9F}"/>
    <cellStyle name="Normal 5 4 6 3 3" xfId="14980" xr:uid="{CCF7D2C7-032F-47C2-9855-0603A6C6C267}"/>
    <cellStyle name="Normal 5 4 6 4" xfId="20062" xr:uid="{D9DAA1AB-ABFD-4DBA-ABC2-7DF432AC8923}"/>
    <cellStyle name="Normal 5 4 6 5" xfId="10763" xr:uid="{B0A97B8C-273C-4F6E-A6E3-B53A7A105E2B}"/>
    <cellStyle name="Normal 5 4 7" xfId="1760" xr:uid="{00000000-0005-0000-0000-0000421B0000}"/>
    <cellStyle name="Normal 5 4 7 2" xfId="3990" xr:uid="{00000000-0005-0000-0000-0000431B0000}"/>
    <cellStyle name="Normal 5 4 7 2 2" xfId="8212" xr:uid="{00000000-0005-0000-0000-0000441B0000}"/>
    <cellStyle name="Normal 5 4 7 2 2 2" xfId="26837" xr:uid="{C5E15D1B-F829-4871-987D-D8890467E141}"/>
    <cellStyle name="Normal 5 4 7 2 2 3" xfId="17538" xr:uid="{8A461F5F-BFB4-4743-9FF3-C3E7BA78E9DA}"/>
    <cellStyle name="Normal 5 4 7 2 3" xfId="22620" xr:uid="{2FD8BA9F-E007-44BE-B3D4-CE14C0708A75}"/>
    <cellStyle name="Normal 5 4 7 2 4" xfId="13321" xr:uid="{AFE0DFCE-5F5E-4B7A-85F6-36ECF7BDA2ED}"/>
    <cellStyle name="Normal 5 4 7 3" xfId="6067" xr:uid="{00000000-0005-0000-0000-0000451B0000}"/>
    <cellStyle name="Normal 5 4 7 3 2" xfId="24692" xr:uid="{BB42D117-FAF4-46CA-B2C7-730111A0200E}"/>
    <cellStyle name="Normal 5 4 7 3 3" xfId="15393" xr:uid="{B3928E87-206E-4CB8-990F-80890E4EEE8E}"/>
    <cellStyle name="Normal 5 4 7 4" xfId="20475" xr:uid="{D6457E23-497D-46B8-8274-E6ABFE457A27}"/>
    <cellStyle name="Normal 5 4 7 5" xfId="11176" xr:uid="{BA4A5101-6CF8-49EA-AFA6-D9CBAC12C170}"/>
    <cellStyle name="Normal 5 4 8" xfId="2174" xr:uid="{00000000-0005-0000-0000-0000461B0000}"/>
    <cellStyle name="Normal 5 4 8 2" xfId="4403" xr:uid="{00000000-0005-0000-0000-0000471B0000}"/>
    <cellStyle name="Normal 5 4 8 2 2" xfId="8625" xr:uid="{00000000-0005-0000-0000-0000481B0000}"/>
    <cellStyle name="Normal 5 4 8 2 2 2" xfId="27250" xr:uid="{21A19EF2-3926-4F89-8543-4A90E1D235D1}"/>
    <cellStyle name="Normal 5 4 8 2 2 3" xfId="17951" xr:uid="{41E615BE-E785-49B0-98D1-AFD8FB8446C3}"/>
    <cellStyle name="Normal 5 4 8 2 3" xfId="23033" xr:uid="{C4D0DCDD-DCFE-49CB-954C-68D65FA9D2B4}"/>
    <cellStyle name="Normal 5 4 8 2 4" xfId="13734" xr:uid="{734AE179-BD4E-429D-9811-0E2941B51AD2}"/>
    <cellStyle name="Normal 5 4 8 3" xfId="6480" xr:uid="{00000000-0005-0000-0000-0000491B0000}"/>
    <cellStyle name="Normal 5 4 8 3 2" xfId="25105" xr:uid="{E2DADBF9-1FF3-47FC-8B98-709EF20CB588}"/>
    <cellStyle name="Normal 5 4 8 3 3" xfId="15806" xr:uid="{7BAF6DDE-E5C2-4CBC-9A68-822D168F2D48}"/>
    <cellStyle name="Normal 5 4 8 4" xfId="20888" xr:uid="{0352B404-EEC0-4320-9A24-B198BCFAA93D}"/>
    <cellStyle name="Normal 5 4 8 5" xfId="11589" xr:uid="{D7F95339-38F2-4682-BB6D-2A1E7669D0DF}"/>
    <cellStyle name="Normal 5 4 9" xfId="2610" xr:uid="{00000000-0005-0000-0000-00004A1B0000}"/>
    <cellStyle name="Normal 5 4 9 2" xfId="6893" xr:uid="{00000000-0005-0000-0000-00004B1B0000}"/>
    <cellStyle name="Normal 5 4 9 2 2" xfId="25518" xr:uid="{4E91F2DF-9E72-4B1B-A9E8-BAEF826829F4}"/>
    <cellStyle name="Normal 5 4 9 2 3" xfId="16219" xr:uid="{08BDC576-12B4-4206-89EA-D079B13B291A}"/>
    <cellStyle name="Normal 5 4 9 3" xfId="21301" xr:uid="{19721E2F-9136-4BE6-B17D-D2EED30C776C}"/>
    <cellStyle name="Normal 5 4 9 4" xfId="12002" xr:uid="{FF872986-225C-4809-8575-BDA7CAC180B5}"/>
    <cellStyle name="Normal 5 5" xfId="464" xr:uid="{00000000-0005-0000-0000-00004C1B0000}"/>
    <cellStyle name="Normal 5 5 10" xfId="8826" xr:uid="{5746674A-546A-44BF-97FB-6D298BF3AD61}"/>
    <cellStyle name="Normal 5 5 10 2" xfId="27449" xr:uid="{8FCE074C-8408-4D57-833B-D2D7CF3C94B6}"/>
    <cellStyle name="Normal 5 5 10 3" xfId="18150" xr:uid="{368B2431-3A6A-4951-A54B-BB8ECECA1D15}"/>
    <cellStyle name="Normal 5 5 11" xfId="19244" xr:uid="{B0712EBD-33A9-41BF-8438-AFC2E6B7785B}"/>
    <cellStyle name="Normal 5 5 12" xfId="9945" xr:uid="{A507780A-BC2C-446E-8E5D-6D9EB966F233}"/>
    <cellStyle name="Normal 5 5 2" xfId="465" xr:uid="{00000000-0005-0000-0000-00004D1B0000}"/>
    <cellStyle name="Normal 5 5 2 10" xfId="19245" xr:uid="{9B37BA3C-0442-46B2-996B-5E699699E34F}"/>
    <cellStyle name="Normal 5 5 2 11" xfId="9946" xr:uid="{18124180-6F37-4359-A22D-1FF04B8F5DBD}"/>
    <cellStyle name="Normal 5 5 2 2" xfId="466" xr:uid="{00000000-0005-0000-0000-00004E1B0000}"/>
    <cellStyle name="Normal 5 5 2 2 10" xfId="9947" xr:uid="{E14E6471-4B24-437F-9594-4CCE0C434836}"/>
    <cellStyle name="Normal 5 5 2 2 2" xfId="940" xr:uid="{00000000-0005-0000-0000-00004F1B0000}"/>
    <cellStyle name="Normal 5 5 2 2 2 2" xfId="3174" xr:uid="{00000000-0005-0000-0000-0000501B0000}"/>
    <cellStyle name="Normal 5 5 2 2 2 2 2" xfId="7396" xr:uid="{00000000-0005-0000-0000-0000511B0000}"/>
    <cellStyle name="Normal 5 5 2 2 2 2 2 2" xfId="26021" xr:uid="{B840EF9B-F7BA-448E-9E21-D51621CD1706}"/>
    <cellStyle name="Normal 5 5 2 2 2 2 2 3" xfId="16722" xr:uid="{CB1250B5-5AC1-47B9-BA81-E3F9763A295E}"/>
    <cellStyle name="Normal 5 5 2 2 2 2 3" xfId="21804" xr:uid="{BC7B8B80-7AA9-4396-95D6-6B2DDD7F8E5F}"/>
    <cellStyle name="Normal 5 5 2 2 2 2 4" xfId="12505" xr:uid="{8C7EE278-98B9-4164-AC94-5AA73F01D2A3}"/>
    <cellStyle name="Normal 5 5 2 2 2 3" xfId="5251" xr:uid="{00000000-0005-0000-0000-0000521B0000}"/>
    <cellStyle name="Normal 5 5 2 2 2 3 2" xfId="23876" xr:uid="{76BB4705-1B48-48AD-9150-20C3F41D8735}"/>
    <cellStyle name="Normal 5 5 2 2 2 3 3" xfId="14577" xr:uid="{A66F4259-15D3-4758-8ABB-C1153A6CC5CA}"/>
    <cellStyle name="Normal 5 5 2 2 2 4" xfId="9561" xr:uid="{FF1EB4DD-E23E-4228-816B-D59B021F724D}"/>
    <cellStyle name="Normal 5 5 2 2 2 4 2" xfId="28175" xr:uid="{1EB1B1ED-AB50-4939-A49D-84677596FC7C}"/>
    <cellStyle name="Normal 5 5 2 2 2 4 3" xfId="18876" xr:uid="{C6018552-F79E-4BC6-B0D4-7ECF571AEC29}"/>
    <cellStyle name="Normal 5 5 2 2 2 5" xfId="19659" xr:uid="{3F7F04AF-304F-4A93-9012-A307840AAE6F}"/>
    <cellStyle name="Normal 5 5 2 2 2 6" xfId="10360" xr:uid="{2E83A42A-7086-4D9C-80D1-32E882B2AD42}"/>
    <cellStyle name="Normal 5 5 2 2 3" xfId="1357" xr:uid="{00000000-0005-0000-0000-0000531B0000}"/>
    <cellStyle name="Normal 5 5 2 2 3 2" xfId="3587" xr:uid="{00000000-0005-0000-0000-0000541B0000}"/>
    <cellStyle name="Normal 5 5 2 2 3 2 2" xfId="7809" xr:uid="{00000000-0005-0000-0000-0000551B0000}"/>
    <cellStyle name="Normal 5 5 2 2 3 2 2 2" xfId="26434" xr:uid="{E888C05D-204C-49A7-B6DB-4A121D287DBB}"/>
    <cellStyle name="Normal 5 5 2 2 3 2 2 3" xfId="17135" xr:uid="{EA2155AC-6DFB-4868-BFE0-287268CEA6C0}"/>
    <cellStyle name="Normal 5 5 2 2 3 2 3" xfId="22217" xr:uid="{0624F1B0-C063-401C-BEF9-83E3CCEC578F}"/>
    <cellStyle name="Normal 5 5 2 2 3 2 4" xfId="12918" xr:uid="{2E184FA1-6429-4DB8-ABB6-B98EAD74296B}"/>
    <cellStyle name="Normal 5 5 2 2 3 3" xfId="5664" xr:uid="{00000000-0005-0000-0000-0000561B0000}"/>
    <cellStyle name="Normal 5 5 2 2 3 3 2" xfId="24289" xr:uid="{AB168D2D-7F56-4222-B264-4C4C5D49BF20}"/>
    <cellStyle name="Normal 5 5 2 2 3 3 3" xfId="14990" xr:uid="{08D33FDF-5C88-493D-A7F8-9EE400B58769}"/>
    <cellStyle name="Normal 5 5 2 2 3 4" xfId="20072" xr:uid="{B503EE23-841D-4CFE-998E-CC8265A2385E}"/>
    <cellStyle name="Normal 5 5 2 2 3 5" xfId="10773" xr:uid="{5AC607E5-7F96-4CC6-B1E3-92E470DBA947}"/>
    <cellStyle name="Normal 5 5 2 2 4" xfId="1770" xr:uid="{00000000-0005-0000-0000-0000571B0000}"/>
    <cellStyle name="Normal 5 5 2 2 4 2" xfId="4000" xr:uid="{00000000-0005-0000-0000-0000581B0000}"/>
    <cellStyle name="Normal 5 5 2 2 4 2 2" xfId="8222" xr:uid="{00000000-0005-0000-0000-0000591B0000}"/>
    <cellStyle name="Normal 5 5 2 2 4 2 2 2" xfId="26847" xr:uid="{57E275DA-31DF-4531-9365-A117D24C2FCF}"/>
    <cellStyle name="Normal 5 5 2 2 4 2 2 3" xfId="17548" xr:uid="{D07AF812-37D9-4F8F-B4F4-F3F48DE8E52F}"/>
    <cellStyle name="Normal 5 5 2 2 4 2 3" xfId="22630" xr:uid="{57E4B8E2-926F-4354-9A21-9256C0E4AE0C}"/>
    <cellStyle name="Normal 5 5 2 2 4 2 4" xfId="13331" xr:uid="{49836CF2-73A0-4171-9692-F09E2DAAC53F}"/>
    <cellStyle name="Normal 5 5 2 2 4 3" xfId="6077" xr:uid="{00000000-0005-0000-0000-00005A1B0000}"/>
    <cellStyle name="Normal 5 5 2 2 4 3 2" xfId="24702" xr:uid="{6FC0484E-C36C-47C0-A23F-4498FB3160FB}"/>
    <cellStyle name="Normal 5 5 2 2 4 3 3" xfId="15403" xr:uid="{C9C295A7-7260-4F85-84D2-F54335291FD1}"/>
    <cellStyle name="Normal 5 5 2 2 4 4" xfId="20485" xr:uid="{3F3863BB-DF1D-4678-806C-52812938A902}"/>
    <cellStyle name="Normal 5 5 2 2 4 5" xfId="11186" xr:uid="{81AAA6BF-A91F-44A2-879C-9CF588578790}"/>
    <cellStyle name="Normal 5 5 2 2 5" xfId="2184" xr:uid="{00000000-0005-0000-0000-00005B1B0000}"/>
    <cellStyle name="Normal 5 5 2 2 5 2" xfId="4413" xr:uid="{00000000-0005-0000-0000-00005C1B0000}"/>
    <cellStyle name="Normal 5 5 2 2 5 2 2" xfId="8635" xr:uid="{00000000-0005-0000-0000-00005D1B0000}"/>
    <cellStyle name="Normal 5 5 2 2 5 2 2 2" xfId="27260" xr:uid="{81116257-0458-47F6-99E2-88FFDD4B6171}"/>
    <cellStyle name="Normal 5 5 2 2 5 2 2 3" xfId="17961" xr:uid="{CC8E3AFB-3298-4F16-A130-A33A0EBF9297}"/>
    <cellStyle name="Normal 5 5 2 2 5 2 3" xfId="23043" xr:uid="{5F5E7DB9-3A2D-4361-9B75-95092604F086}"/>
    <cellStyle name="Normal 5 5 2 2 5 2 4" xfId="13744" xr:uid="{F48E9CF9-FEC7-4A2F-9A92-1E7494D821E6}"/>
    <cellStyle name="Normal 5 5 2 2 5 3" xfId="6490" xr:uid="{00000000-0005-0000-0000-00005E1B0000}"/>
    <cellStyle name="Normal 5 5 2 2 5 3 2" xfId="25115" xr:uid="{E8BB5EFD-43BE-431E-8342-6BAF0BB45B57}"/>
    <cellStyle name="Normal 5 5 2 2 5 3 3" xfId="15816" xr:uid="{B49622B1-77F9-4FEC-9947-A0E6B3945AD4}"/>
    <cellStyle name="Normal 5 5 2 2 5 4" xfId="20898" xr:uid="{FF8DD952-E84F-4299-8628-8470CA116E96}"/>
    <cellStyle name="Normal 5 5 2 2 5 5" xfId="11599" xr:uid="{3D67C1E8-FE3E-4F37-9E05-E98F105F6F11}"/>
    <cellStyle name="Normal 5 5 2 2 6" xfId="2620" xr:uid="{00000000-0005-0000-0000-00005F1B0000}"/>
    <cellStyle name="Normal 5 5 2 2 6 2" xfId="6903" xr:uid="{00000000-0005-0000-0000-0000601B0000}"/>
    <cellStyle name="Normal 5 5 2 2 6 2 2" xfId="25528" xr:uid="{6D117378-1259-47B2-9028-0BF7136E4776}"/>
    <cellStyle name="Normal 5 5 2 2 6 2 3" xfId="16229" xr:uid="{6147348C-2B18-4ABF-96D0-D0AFA27ADA48}"/>
    <cellStyle name="Normal 5 5 2 2 6 3" xfId="21311" xr:uid="{A7929690-8326-4960-8572-7B6D9AB3C1FB}"/>
    <cellStyle name="Normal 5 5 2 2 6 4" xfId="12012" xr:uid="{9DD5DCB4-53AD-45CC-ABA6-1C2EF6DC21E8}"/>
    <cellStyle name="Normal 5 5 2 2 7" xfId="4838" xr:uid="{00000000-0005-0000-0000-0000611B0000}"/>
    <cellStyle name="Normal 5 5 2 2 7 2" xfId="23463" xr:uid="{7488E42B-EEB8-4F2B-AC65-C45A13B6F05F}"/>
    <cellStyle name="Normal 5 5 2 2 7 3" xfId="14164" xr:uid="{C8C56F7A-A47B-4588-A1B2-A79C127F4693}"/>
    <cellStyle name="Normal 5 5 2 2 8" xfId="9136" xr:uid="{D41453B5-3BE6-4F01-B336-45A274529844}"/>
    <cellStyle name="Normal 5 5 2 2 8 2" xfId="27759" xr:uid="{93E114A0-FB7E-464C-A716-F8BAC2F6AB4D}"/>
    <cellStyle name="Normal 5 5 2 2 8 3" xfId="18460" xr:uid="{4EEFF5C5-973F-4EB8-9D9B-B5D1C7EF61BC}"/>
    <cellStyle name="Normal 5 5 2 2 9" xfId="19246" xr:uid="{0BAA9021-887D-4758-9AEB-262686515D35}"/>
    <cellStyle name="Normal 5 5 2 3" xfId="939" xr:uid="{00000000-0005-0000-0000-0000621B0000}"/>
    <cellStyle name="Normal 5 5 2 3 2" xfId="3173" xr:uid="{00000000-0005-0000-0000-0000631B0000}"/>
    <cellStyle name="Normal 5 5 2 3 2 2" xfId="7395" xr:uid="{00000000-0005-0000-0000-0000641B0000}"/>
    <cellStyle name="Normal 5 5 2 3 2 2 2" xfId="26020" xr:uid="{CAD28EB3-03D7-4408-97EA-820DF9D5F952}"/>
    <cellStyle name="Normal 5 5 2 3 2 2 3" xfId="16721" xr:uid="{B4093D3B-CEE0-4456-AF4E-280988EAEF8E}"/>
    <cellStyle name="Normal 5 5 2 3 2 3" xfId="21803" xr:uid="{C9610233-75FA-4C3F-A99E-4022329DB55D}"/>
    <cellStyle name="Normal 5 5 2 3 2 4" xfId="12504" xr:uid="{4D8B5E98-3211-424A-9B1D-6D3B39DBA196}"/>
    <cellStyle name="Normal 5 5 2 3 3" xfId="5250" xr:uid="{00000000-0005-0000-0000-0000651B0000}"/>
    <cellStyle name="Normal 5 5 2 3 3 2" xfId="23875" xr:uid="{3BBDD7AC-2F96-488F-8FCE-02D291C2CF98}"/>
    <cellStyle name="Normal 5 5 2 3 3 3" xfId="14576" xr:uid="{585F0CA0-3747-4E06-9474-3B9CB6658E85}"/>
    <cellStyle name="Normal 5 5 2 3 4" xfId="9354" xr:uid="{3251F49D-E700-469D-9840-28045D408641}"/>
    <cellStyle name="Normal 5 5 2 3 4 2" xfId="27968" xr:uid="{AF6CA995-17BE-4F59-8D2F-85A5CFE95C1C}"/>
    <cellStyle name="Normal 5 5 2 3 4 3" xfId="18669" xr:uid="{9CD3B84A-06BF-46E3-94C0-DF25D62F7CAE}"/>
    <cellStyle name="Normal 5 5 2 3 5" xfId="19658" xr:uid="{A7623A72-E5AF-4388-AE35-518BDB61DA07}"/>
    <cellStyle name="Normal 5 5 2 3 6" xfId="10359" xr:uid="{B7AB6B20-2315-4CC2-A36A-7A01E4524765}"/>
    <cellStyle name="Normal 5 5 2 4" xfId="1356" xr:uid="{00000000-0005-0000-0000-0000661B0000}"/>
    <cellStyle name="Normal 5 5 2 4 2" xfId="3586" xr:uid="{00000000-0005-0000-0000-0000671B0000}"/>
    <cellStyle name="Normal 5 5 2 4 2 2" xfId="7808" xr:uid="{00000000-0005-0000-0000-0000681B0000}"/>
    <cellStyle name="Normal 5 5 2 4 2 2 2" xfId="26433" xr:uid="{EAE50620-3E52-4265-80BA-283AAAC1BFE5}"/>
    <cellStyle name="Normal 5 5 2 4 2 2 3" xfId="17134" xr:uid="{182C7B2C-6D99-452D-B4C6-87ECA9EBA8B8}"/>
    <cellStyle name="Normal 5 5 2 4 2 3" xfId="22216" xr:uid="{C1729798-2CEA-4609-B3A1-3DED5227509A}"/>
    <cellStyle name="Normal 5 5 2 4 2 4" xfId="12917" xr:uid="{FEA2747D-852A-4EAC-A8EF-FAED983E0E6A}"/>
    <cellStyle name="Normal 5 5 2 4 3" xfId="5663" xr:uid="{00000000-0005-0000-0000-0000691B0000}"/>
    <cellStyle name="Normal 5 5 2 4 3 2" xfId="24288" xr:uid="{580537B1-2004-4C48-B365-77DDA6B00B15}"/>
    <cellStyle name="Normal 5 5 2 4 3 3" xfId="14989" xr:uid="{4468E415-C6ED-40C2-B87F-1E09726311AD}"/>
    <cellStyle name="Normal 5 5 2 4 4" xfId="20071" xr:uid="{05009B0E-3F20-44EC-923F-9AE3E93BBC9A}"/>
    <cellStyle name="Normal 5 5 2 4 5" xfId="10772" xr:uid="{115FDA50-9F3C-4301-97D1-E3F129389AD1}"/>
    <cellStyle name="Normal 5 5 2 5" xfId="1769" xr:uid="{00000000-0005-0000-0000-00006A1B0000}"/>
    <cellStyle name="Normal 5 5 2 5 2" xfId="3999" xr:uid="{00000000-0005-0000-0000-00006B1B0000}"/>
    <cellStyle name="Normal 5 5 2 5 2 2" xfId="8221" xr:uid="{00000000-0005-0000-0000-00006C1B0000}"/>
    <cellStyle name="Normal 5 5 2 5 2 2 2" xfId="26846" xr:uid="{B27B1E5A-AD65-444C-9027-B1A0E65D2867}"/>
    <cellStyle name="Normal 5 5 2 5 2 2 3" xfId="17547" xr:uid="{76C03573-11AA-4735-9B78-0480D43C625A}"/>
    <cellStyle name="Normal 5 5 2 5 2 3" xfId="22629" xr:uid="{6D8A6AF9-88CF-413C-BFF6-7504FDED5357}"/>
    <cellStyle name="Normal 5 5 2 5 2 4" xfId="13330" xr:uid="{8479F35B-6146-4BCF-AA3F-671D25D0A21F}"/>
    <cellStyle name="Normal 5 5 2 5 3" xfId="6076" xr:uid="{00000000-0005-0000-0000-00006D1B0000}"/>
    <cellStyle name="Normal 5 5 2 5 3 2" xfId="24701" xr:uid="{B4459942-1B56-4E0C-9C91-36E84097BD08}"/>
    <cellStyle name="Normal 5 5 2 5 3 3" xfId="15402" xr:uid="{1174C9EA-3C6E-4703-8F8D-CC8C226126C9}"/>
    <cellStyle name="Normal 5 5 2 5 4" xfId="20484" xr:uid="{D0896137-CB0A-4072-B5AB-C9CB042CA06A}"/>
    <cellStyle name="Normal 5 5 2 5 5" xfId="11185" xr:uid="{FCA16E2E-0EE2-47A8-852B-AB36490469A7}"/>
    <cellStyle name="Normal 5 5 2 6" xfId="2183" xr:uid="{00000000-0005-0000-0000-00006E1B0000}"/>
    <cellStyle name="Normal 5 5 2 6 2" xfId="4412" xr:uid="{00000000-0005-0000-0000-00006F1B0000}"/>
    <cellStyle name="Normal 5 5 2 6 2 2" xfId="8634" xr:uid="{00000000-0005-0000-0000-0000701B0000}"/>
    <cellStyle name="Normal 5 5 2 6 2 2 2" xfId="27259" xr:uid="{C6D8DD3B-2C66-4990-92E0-33032DD26E65}"/>
    <cellStyle name="Normal 5 5 2 6 2 2 3" xfId="17960" xr:uid="{A03F87C5-0FBA-41A2-A21B-6E55EDC52699}"/>
    <cellStyle name="Normal 5 5 2 6 2 3" xfId="23042" xr:uid="{C742CE34-0DC8-4B63-A2CC-531955DD4DE5}"/>
    <cellStyle name="Normal 5 5 2 6 2 4" xfId="13743" xr:uid="{BF5053D2-9CD7-4E56-8504-92F83872F852}"/>
    <cellStyle name="Normal 5 5 2 6 3" xfId="6489" xr:uid="{00000000-0005-0000-0000-0000711B0000}"/>
    <cellStyle name="Normal 5 5 2 6 3 2" xfId="25114" xr:uid="{451EB52C-A58D-4329-9495-C3B2928CFC0A}"/>
    <cellStyle name="Normal 5 5 2 6 3 3" xfId="15815" xr:uid="{E79CA7DB-3B95-4205-B833-1679E2B48BE2}"/>
    <cellStyle name="Normal 5 5 2 6 4" xfId="20897" xr:uid="{D058E2C2-67B2-439F-B558-AA98EFB5A353}"/>
    <cellStyle name="Normal 5 5 2 6 5" xfId="11598" xr:uid="{B588D0CD-99AE-433F-9F90-3397B96AE264}"/>
    <cellStyle name="Normal 5 5 2 7" xfId="2619" xr:uid="{00000000-0005-0000-0000-0000721B0000}"/>
    <cellStyle name="Normal 5 5 2 7 2" xfId="6902" xr:uid="{00000000-0005-0000-0000-0000731B0000}"/>
    <cellStyle name="Normal 5 5 2 7 2 2" xfId="25527" xr:uid="{4A2FE96A-A015-405D-A1E0-957C575BDFA5}"/>
    <cellStyle name="Normal 5 5 2 7 2 3" xfId="16228" xr:uid="{CA907206-F551-426F-A499-AE278F628437}"/>
    <cellStyle name="Normal 5 5 2 7 3" xfId="21310" xr:uid="{F5E73CB8-F763-4E79-868E-09C25DFE9791}"/>
    <cellStyle name="Normal 5 5 2 7 4" xfId="12011" xr:uid="{26E7E47A-FF90-462A-A82F-4DA3A35C9680}"/>
    <cellStyle name="Normal 5 5 2 8" xfId="4837" xr:uid="{00000000-0005-0000-0000-0000741B0000}"/>
    <cellStyle name="Normal 5 5 2 8 2" xfId="23462" xr:uid="{179E38E9-E4DC-4655-B471-B65715DAE545}"/>
    <cellStyle name="Normal 5 5 2 8 3" xfId="14163" xr:uid="{FE84A968-90F3-4BCA-A755-DCEFDDE7473D}"/>
    <cellStyle name="Normal 5 5 2 9" xfId="8929" xr:uid="{918246BA-1946-46D4-8BAF-6DC0C4DC8AC3}"/>
    <cellStyle name="Normal 5 5 2 9 2" xfId="27552" xr:uid="{41C65396-7361-4A52-8DDE-942C70A16EAA}"/>
    <cellStyle name="Normal 5 5 2 9 3" xfId="18253" xr:uid="{DED0B66D-3847-47EA-8B25-69A22265BF7F}"/>
    <cellStyle name="Normal 5 5 3" xfId="467" xr:uid="{00000000-0005-0000-0000-0000751B0000}"/>
    <cellStyle name="Normal 5 5 3 10" xfId="9948" xr:uid="{6FE8661F-B019-4D25-B8EF-780CEBC69954}"/>
    <cellStyle name="Normal 5 5 3 2" xfId="941" xr:uid="{00000000-0005-0000-0000-0000761B0000}"/>
    <cellStyle name="Normal 5 5 3 2 2" xfId="3175" xr:uid="{00000000-0005-0000-0000-0000771B0000}"/>
    <cellStyle name="Normal 5 5 3 2 2 2" xfId="7397" xr:uid="{00000000-0005-0000-0000-0000781B0000}"/>
    <cellStyle name="Normal 5 5 3 2 2 2 2" xfId="26022" xr:uid="{3CFE3798-F355-4470-B0EB-FEEF6EEC2497}"/>
    <cellStyle name="Normal 5 5 3 2 2 2 3" xfId="16723" xr:uid="{2F976051-D8AD-4C14-B9BB-7593EC4F28A2}"/>
    <cellStyle name="Normal 5 5 3 2 2 3" xfId="21805" xr:uid="{2A86DDE9-756E-40EF-9246-4A402A8FE021}"/>
    <cellStyle name="Normal 5 5 3 2 2 4" xfId="12506" xr:uid="{100B4508-01CF-4421-B4EE-171BE9AAD7C7}"/>
    <cellStyle name="Normal 5 5 3 2 3" xfId="5252" xr:uid="{00000000-0005-0000-0000-0000791B0000}"/>
    <cellStyle name="Normal 5 5 3 2 3 2" xfId="23877" xr:uid="{D59B803C-E0C6-42DB-9F19-E9AAFF3447AE}"/>
    <cellStyle name="Normal 5 5 3 2 3 3" xfId="14578" xr:uid="{A7F907B9-7BE2-43EB-BC28-FD3183252532}"/>
    <cellStyle name="Normal 5 5 3 2 4" xfId="9458" xr:uid="{8AD16727-CFBF-4DB5-B58F-04D48E2B564D}"/>
    <cellStyle name="Normal 5 5 3 2 4 2" xfId="28072" xr:uid="{6ECE7840-DDD9-43FA-9811-8BD9A8B5C3C1}"/>
    <cellStyle name="Normal 5 5 3 2 4 3" xfId="18773" xr:uid="{821C0FBD-1161-4200-8693-16DBBE353211}"/>
    <cellStyle name="Normal 5 5 3 2 5" xfId="19660" xr:uid="{27A197AA-7A70-436C-8E8A-D180BBEC1C13}"/>
    <cellStyle name="Normal 5 5 3 2 6" xfId="10361" xr:uid="{D15F5CD5-6D84-44AA-9824-4322E14ED73E}"/>
    <cellStyle name="Normal 5 5 3 3" xfId="1358" xr:uid="{00000000-0005-0000-0000-00007A1B0000}"/>
    <cellStyle name="Normal 5 5 3 3 2" xfId="3588" xr:uid="{00000000-0005-0000-0000-00007B1B0000}"/>
    <cellStyle name="Normal 5 5 3 3 2 2" xfId="7810" xr:uid="{00000000-0005-0000-0000-00007C1B0000}"/>
    <cellStyle name="Normal 5 5 3 3 2 2 2" xfId="26435" xr:uid="{1206B79B-4E7F-4CE4-B040-DD341B659771}"/>
    <cellStyle name="Normal 5 5 3 3 2 2 3" xfId="17136" xr:uid="{55E336A9-A1E6-47B5-942F-C9B03B598D52}"/>
    <cellStyle name="Normal 5 5 3 3 2 3" xfId="22218" xr:uid="{B34DF2F7-6CF9-43E1-840C-D8CD4D1B1BA4}"/>
    <cellStyle name="Normal 5 5 3 3 2 4" xfId="12919" xr:uid="{4CAE67FD-9270-4A69-BD70-979E2C57DB38}"/>
    <cellStyle name="Normal 5 5 3 3 3" xfId="5665" xr:uid="{00000000-0005-0000-0000-00007D1B0000}"/>
    <cellStyle name="Normal 5 5 3 3 3 2" xfId="24290" xr:uid="{1B739AFA-31EB-48E5-9BEA-E34B90BAF705}"/>
    <cellStyle name="Normal 5 5 3 3 3 3" xfId="14991" xr:uid="{77B9567A-7AAC-4ECA-A6A9-1571BFD6978A}"/>
    <cellStyle name="Normal 5 5 3 3 4" xfId="20073" xr:uid="{9302BBE8-2B0A-4DE8-92F9-4B99040CFA7E}"/>
    <cellStyle name="Normal 5 5 3 3 5" xfId="10774" xr:uid="{86FDE5B5-486E-417F-8D47-3982B6F4ACA8}"/>
    <cellStyle name="Normal 5 5 3 4" xfId="1771" xr:uid="{00000000-0005-0000-0000-00007E1B0000}"/>
    <cellStyle name="Normal 5 5 3 4 2" xfId="4001" xr:uid="{00000000-0005-0000-0000-00007F1B0000}"/>
    <cellStyle name="Normal 5 5 3 4 2 2" xfId="8223" xr:uid="{00000000-0005-0000-0000-0000801B0000}"/>
    <cellStyle name="Normal 5 5 3 4 2 2 2" xfId="26848" xr:uid="{B55BFF8D-8697-4327-BCF8-A862FC078326}"/>
    <cellStyle name="Normal 5 5 3 4 2 2 3" xfId="17549" xr:uid="{1FBDE054-0B10-481A-A6C4-BC23DA1D7752}"/>
    <cellStyle name="Normal 5 5 3 4 2 3" xfId="22631" xr:uid="{535CFE5D-3476-4D0D-A45C-A23E080F5195}"/>
    <cellStyle name="Normal 5 5 3 4 2 4" xfId="13332" xr:uid="{F8D755E9-A2D5-4ECC-835B-DE78FA72DD67}"/>
    <cellStyle name="Normal 5 5 3 4 3" xfId="6078" xr:uid="{00000000-0005-0000-0000-0000811B0000}"/>
    <cellStyle name="Normal 5 5 3 4 3 2" xfId="24703" xr:uid="{74C60911-0A02-4E90-90F5-23BA734F58A8}"/>
    <cellStyle name="Normal 5 5 3 4 3 3" xfId="15404" xr:uid="{D4CEEDD5-429E-4142-A7A8-13FB5A07D1E4}"/>
    <cellStyle name="Normal 5 5 3 4 4" xfId="20486" xr:uid="{E392DBA0-8B99-4822-89DF-B5F411CE23AD}"/>
    <cellStyle name="Normal 5 5 3 4 5" xfId="11187" xr:uid="{2A8EECA0-625A-418D-8595-A1D650B2A825}"/>
    <cellStyle name="Normal 5 5 3 5" xfId="2185" xr:uid="{00000000-0005-0000-0000-0000821B0000}"/>
    <cellStyle name="Normal 5 5 3 5 2" xfId="4414" xr:uid="{00000000-0005-0000-0000-0000831B0000}"/>
    <cellStyle name="Normal 5 5 3 5 2 2" xfId="8636" xr:uid="{00000000-0005-0000-0000-0000841B0000}"/>
    <cellStyle name="Normal 5 5 3 5 2 2 2" xfId="27261" xr:uid="{A7F8D73D-F10D-42FC-9A86-A757A632DBD8}"/>
    <cellStyle name="Normal 5 5 3 5 2 2 3" xfId="17962" xr:uid="{ADA01BB2-DFDE-4F69-85E0-9F40653DBE23}"/>
    <cellStyle name="Normal 5 5 3 5 2 3" xfId="23044" xr:uid="{100A69E6-D97C-4CB6-9556-3B3C4701981D}"/>
    <cellStyle name="Normal 5 5 3 5 2 4" xfId="13745" xr:uid="{1C2020F8-384F-473D-8CBC-57A96FF84D79}"/>
    <cellStyle name="Normal 5 5 3 5 3" xfId="6491" xr:uid="{00000000-0005-0000-0000-0000851B0000}"/>
    <cellStyle name="Normal 5 5 3 5 3 2" xfId="25116" xr:uid="{CF875F90-16FD-446D-8A96-D14DB6FC7F40}"/>
    <cellStyle name="Normal 5 5 3 5 3 3" xfId="15817" xr:uid="{DA56C4EB-5878-47D4-9754-ADEB3F131022}"/>
    <cellStyle name="Normal 5 5 3 5 4" xfId="20899" xr:uid="{57F853AC-D64C-46F2-9DD7-9284B6B13EDF}"/>
    <cellStyle name="Normal 5 5 3 5 5" xfId="11600" xr:uid="{7010665A-30A7-4D4B-AECE-889831FD57C5}"/>
    <cellStyle name="Normal 5 5 3 6" xfId="2621" xr:uid="{00000000-0005-0000-0000-0000861B0000}"/>
    <cellStyle name="Normal 5 5 3 6 2" xfId="6904" xr:uid="{00000000-0005-0000-0000-0000871B0000}"/>
    <cellStyle name="Normal 5 5 3 6 2 2" xfId="25529" xr:uid="{51042734-DDEB-4E4C-A0B9-34E9783463C3}"/>
    <cellStyle name="Normal 5 5 3 6 2 3" xfId="16230" xr:uid="{0764513A-7496-4749-9CD1-3504D4F82891}"/>
    <cellStyle name="Normal 5 5 3 6 3" xfId="21312" xr:uid="{8890EF6F-C4F5-4644-AE08-99282C73FF99}"/>
    <cellStyle name="Normal 5 5 3 6 4" xfId="12013" xr:uid="{107EBA4F-E3A1-42E1-8716-372E1E789BEE}"/>
    <cellStyle name="Normal 5 5 3 7" xfId="4839" xr:uid="{00000000-0005-0000-0000-0000881B0000}"/>
    <cellStyle name="Normal 5 5 3 7 2" xfId="23464" xr:uid="{4E244388-8D55-4698-8417-C36FC76C38E1}"/>
    <cellStyle name="Normal 5 5 3 7 3" xfId="14165" xr:uid="{742A430E-D556-465D-ADD6-C6A361988D8E}"/>
    <cellStyle name="Normal 5 5 3 8" xfId="9033" xr:uid="{08F77EF7-8D03-42D9-B538-FE3582C4B971}"/>
    <cellStyle name="Normal 5 5 3 8 2" xfId="27656" xr:uid="{585D7306-0EC9-4133-A5BA-3D350DBD00E4}"/>
    <cellStyle name="Normal 5 5 3 8 3" xfId="18357" xr:uid="{77918327-0BE5-4000-AE0D-9AC1B5BB303A}"/>
    <cellStyle name="Normal 5 5 3 9" xfId="19247" xr:uid="{C7EDDD6C-5B15-49C7-B85F-A6D0F92C972A}"/>
    <cellStyle name="Normal 5 5 4" xfId="938" xr:uid="{00000000-0005-0000-0000-0000891B0000}"/>
    <cellStyle name="Normal 5 5 4 2" xfId="3172" xr:uid="{00000000-0005-0000-0000-00008A1B0000}"/>
    <cellStyle name="Normal 5 5 4 2 2" xfId="7394" xr:uid="{00000000-0005-0000-0000-00008B1B0000}"/>
    <cellStyle name="Normal 5 5 4 2 2 2" xfId="26019" xr:uid="{9838F558-E72F-4119-AA62-92DE0BDA556F}"/>
    <cellStyle name="Normal 5 5 4 2 2 3" xfId="16720" xr:uid="{36ACD9B0-A76C-4D89-AEA5-BAE531376F2F}"/>
    <cellStyle name="Normal 5 5 4 2 3" xfId="21802" xr:uid="{41505B01-88CC-4AC9-B7C0-A2660FC084AB}"/>
    <cellStyle name="Normal 5 5 4 2 4" xfId="12503" xr:uid="{DA2528D4-85F0-41A5-89AA-988796C32514}"/>
    <cellStyle name="Normal 5 5 4 3" xfId="5249" xr:uid="{00000000-0005-0000-0000-00008C1B0000}"/>
    <cellStyle name="Normal 5 5 4 3 2" xfId="23874" xr:uid="{07B7FDB9-F854-4BCF-B044-83E93C938446}"/>
    <cellStyle name="Normal 5 5 4 3 3" xfId="14575" xr:uid="{E718DCEF-D400-4041-8D38-E1701DE62848}"/>
    <cellStyle name="Normal 5 5 4 4" xfId="9251" xr:uid="{4EAD9E35-D3C9-46BE-AE4D-29A1C6D5A6F7}"/>
    <cellStyle name="Normal 5 5 4 4 2" xfId="27865" xr:uid="{00C53895-785B-4C62-BCD2-285BB1314148}"/>
    <cellStyle name="Normal 5 5 4 4 3" xfId="18566" xr:uid="{0D4DB42E-DC12-41A5-8B3A-69B2302E658A}"/>
    <cellStyle name="Normal 5 5 4 5" xfId="19657" xr:uid="{94EA6BD3-46D9-4DEB-8224-EA1761FA1331}"/>
    <cellStyle name="Normal 5 5 4 6" xfId="10358" xr:uid="{726C029B-B9EE-4BEB-9C4A-2155ADDE954B}"/>
    <cellStyle name="Normal 5 5 5" xfId="1355" xr:uid="{00000000-0005-0000-0000-00008D1B0000}"/>
    <cellStyle name="Normal 5 5 5 2" xfId="3585" xr:uid="{00000000-0005-0000-0000-00008E1B0000}"/>
    <cellStyle name="Normal 5 5 5 2 2" xfId="7807" xr:uid="{00000000-0005-0000-0000-00008F1B0000}"/>
    <cellStyle name="Normal 5 5 5 2 2 2" xfId="26432" xr:uid="{AC7FC2DE-172A-467C-B607-512AA1D3BB4D}"/>
    <cellStyle name="Normal 5 5 5 2 2 3" xfId="17133" xr:uid="{D03DDE62-AA72-4262-BB08-F1B59CFE9A37}"/>
    <cellStyle name="Normal 5 5 5 2 3" xfId="22215" xr:uid="{666C048B-728B-4F97-9F0F-49ADBA14711E}"/>
    <cellStyle name="Normal 5 5 5 2 4" xfId="12916" xr:uid="{5FA12635-9FCD-4DCF-AC0D-749DBFA5BECF}"/>
    <cellStyle name="Normal 5 5 5 3" xfId="5662" xr:uid="{00000000-0005-0000-0000-0000901B0000}"/>
    <cellStyle name="Normal 5 5 5 3 2" xfId="24287" xr:uid="{F600BD0B-D33F-435F-83A2-092E82126E2C}"/>
    <cellStyle name="Normal 5 5 5 3 3" xfId="14988" xr:uid="{22F1C0AD-A81A-44A9-A759-F2BED9B70193}"/>
    <cellStyle name="Normal 5 5 5 4" xfId="20070" xr:uid="{6A8B38E8-52BC-4384-8E94-70B3AB3ED6B8}"/>
    <cellStyle name="Normal 5 5 5 5" xfId="10771" xr:uid="{14BB7CA1-588D-4F5D-8069-E061E3258340}"/>
    <cellStyle name="Normal 5 5 6" xfId="1768" xr:uid="{00000000-0005-0000-0000-0000911B0000}"/>
    <cellStyle name="Normal 5 5 6 2" xfId="3998" xr:uid="{00000000-0005-0000-0000-0000921B0000}"/>
    <cellStyle name="Normal 5 5 6 2 2" xfId="8220" xr:uid="{00000000-0005-0000-0000-0000931B0000}"/>
    <cellStyle name="Normal 5 5 6 2 2 2" xfId="26845" xr:uid="{0EE45A27-AD8E-44EE-891E-B02FF6A08701}"/>
    <cellStyle name="Normal 5 5 6 2 2 3" xfId="17546" xr:uid="{4F69BE73-5053-4D07-AC4F-AFFEB6643E76}"/>
    <cellStyle name="Normal 5 5 6 2 3" xfId="22628" xr:uid="{20C25777-6D85-4AEA-B34D-D234321B71FF}"/>
    <cellStyle name="Normal 5 5 6 2 4" xfId="13329" xr:uid="{E11174FB-F373-4EAD-86E2-36236077423A}"/>
    <cellStyle name="Normal 5 5 6 3" xfId="6075" xr:uid="{00000000-0005-0000-0000-0000941B0000}"/>
    <cellStyle name="Normal 5 5 6 3 2" xfId="24700" xr:uid="{57FD51E2-47AA-4676-B0B0-99A3932C9595}"/>
    <cellStyle name="Normal 5 5 6 3 3" xfId="15401" xr:uid="{314D4007-0677-4D5D-B0AB-5D79C851C8F2}"/>
    <cellStyle name="Normal 5 5 6 4" xfId="20483" xr:uid="{E81685B1-4546-4809-9710-635BEE58E8DA}"/>
    <cellStyle name="Normal 5 5 6 5" xfId="11184" xr:uid="{123A96E4-5BDD-4C50-AEAD-E01121D1B326}"/>
    <cellStyle name="Normal 5 5 7" xfId="2182" xr:uid="{00000000-0005-0000-0000-0000951B0000}"/>
    <cellStyle name="Normal 5 5 7 2" xfId="4411" xr:uid="{00000000-0005-0000-0000-0000961B0000}"/>
    <cellStyle name="Normal 5 5 7 2 2" xfId="8633" xr:uid="{00000000-0005-0000-0000-0000971B0000}"/>
    <cellStyle name="Normal 5 5 7 2 2 2" xfId="27258" xr:uid="{064BA8AE-7635-4E0E-B7D6-75B93E091B54}"/>
    <cellStyle name="Normal 5 5 7 2 2 3" xfId="17959" xr:uid="{760584AB-C50E-4C6E-ADC1-73C5E0408700}"/>
    <cellStyle name="Normal 5 5 7 2 3" xfId="23041" xr:uid="{EC096E28-77E6-4A8C-85A7-EE65FFBEAEC3}"/>
    <cellStyle name="Normal 5 5 7 2 4" xfId="13742" xr:uid="{402C473D-7BFD-4BCF-B362-C329FC616963}"/>
    <cellStyle name="Normal 5 5 7 3" xfId="6488" xr:uid="{00000000-0005-0000-0000-0000981B0000}"/>
    <cellStyle name="Normal 5 5 7 3 2" xfId="25113" xr:uid="{1511A3C5-07A1-488B-856E-F152FDBCF18E}"/>
    <cellStyle name="Normal 5 5 7 3 3" xfId="15814" xr:uid="{CC760E17-7896-43F4-AABA-D7A1C8CF2279}"/>
    <cellStyle name="Normal 5 5 7 4" xfId="20896" xr:uid="{21708E91-B891-44CE-A35C-50BCC7A719A0}"/>
    <cellStyle name="Normal 5 5 7 5" xfId="11597" xr:uid="{579C0A1C-6FB0-44BA-9247-780152217D7E}"/>
    <cellStyle name="Normal 5 5 8" xfId="2618" xr:uid="{00000000-0005-0000-0000-0000991B0000}"/>
    <cellStyle name="Normal 5 5 8 2" xfId="6901" xr:uid="{00000000-0005-0000-0000-00009A1B0000}"/>
    <cellStyle name="Normal 5 5 8 2 2" xfId="25526" xr:uid="{0A38440B-73D0-4EE4-ACA9-8566C0F13D88}"/>
    <cellStyle name="Normal 5 5 8 2 3" xfId="16227" xr:uid="{F355828C-20FF-4C71-BA3B-E8821961D1E9}"/>
    <cellStyle name="Normal 5 5 8 3" xfId="21309" xr:uid="{27B0FEC3-D0AB-44F3-909C-FC55FBF2649F}"/>
    <cellStyle name="Normal 5 5 8 4" xfId="12010" xr:uid="{C76AAF14-12DB-4B5F-8A02-FC56E27D85D9}"/>
    <cellStyle name="Normal 5 5 9" xfId="4836" xr:uid="{00000000-0005-0000-0000-00009B1B0000}"/>
    <cellStyle name="Normal 5 5 9 2" xfId="23461" xr:uid="{E6C19C89-8C7F-4AAC-BE12-CDDADAA429F4}"/>
    <cellStyle name="Normal 5 5 9 3" xfId="14162" xr:uid="{3CBEB5CC-2213-444C-BBA5-BF506FC0487E}"/>
    <cellStyle name="Normal 5 6" xfId="468" xr:uid="{00000000-0005-0000-0000-00009C1B0000}"/>
    <cellStyle name="Normal 5 6 10" xfId="19248" xr:uid="{FF0B1DF4-1294-4567-A7F5-568CDFD82A93}"/>
    <cellStyle name="Normal 5 6 11" xfId="9949" xr:uid="{7E618286-C5AC-4CC7-BB7D-55ECCE13FFB0}"/>
    <cellStyle name="Normal 5 6 2" xfId="469" xr:uid="{00000000-0005-0000-0000-00009D1B0000}"/>
    <cellStyle name="Normal 5 6 2 10" xfId="9950" xr:uid="{7DBF96B5-1FBD-4BAE-8EAA-0EB5FD7A43C1}"/>
    <cellStyle name="Normal 5 6 2 2" xfId="943" xr:uid="{00000000-0005-0000-0000-00009E1B0000}"/>
    <cellStyle name="Normal 5 6 2 2 2" xfId="3177" xr:uid="{00000000-0005-0000-0000-00009F1B0000}"/>
    <cellStyle name="Normal 5 6 2 2 2 2" xfId="7399" xr:uid="{00000000-0005-0000-0000-0000A01B0000}"/>
    <cellStyle name="Normal 5 6 2 2 2 2 2" xfId="26024" xr:uid="{52AEA207-0571-46D8-A4AC-B706277B3A0D}"/>
    <cellStyle name="Normal 5 6 2 2 2 2 3" xfId="16725" xr:uid="{2D590FB1-B1DA-453A-B243-D044115337E7}"/>
    <cellStyle name="Normal 5 6 2 2 2 3" xfId="21807" xr:uid="{069F3900-596D-40C5-9D61-AF1F98B66DC9}"/>
    <cellStyle name="Normal 5 6 2 2 2 4" xfId="12508" xr:uid="{60BE6496-5800-4369-B8EC-B9A001F60848}"/>
    <cellStyle name="Normal 5 6 2 2 3" xfId="5254" xr:uid="{00000000-0005-0000-0000-0000A11B0000}"/>
    <cellStyle name="Normal 5 6 2 2 3 2" xfId="23879" xr:uid="{72B7DC33-9E5B-4E31-BB6A-CFD22BD1A7B3}"/>
    <cellStyle name="Normal 5 6 2 2 3 3" xfId="14580" xr:uid="{030F06AA-92F1-49C0-9E0E-F2334C9612E9}"/>
    <cellStyle name="Normal 5 6 2 2 4" xfId="9476" xr:uid="{3B3E6CA1-4D97-4B11-99D5-4F82314AA0E0}"/>
    <cellStyle name="Normal 5 6 2 2 4 2" xfId="28090" xr:uid="{9BECE9C4-6856-415B-82B2-4E078EEEB5D0}"/>
    <cellStyle name="Normal 5 6 2 2 4 3" xfId="18791" xr:uid="{14350775-4EAE-48A8-A5DC-AF52B60E7DF8}"/>
    <cellStyle name="Normal 5 6 2 2 5" xfId="19662" xr:uid="{99477E76-DB6B-4C47-8206-84F6F9FA9594}"/>
    <cellStyle name="Normal 5 6 2 2 6" xfId="10363" xr:uid="{00BCBD12-3187-414A-8F22-E6F706D2CF5C}"/>
    <cellStyle name="Normal 5 6 2 3" xfId="1360" xr:uid="{00000000-0005-0000-0000-0000A21B0000}"/>
    <cellStyle name="Normal 5 6 2 3 2" xfId="3590" xr:uid="{00000000-0005-0000-0000-0000A31B0000}"/>
    <cellStyle name="Normal 5 6 2 3 2 2" xfId="7812" xr:uid="{00000000-0005-0000-0000-0000A41B0000}"/>
    <cellStyle name="Normal 5 6 2 3 2 2 2" xfId="26437" xr:uid="{CE764DF7-D663-4F90-BA35-6F9A032B9FD8}"/>
    <cellStyle name="Normal 5 6 2 3 2 2 3" xfId="17138" xr:uid="{80CB87CC-A913-44A4-9E1B-BAD9809A7E7D}"/>
    <cellStyle name="Normal 5 6 2 3 2 3" xfId="22220" xr:uid="{55459055-92EF-4464-8100-AA7EDF1F789B}"/>
    <cellStyle name="Normal 5 6 2 3 2 4" xfId="12921" xr:uid="{20C55FF2-C122-4FA4-B45C-6CE48E1386D3}"/>
    <cellStyle name="Normal 5 6 2 3 3" xfId="5667" xr:uid="{00000000-0005-0000-0000-0000A51B0000}"/>
    <cellStyle name="Normal 5 6 2 3 3 2" xfId="24292" xr:uid="{721A2A2D-AE0F-4479-A2F0-B42FFB1868FF}"/>
    <cellStyle name="Normal 5 6 2 3 3 3" xfId="14993" xr:uid="{A1204764-9585-4572-9557-4D445EAB85AC}"/>
    <cellStyle name="Normal 5 6 2 3 4" xfId="20075" xr:uid="{1E4D925A-A6FD-4294-874F-5550B9E70B59}"/>
    <cellStyle name="Normal 5 6 2 3 5" xfId="10776" xr:uid="{EBE2CFA9-F884-4C7C-850B-DCDAF76A0C7A}"/>
    <cellStyle name="Normal 5 6 2 4" xfId="1773" xr:uid="{00000000-0005-0000-0000-0000A61B0000}"/>
    <cellStyle name="Normal 5 6 2 4 2" xfId="4003" xr:uid="{00000000-0005-0000-0000-0000A71B0000}"/>
    <cellStyle name="Normal 5 6 2 4 2 2" xfId="8225" xr:uid="{00000000-0005-0000-0000-0000A81B0000}"/>
    <cellStyle name="Normal 5 6 2 4 2 2 2" xfId="26850" xr:uid="{FD743E61-6595-430E-801B-6A2E37379DCC}"/>
    <cellStyle name="Normal 5 6 2 4 2 2 3" xfId="17551" xr:uid="{7AB5A240-1019-4A30-9C49-06F933E1FF3A}"/>
    <cellStyle name="Normal 5 6 2 4 2 3" xfId="22633" xr:uid="{F773E788-15E4-4253-ABD1-06EC7330D3A1}"/>
    <cellStyle name="Normal 5 6 2 4 2 4" xfId="13334" xr:uid="{FD63660C-5A99-4B23-B8DE-5776CC1921A5}"/>
    <cellStyle name="Normal 5 6 2 4 3" xfId="6080" xr:uid="{00000000-0005-0000-0000-0000A91B0000}"/>
    <cellStyle name="Normal 5 6 2 4 3 2" xfId="24705" xr:uid="{8B319684-A85E-4E5D-9E33-35E5FAF234C2}"/>
    <cellStyle name="Normal 5 6 2 4 3 3" xfId="15406" xr:uid="{A07E89BC-F6B0-4FC2-A522-91798B4245F4}"/>
    <cellStyle name="Normal 5 6 2 4 4" xfId="20488" xr:uid="{88B2CF8B-E18A-41A2-88F1-97F4A8B60AE1}"/>
    <cellStyle name="Normal 5 6 2 4 5" xfId="11189" xr:uid="{6BC4E358-09B0-4B9C-9031-CC872320C43E}"/>
    <cellStyle name="Normal 5 6 2 5" xfId="2187" xr:uid="{00000000-0005-0000-0000-0000AA1B0000}"/>
    <cellStyle name="Normal 5 6 2 5 2" xfId="4416" xr:uid="{00000000-0005-0000-0000-0000AB1B0000}"/>
    <cellStyle name="Normal 5 6 2 5 2 2" xfId="8638" xr:uid="{00000000-0005-0000-0000-0000AC1B0000}"/>
    <cellStyle name="Normal 5 6 2 5 2 2 2" xfId="27263" xr:uid="{7AE5F16C-E836-41B9-BD46-874F5EF5638C}"/>
    <cellStyle name="Normal 5 6 2 5 2 2 3" xfId="17964" xr:uid="{FA05F2E0-C1F2-44EB-8B72-F90C84857319}"/>
    <cellStyle name="Normal 5 6 2 5 2 3" xfId="23046" xr:uid="{42C5D86C-43C6-4EAF-AE2F-A621E728970E}"/>
    <cellStyle name="Normal 5 6 2 5 2 4" xfId="13747" xr:uid="{983F3544-E8B5-4EFA-ABA6-C0B26928647D}"/>
    <cellStyle name="Normal 5 6 2 5 3" xfId="6493" xr:uid="{00000000-0005-0000-0000-0000AD1B0000}"/>
    <cellStyle name="Normal 5 6 2 5 3 2" xfId="25118" xr:uid="{A953AFC2-EB0A-4C13-AD8E-B1A4C61AF7D0}"/>
    <cellStyle name="Normal 5 6 2 5 3 3" xfId="15819" xr:uid="{D1A393BC-3CDC-4A8F-95AA-1C6DE561B43C}"/>
    <cellStyle name="Normal 5 6 2 5 4" xfId="20901" xr:uid="{646E12A9-0FBD-43D0-9218-64B863F826D6}"/>
    <cellStyle name="Normal 5 6 2 5 5" xfId="11602" xr:uid="{06B16F59-F724-48F2-A18C-30FF8659D580}"/>
    <cellStyle name="Normal 5 6 2 6" xfId="2623" xr:uid="{00000000-0005-0000-0000-0000AE1B0000}"/>
    <cellStyle name="Normal 5 6 2 6 2" xfId="6906" xr:uid="{00000000-0005-0000-0000-0000AF1B0000}"/>
    <cellStyle name="Normal 5 6 2 6 2 2" xfId="25531" xr:uid="{C47A1739-4290-4AEB-8FDB-68FDB835DE72}"/>
    <cellStyle name="Normal 5 6 2 6 2 3" xfId="16232" xr:uid="{A689233C-6972-4462-8078-331DEBDD1201}"/>
    <cellStyle name="Normal 5 6 2 6 3" xfId="21314" xr:uid="{ECAC0B0A-8F3F-4FD6-A9D0-44DF7AB78FEE}"/>
    <cellStyle name="Normal 5 6 2 6 4" xfId="12015" xr:uid="{C9DAD72C-FB1F-4258-8F83-6B60B1698292}"/>
    <cellStyle name="Normal 5 6 2 7" xfId="4841" xr:uid="{00000000-0005-0000-0000-0000B01B0000}"/>
    <cellStyle name="Normal 5 6 2 7 2" xfId="23466" xr:uid="{61FA1BBE-49BA-4CDB-A8B1-C9FC8A67B4E5}"/>
    <cellStyle name="Normal 5 6 2 7 3" xfId="14167" xr:uid="{E2AEF5C0-26A7-446C-BA93-5ACAC61BC1C0}"/>
    <cellStyle name="Normal 5 6 2 8" xfId="9051" xr:uid="{97C72229-9AC1-4DA9-8A0B-8B4B6D970DE8}"/>
    <cellStyle name="Normal 5 6 2 8 2" xfId="27674" xr:uid="{F644B47D-34CA-41CF-948E-D8422A1970B3}"/>
    <cellStyle name="Normal 5 6 2 8 3" xfId="18375" xr:uid="{869882FB-AF49-4601-9F60-672A5F20B00A}"/>
    <cellStyle name="Normal 5 6 2 9" xfId="19249" xr:uid="{4EE37A22-C9F1-4840-89F2-FEB7080E914F}"/>
    <cellStyle name="Normal 5 6 3" xfId="942" xr:uid="{00000000-0005-0000-0000-0000B11B0000}"/>
    <cellStyle name="Normal 5 6 3 2" xfId="3176" xr:uid="{00000000-0005-0000-0000-0000B21B0000}"/>
    <cellStyle name="Normal 5 6 3 2 2" xfId="7398" xr:uid="{00000000-0005-0000-0000-0000B31B0000}"/>
    <cellStyle name="Normal 5 6 3 2 2 2" xfId="26023" xr:uid="{00620A08-DDF4-4856-995A-B5A1F40A06B6}"/>
    <cellStyle name="Normal 5 6 3 2 2 3" xfId="16724" xr:uid="{84989A73-E0B3-4F98-AC92-70731AED80D7}"/>
    <cellStyle name="Normal 5 6 3 2 3" xfId="21806" xr:uid="{4D0ECB17-EEF1-44D5-9752-6CA62205CF95}"/>
    <cellStyle name="Normal 5 6 3 2 4" xfId="12507" xr:uid="{844A9170-076B-406B-BAC3-59F2FE2BA8CB}"/>
    <cellStyle name="Normal 5 6 3 3" xfId="5253" xr:uid="{00000000-0005-0000-0000-0000B41B0000}"/>
    <cellStyle name="Normal 5 6 3 3 2" xfId="23878" xr:uid="{48ABB9A5-8C61-4D35-855A-9EB3638B3FDD}"/>
    <cellStyle name="Normal 5 6 3 3 3" xfId="14579" xr:uid="{F8D2DB7A-6DCF-4B34-9779-08355A759AF8}"/>
    <cellStyle name="Normal 5 6 3 4" xfId="9269" xr:uid="{7D6728A0-C210-4F3F-8114-143B9AE0BFB4}"/>
    <cellStyle name="Normal 5 6 3 4 2" xfId="27883" xr:uid="{9F105C06-283E-4EF4-8807-053419A7DD22}"/>
    <cellStyle name="Normal 5 6 3 4 3" xfId="18584" xr:uid="{2611ED7F-2E49-4FA2-ADFF-E0886249EFEB}"/>
    <cellStyle name="Normal 5 6 3 5" xfId="19661" xr:uid="{555AAD2D-47BC-4A3A-9A33-11C5DE9BF884}"/>
    <cellStyle name="Normal 5 6 3 6" xfId="10362" xr:uid="{24E6A1E6-3556-4D09-8074-B0D0C3B21857}"/>
    <cellStyle name="Normal 5 6 4" xfId="1359" xr:uid="{00000000-0005-0000-0000-0000B51B0000}"/>
    <cellStyle name="Normal 5 6 4 2" xfId="3589" xr:uid="{00000000-0005-0000-0000-0000B61B0000}"/>
    <cellStyle name="Normal 5 6 4 2 2" xfId="7811" xr:uid="{00000000-0005-0000-0000-0000B71B0000}"/>
    <cellStyle name="Normal 5 6 4 2 2 2" xfId="26436" xr:uid="{DFC0D739-A15A-4653-8359-4C2F54F81E69}"/>
    <cellStyle name="Normal 5 6 4 2 2 3" xfId="17137" xr:uid="{96E54FED-2EA4-4ED7-96D9-931451B78E99}"/>
    <cellStyle name="Normal 5 6 4 2 3" xfId="22219" xr:uid="{348F7928-31FD-49D1-A2DF-E470677B4F01}"/>
    <cellStyle name="Normal 5 6 4 2 4" xfId="12920" xr:uid="{28F529F4-86C3-4F68-BBAB-69E50E5D710C}"/>
    <cellStyle name="Normal 5 6 4 3" xfId="5666" xr:uid="{00000000-0005-0000-0000-0000B81B0000}"/>
    <cellStyle name="Normal 5 6 4 3 2" xfId="24291" xr:uid="{7B1D11E2-E618-4CF8-BBE9-0E5AEA3936D3}"/>
    <cellStyle name="Normal 5 6 4 3 3" xfId="14992" xr:uid="{1AB4874B-2A59-4B62-B376-2BE051677858}"/>
    <cellStyle name="Normal 5 6 4 4" xfId="20074" xr:uid="{C6945506-AB07-4245-8772-352F849BCC35}"/>
    <cellStyle name="Normal 5 6 4 5" xfId="10775" xr:uid="{02DD1AB0-28D7-4510-9F6D-8AC29E41DC74}"/>
    <cellStyle name="Normal 5 6 5" xfId="1772" xr:uid="{00000000-0005-0000-0000-0000B91B0000}"/>
    <cellStyle name="Normal 5 6 5 2" xfId="4002" xr:uid="{00000000-0005-0000-0000-0000BA1B0000}"/>
    <cellStyle name="Normal 5 6 5 2 2" xfId="8224" xr:uid="{00000000-0005-0000-0000-0000BB1B0000}"/>
    <cellStyle name="Normal 5 6 5 2 2 2" xfId="26849" xr:uid="{FDD2F88A-F4E4-41B4-8D8B-8756D46FC332}"/>
    <cellStyle name="Normal 5 6 5 2 2 3" xfId="17550" xr:uid="{7C95EDDB-8057-4A56-AC31-954E2032BA6C}"/>
    <cellStyle name="Normal 5 6 5 2 3" xfId="22632" xr:uid="{857C03F6-79FA-422D-B091-29F871A1C34E}"/>
    <cellStyle name="Normal 5 6 5 2 4" xfId="13333" xr:uid="{5BF7125A-4746-4B9D-A3FD-56B28A5B9B35}"/>
    <cellStyle name="Normal 5 6 5 3" xfId="6079" xr:uid="{00000000-0005-0000-0000-0000BC1B0000}"/>
    <cellStyle name="Normal 5 6 5 3 2" xfId="24704" xr:uid="{7857C117-D7AB-4795-A687-FE60E43CF19D}"/>
    <cellStyle name="Normal 5 6 5 3 3" xfId="15405" xr:uid="{A3B4B9AB-22C9-455D-B571-5B0ED192B4D4}"/>
    <cellStyle name="Normal 5 6 5 4" xfId="20487" xr:uid="{22FF59F9-8B0A-44D1-85A5-934285C951B3}"/>
    <cellStyle name="Normal 5 6 5 5" xfId="11188" xr:uid="{94088E27-6225-4305-A30F-FE5D64362FA8}"/>
    <cellStyle name="Normal 5 6 6" xfId="2186" xr:uid="{00000000-0005-0000-0000-0000BD1B0000}"/>
    <cellStyle name="Normal 5 6 6 2" xfId="4415" xr:uid="{00000000-0005-0000-0000-0000BE1B0000}"/>
    <cellStyle name="Normal 5 6 6 2 2" xfId="8637" xr:uid="{00000000-0005-0000-0000-0000BF1B0000}"/>
    <cellStyle name="Normal 5 6 6 2 2 2" xfId="27262" xr:uid="{5740E6A0-AF15-4FC5-B176-7DCE25333FAF}"/>
    <cellStyle name="Normal 5 6 6 2 2 3" xfId="17963" xr:uid="{DEF2A26B-44C0-48B2-B413-DFF85B1B6653}"/>
    <cellStyle name="Normal 5 6 6 2 3" xfId="23045" xr:uid="{F65E1B90-34C9-476A-B86C-B6F2DD7C5413}"/>
    <cellStyle name="Normal 5 6 6 2 4" xfId="13746" xr:uid="{DF8F26E5-AE5D-4026-8DF0-DBA2F9848D8D}"/>
    <cellStyle name="Normal 5 6 6 3" xfId="6492" xr:uid="{00000000-0005-0000-0000-0000C01B0000}"/>
    <cellStyle name="Normal 5 6 6 3 2" xfId="25117" xr:uid="{8013F698-375B-45CE-B8BE-F13173F3728F}"/>
    <cellStyle name="Normal 5 6 6 3 3" xfId="15818" xr:uid="{509B2C1C-EDE1-49B6-B6F6-C66971B5F740}"/>
    <cellStyle name="Normal 5 6 6 4" xfId="20900" xr:uid="{828F4706-CB96-4FB5-8C8B-2FA58366DD25}"/>
    <cellStyle name="Normal 5 6 6 5" xfId="11601" xr:uid="{E3CE09B2-C940-4761-A357-2766219B7FCA}"/>
    <cellStyle name="Normal 5 6 7" xfId="2622" xr:uid="{00000000-0005-0000-0000-0000C11B0000}"/>
    <cellStyle name="Normal 5 6 7 2" xfId="6905" xr:uid="{00000000-0005-0000-0000-0000C21B0000}"/>
    <cellStyle name="Normal 5 6 7 2 2" xfId="25530" xr:uid="{4946C080-18CC-44C7-8425-DB92E4C29635}"/>
    <cellStyle name="Normal 5 6 7 2 3" xfId="16231" xr:uid="{8ED406AD-886F-4CB5-9F1C-782666054185}"/>
    <cellStyle name="Normal 5 6 7 3" xfId="21313" xr:uid="{5E144938-BFB1-4665-AC5F-12C19B15F5DF}"/>
    <cellStyle name="Normal 5 6 7 4" xfId="12014" xr:uid="{CD12785B-DA73-4A94-9AAD-AE31C729575D}"/>
    <cellStyle name="Normal 5 6 8" xfId="4840" xr:uid="{00000000-0005-0000-0000-0000C31B0000}"/>
    <cellStyle name="Normal 5 6 8 2" xfId="23465" xr:uid="{73841581-6DEC-491B-9005-E5963A6C84D1}"/>
    <cellStyle name="Normal 5 6 8 3" xfId="14166" xr:uid="{187DFC2E-E6CC-45EA-9630-7E8AE9BE0A36}"/>
    <cellStyle name="Normal 5 6 9" xfId="8844" xr:uid="{91B947E4-8FF0-409F-B157-688724766D9F}"/>
    <cellStyle name="Normal 5 6 9 2" xfId="27467" xr:uid="{AED4962B-A11D-4A74-838B-B52FEFD27C3A}"/>
    <cellStyle name="Normal 5 6 9 3" xfId="18168" xr:uid="{3BDCA6C8-4BF8-4F6A-8E76-8512E6A9D1E2}"/>
    <cellStyle name="Normal 5 7" xfId="470" xr:uid="{00000000-0005-0000-0000-0000C41B0000}"/>
    <cellStyle name="Normal 5 7 10" xfId="9951" xr:uid="{0832147B-1A10-412A-870F-69237C6D8C33}"/>
    <cellStyle name="Normal 5 7 2" xfId="944" xr:uid="{00000000-0005-0000-0000-0000C51B0000}"/>
    <cellStyle name="Normal 5 7 2 2" xfId="3178" xr:uid="{00000000-0005-0000-0000-0000C61B0000}"/>
    <cellStyle name="Normal 5 7 2 2 2" xfId="7400" xr:uid="{00000000-0005-0000-0000-0000C71B0000}"/>
    <cellStyle name="Normal 5 7 2 2 2 2" xfId="26025" xr:uid="{7C6A4BBB-4982-400C-9F17-D0D08A7A83E3}"/>
    <cellStyle name="Normal 5 7 2 2 2 3" xfId="16726" xr:uid="{211E63C5-AB7A-4A32-889E-96A22673E901}"/>
    <cellStyle name="Normal 5 7 2 2 3" xfId="21808" xr:uid="{16BD0030-138A-4F23-936F-29CDC867FCA0}"/>
    <cellStyle name="Normal 5 7 2 2 4" xfId="12509" xr:uid="{529B39B3-E0F9-41A3-A8FC-22D6F641141B}"/>
    <cellStyle name="Normal 5 7 2 3" xfId="5255" xr:uid="{00000000-0005-0000-0000-0000C81B0000}"/>
    <cellStyle name="Normal 5 7 2 3 2" xfId="23880" xr:uid="{6D247174-2A26-4E32-876C-505A550145E4}"/>
    <cellStyle name="Normal 5 7 2 3 3" xfId="14581" xr:uid="{EEBDA129-51D7-43AF-8235-F258CE18FF04}"/>
    <cellStyle name="Normal 5 7 2 4" xfId="9385" xr:uid="{2E4A3B0A-2E42-41AC-9564-09D1598995A2}"/>
    <cellStyle name="Normal 5 7 2 4 2" xfId="27999" xr:uid="{29185EE2-09B7-45AB-9425-995082FD6E6A}"/>
    <cellStyle name="Normal 5 7 2 4 3" xfId="18700" xr:uid="{AB91993B-814E-4906-A896-10CA4F46C675}"/>
    <cellStyle name="Normal 5 7 2 5" xfId="19663" xr:uid="{C274376D-6EAD-470C-B9BE-568FFFB168B3}"/>
    <cellStyle name="Normal 5 7 2 6" xfId="10364" xr:uid="{362BDB28-4541-4A55-A286-75AD32670900}"/>
    <cellStyle name="Normal 5 7 3" xfId="1361" xr:uid="{00000000-0005-0000-0000-0000C91B0000}"/>
    <cellStyle name="Normal 5 7 3 2" xfId="3591" xr:uid="{00000000-0005-0000-0000-0000CA1B0000}"/>
    <cellStyle name="Normal 5 7 3 2 2" xfId="7813" xr:uid="{00000000-0005-0000-0000-0000CB1B0000}"/>
    <cellStyle name="Normal 5 7 3 2 2 2" xfId="26438" xr:uid="{6245289E-4713-4678-BE53-A564686248FA}"/>
    <cellStyle name="Normal 5 7 3 2 2 3" xfId="17139" xr:uid="{8ACFF53C-CF2B-471E-9DCC-9FB69259C933}"/>
    <cellStyle name="Normal 5 7 3 2 3" xfId="22221" xr:uid="{CA55E827-FD2A-4D93-B8F9-7D82178BD549}"/>
    <cellStyle name="Normal 5 7 3 2 4" xfId="12922" xr:uid="{7363623D-3194-4489-BCD6-9F06CC068A16}"/>
    <cellStyle name="Normal 5 7 3 3" xfId="5668" xr:uid="{00000000-0005-0000-0000-0000CC1B0000}"/>
    <cellStyle name="Normal 5 7 3 3 2" xfId="24293" xr:uid="{8AFD6586-928A-4C0A-9828-F67C58A51D84}"/>
    <cellStyle name="Normal 5 7 3 3 3" xfId="14994" xr:uid="{02638F1D-6985-4598-ACC5-AA94699AC868}"/>
    <cellStyle name="Normal 5 7 3 4" xfId="20076" xr:uid="{0AECABEB-2CFD-4493-96D8-58EC8EF3D813}"/>
    <cellStyle name="Normal 5 7 3 5" xfId="10777" xr:uid="{0A1E6EFE-8D9E-4E31-99C0-F27F6899E1EB}"/>
    <cellStyle name="Normal 5 7 4" xfId="1774" xr:uid="{00000000-0005-0000-0000-0000CD1B0000}"/>
    <cellStyle name="Normal 5 7 4 2" xfId="4004" xr:uid="{00000000-0005-0000-0000-0000CE1B0000}"/>
    <cellStyle name="Normal 5 7 4 2 2" xfId="8226" xr:uid="{00000000-0005-0000-0000-0000CF1B0000}"/>
    <cellStyle name="Normal 5 7 4 2 2 2" xfId="26851" xr:uid="{6662E15A-7993-49B2-AE10-352267EE70CA}"/>
    <cellStyle name="Normal 5 7 4 2 2 3" xfId="17552" xr:uid="{520CAB46-C1D8-4463-9CD7-08A0DF203151}"/>
    <cellStyle name="Normal 5 7 4 2 3" xfId="22634" xr:uid="{808F75AD-AB67-4150-8213-13B0A005F6D1}"/>
    <cellStyle name="Normal 5 7 4 2 4" xfId="13335" xr:uid="{BC559D92-042E-44FA-A6C2-360CEBF7A316}"/>
    <cellStyle name="Normal 5 7 4 3" xfId="6081" xr:uid="{00000000-0005-0000-0000-0000D01B0000}"/>
    <cellStyle name="Normal 5 7 4 3 2" xfId="24706" xr:uid="{6F3C3DAD-CABE-4197-BC63-CA775F24A0E1}"/>
    <cellStyle name="Normal 5 7 4 3 3" xfId="15407" xr:uid="{5C67981A-3BAA-43FD-92B6-608F1DADEF74}"/>
    <cellStyle name="Normal 5 7 4 4" xfId="20489" xr:uid="{01D9B0E7-BD4F-4023-959B-0C444B578CB2}"/>
    <cellStyle name="Normal 5 7 4 5" xfId="11190" xr:uid="{247ED648-2914-4259-BA97-03BDC17599EB}"/>
    <cellStyle name="Normal 5 7 5" xfId="2188" xr:uid="{00000000-0005-0000-0000-0000D11B0000}"/>
    <cellStyle name="Normal 5 7 5 2" xfId="4417" xr:uid="{00000000-0005-0000-0000-0000D21B0000}"/>
    <cellStyle name="Normal 5 7 5 2 2" xfId="8639" xr:uid="{00000000-0005-0000-0000-0000D31B0000}"/>
    <cellStyle name="Normal 5 7 5 2 2 2" xfId="27264" xr:uid="{CFAB98BE-5FE9-4B33-AE8C-563CF7096946}"/>
    <cellStyle name="Normal 5 7 5 2 2 3" xfId="17965" xr:uid="{D1AE02F0-4E88-4E81-8C71-A35EE93809D5}"/>
    <cellStyle name="Normal 5 7 5 2 3" xfId="23047" xr:uid="{54AE5F4B-E0C7-409A-B9F6-CB84D38AA425}"/>
    <cellStyle name="Normal 5 7 5 2 4" xfId="13748" xr:uid="{CA8775B7-5F48-4729-9111-1251C4093EDE}"/>
    <cellStyle name="Normal 5 7 5 3" xfId="6494" xr:uid="{00000000-0005-0000-0000-0000D41B0000}"/>
    <cellStyle name="Normal 5 7 5 3 2" xfId="25119" xr:uid="{D4148988-2C1A-4FF0-96EF-D8FC3192E343}"/>
    <cellStyle name="Normal 5 7 5 3 3" xfId="15820" xr:uid="{40ED14D5-9018-459C-BA89-F018FCA83E29}"/>
    <cellStyle name="Normal 5 7 5 4" xfId="20902" xr:uid="{BBCE7672-39B3-4025-8517-7656493F98AE}"/>
    <cellStyle name="Normal 5 7 5 5" xfId="11603" xr:uid="{031136AB-6FAE-47E8-B264-C35A1F70A6A9}"/>
    <cellStyle name="Normal 5 7 6" xfId="2624" xr:uid="{00000000-0005-0000-0000-0000D51B0000}"/>
    <cellStyle name="Normal 5 7 6 2" xfId="6907" xr:uid="{00000000-0005-0000-0000-0000D61B0000}"/>
    <cellStyle name="Normal 5 7 6 2 2" xfId="25532" xr:uid="{465B3728-89E6-4FC1-8A3C-444904A48279}"/>
    <cellStyle name="Normal 5 7 6 2 3" xfId="16233" xr:uid="{2627136F-8747-4A7B-AEB7-C06139619AAD}"/>
    <cellStyle name="Normal 5 7 6 3" xfId="21315" xr:uid="{E7CC8772-71B4-482E-9236-B362B646FB7B}"/>
    <cellStyle name="Normal 5 7 6 4" xfId="12016" xr:uid="{E419049A-9669-4D21-97B6-7E389DE94E85}"/>
    <cellStyle name="Normal 5 7 7" xfId="4842" xr:uid="{00000000-0005-0000-0000-0000D71B0000}"/>
    <cellStyle name="Normal 5 7 7 2" xfId="23467" xr:uid="{F5B9313A-E56B-4F59-8726-CB373B257649}"/>
    <cellStyle name="Normal 5 7 7 3" xfId="14168" xr:uid="{54B27366-2A11-4ECB-BF0F-93ED10C25E90}"/>
    <cellStyle name="Normal 5 7 8" xfId="8960" xr:uid="{F4BEC964-53C9-4393-B7F1-69B47FC1FF25}"/>
    <cellStyle name="Normal 5 7 8 2" xfId="27583" xr:uid="{F73798C0-07F2-417E-B644-2828589B17A7}"/>
    <cellStyle name="Normal 5 7 8 3" xfId="18284" xr:uid="{5A3F186A-C2FB-41DA-AFA7-BD99CF3FEE35}"/>
    <cellStyle name="Normal 5 7 9" xfId="19250" xr:uid="{5B9E0947-C151-4738-AB77-6F4E34FD247B}"/>
    <cellStyle name="Normal 5 8" xfId="880" xr:uid="{00000000-0005-0000-0000-0000D81B0000}"/>
    <cellStyle name="Normal 5 8 2" xfId="3115" xr:uid="{00000000-0005-0000-0000-0000D91B0000}"/>
    <cellStyle name="Normal 5 8 2 2" xfId="7337" xr:uid="{00000000-0005-0000-0000-0000DA1B0000}"/>
    <cellStyle name="Normal 5 8 2 2 2" xfId="25962" xr:uid="{FCDD290D-06DF-428E-91C9-C0539D2A380E}"/>
    <cellStyle name="Normal 5 8 2 2 3" xfId="16663" xr:uid="{C2F553EA-1AC8-4D2C-900C-501EC53732D8}"/>
    <cellStyle name="Normal 5 8 2 3" xfId="21745" xr:uid="{4C12E9DD-9314-4FE8-B40C-BE9A1E26722E}"/>
    <cellStyle name="Normal 5 8 2 4" xfId="12446" xr:uid="{0B220C53-9176-448A-8CC7-DD7EBAC69A8B}"/>
    <cellStyle name="Normal 5 8 3" xfId="5192" xr:uid="{00000000-0005-0000-0000-0000DB1B0000}"/>
    <cellStyle name="Normal 5 8 3 2" xfId="23817" xr:uid="{969A7107-E61C-4E08-870C-883DCC3AD288}"/>
    <cellStyle name="Normal 5 8 3 3" xfId="14518" xr:uid="{E9BC1898-84DA-4855-898C-DE410FCA9A07}"/>
    <cellStyle name="Normal 5 8 4" xfId="9163" xr:uid="{44C7CAD4-DD7C-48E0-9142-8ED22123C662}"/>
    <cellStyle name="Normal 5 8 4 2" xfId="27780" xr:uid="{512706D8-4566-4402-B987-C28E1D7D6744}"/>
    <cellStyle name="Normal 5 8 4 3" xfId="18481" xr:uid="{283F072E-2B94-4ADA-8107-D610A2FE5188}"/>
    <cellStyle name="Normal 5 8 5" xfId="19600" xr:uid="{84B662D3-FAA9-4D8F-ABDC-8B30F1489EA4}"/>
    <cellStyle name="Normal 5 8 6" xfId="10301" xr:uid="{7CB736C5-A711-4152-9907-3BB971B91EA5}"/>
    <cellStyle name="Normal 5 9" xfId="1298" xr:uid="{00000000-0005-0000-0000-0000DC1B0000}"/>
    <cellStyle name="Normal 5 9 2" xfId="3528" xr:uid="{00000000-0005-0000-0000-0000DD1B0000}"/>
    <cellStyle name="Normal 5 9 2 2" xfId="7750" xr:uid="{00000000-0005-0000-0000-0000DE1B0000}"/>
    <cellStyle name="Normal 5 9 2 2 2" xfId="26375" xr:uid="{4F10CB13-4E35-4A38-B566-B83F61310250}"/>
    <cellStyle name="Normal 5 9 2 2 3" xfId="17076" xr:uid="{0A546FB9-C23E-4D38-A4E8-C07B4F052FDF}"/>
    <cellStyle name="Normal 5 9 2 3" xfId="22158" xr:uid="{5ADC12A6-8411-4B31-96D8-68E9FAE327EC}"/>
    <cellStyle name="Normal 5 9 2 4" xfId="12859" xr:uid="{24113664-0F08-4FBA-9EE1-D5855531F3B3}"/>
    <cellStyle name="Normal 5 9 3" xfId="5605" xr:uid="{00000000-0005-0000-0000-0000DF1B0000}"/>
    <cellStyle name="Normal 5 9 3 2" xfId="24230" xr:uid="{09FF8D98-A4AB-42D9-98E8-4FED047A2B74}"/>
    <cellStyle name="Normal 5 9 3 3" xfId="14931" xr:uid="{33F29D06-D914-4B44-A3DA-372D65963F65}"/>
    <cellStyle name="Normal 5 9 4" xfId="20013" xr:uid="{963C0B56-DBD5-4A8C-9D6E-0FC720A2119B}"/>
    <cellStyle name="Normal 5 9 5" xfId="10714" xr:uid="{A3679D9A-5656-4728-9BE2-AD67062097C3}"/>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2 2 2" xfId="27265" xr:uid="{2A5A497A-DFA6-4253-AB44-4A086F5D5C11}"/>
    <cellStyle name="Normal 8 10 2 2 3" xfId="17966" xr:uid="{EBC77DAF-4B3A-487D-A810-54E0FFB1C59B}"/>
    <cellStyle name="Normal 8 10 2 3" xfId="23048" xr:uid="{2C286BBF-9DFD-49F8-A2C4-73802C6FABB4}"/>
    <cellStyle name="Normal 8 10 2 4" xfId="13749" xr:uid="{AAE5FE6E-893C-4AA8-AC4C-CE41AF22B2B2}"/>
    <cellStyle name="Normal 8 10 3" xfId="6495" xr:uid="{00000000-0005-0000-0000-0000EB1B0000}"/>
    <cellStyle name="Normal 8 10 3 2" xfId="25120" xr:uid="{833DC6B3-5511-4CF9-9BB1-37A2708C4014}"/>
    <cellStyle name="Normal 8 10 3 3" xfId="15821" xr:uid="{4073113E-FF4D-4B9D-B8F5-D76DE79BE60A}"/>
    <cellStyle name="Normal 8 10 4" xfId="20903" xr:uid="{28295632-7D62-45E4-8F79-10A1A2293B0A}"/>
    <cellStyle name="Normal 8 10 5" xfId="11604" xr:uid="{47D50F49-CEBD-44CE-926D-F148E5617210}"/>
    <cellStyle name="Normal 8 11" xfId="2625" xr:uid="{00000000-0005-0000-0000-0000EC1B0000}"/>
    <cellStyle name="Normal 8 11 2" xfId="6908" xr:uid="{00000000-0005-0000-0000-0000ED1B0000}"/>
    <cellStyle name="Normal 8 11 2 2" xfId="25533" xr:uid="{0BC8961E-9A97-4CBA-B74A-FA29B8835CF1}"/>
    <cellStyle name="Normal 8 11 2 3" xfId="16234" xr:uid="{691BEE34-E723-45D4-B573-34D25DC63ABE}"/>
    <cellStyle name="Normal 8 11 3" xfId="21316" xr:uid="{5CE38DCE-7E24-4C9E-8345-F52CFE2BE5A0}"/>
    <cellStyle name="Normal 8 11 4" xfId="12017" xr:uid="{E97816C0-B49D-4A11-87B3-F8253535B417}"/>
    <cellStyle name="Normal 8 12" xfId="4843" xr:uid="{00000000-0005-0000-0000-0000EE1B0000}"/>
    <cellStyle name="Normal 8 12 2" xfId="23468" xr:uid="{30C70E47-6285-4344-8862-3F38DD48D72B}"/>
    <cellStyle name="Normal 8 12 3" xfId="14169" xr:uid="{88D38126-8CCB-4133-95EA-96DBC5D21A05}"/>
    <cellStyle name="Normal 8 13" xfId="8742" xr:uid="{AF36CBBC-3EEB-4AC8-923B-65C7C2418AB0}"/>
    <cellStyle name="Normal 8 13 2" xfId="27365" xr:uid="{9AC3C124-B197-4E59-A566-24C8DEA273D7}"/>
    <cellStyle name="Normal 8 13 3" xfId="18066" xr:uid="{C9A609BE-27EC-4A50-A149-6DC45D5EABA3}"/>
    <cellStyle name="Normal 8 14" xfId="19251" xr:uid="{5124EBD5-7254-43E8-AC10-0E4E8132E9E9}"/>
    <cellStyle name="Normal 8 15" xfId="9952" xr:uid="{DC823750-A797-406F-B92B-B360D8C5D764}"/>
    <cellStyle name="Normal 8 2" xfId="479" xr:uid="{00000000-0005-0000-0000-0000EF1B0000}"/>
    <cellStyle name="Normal 8 2 10" xfId="2626" xr:uid="{00000000-0005-0000-0000-0000F01B0000}"/>
    <cellStyle name="Normal 8 2 10 2" xfId="6909" xr:uid="{00000000-0005-0000-0000-0000F11B0000}"/>
    <cellStyle name="Normal 8 2 10 2 2" xfId="25534" xr:uid="{31B4E320-79C4-45E6-B029-569CB9DE18B5}"/>
    <cellStyle name="Normal 8 2 10 2 3" xfId="16235" xr:uid="{A98E4094-0A43-4807-9D04-93FA08366734}"/>
    <cellStyle name="Normal 8 2 10 3" xfId="21317" xr:uid="{11ED8564-842C-4AE4-A259-5D88C2ADD53A}"/>
    <cellStyle name="Normal 8 2 10 4" xfId="12018" xr:uid="{89517CA1-76F9-4A77-8EE4-DDFABBAEF24D}"/>
    <cellStyle name="Normal 8 2 11" xfId="4844" xr:uid="{00000000-0005-0000-0000-0000F21B0000}"/>
    <cellStyle name="Normal 8 2 11 2" xfId="23469" xr:uid="{EB8D5985-4FB5-4003-B24C-7CA101D01914}"/>
    <cellStyle name="Normal 8 2 11 3" xfId="14170" xr:uid="{9D9B206D-7325-42A5-85F0-C51094DD3873}"/>
    <cellStyle name="Normal 8 2 12" xfId="8751" xr:uid="{476D0553-3387-4D9F-B05B-56EC7A36F7A1}"/>
    <cellStyle name="Normal 8 2 12 2" xfId="27374" xr:uid="{ECE2368D-13E3-4401-9687-453B2C57D0D1}"/>
    <cellStyle name="Normal 8 2 12 3" xfId="18075" xr:uid="{25ACE7E4-D19D-4623-804C-A2E1233939C9}"/>
    <cellStyle name="Normal 8 2 13" xfId="19252" xr:uid="{2A39C084-1C16-4D2F-866B-AA29E697FA94}"/>
    <cellStyle name="Normal 8 2 14" xfId="9953" xr:uid="{DD8741F9-8B7F-440A-8D79-9A131925796C}"/>
    <cellStyle name="Normal 8 2 2" xfId="480" xr:uid="{00000000-0005-0000-0000-0000F31B0000}"/>
    <cellStyle name="Normal 8 2 2 10" xfId="4845" xr:uid="{00000000-0005-0000-0000-0000F41B0000}"/>
    <cellStyle name="Normal 8 2 2 10 2" xfId="23470" xr:uid="{0E670F96-2F76-4447-8779-F82751DE6CEA}"/>
    <cellStyle name="Normal 8 2 2 10 3" xfId="14171" xr:uid="{C72BB901-03CE-4019-A9CC-CED0930B0CE2}"/>
    <cellStyle name="Normal 8 2 2 11" xfId="8783" xr:uid="{3C426022-C415-47DA-A8EF-1D6CE72527BD}"/>
    <cellStyle name="Normal 8 2 2 11 2" xfId="27406" xr:uid="{6E3F7A3B-488F-48B7-8B5F-005339C53FCB}"/>
    <cellStyle name="Normal 8 2 2 11 3" xfId="18107" xr:uid="{6D97A52A-B086-48AB-9465-BA89C338F260}"/>
    <cellStyle name="Normal 8 2 2 12" xfId="19253" xr:uid="{2B4FB223-1BF1-4C4C-8602-59CF991BEEAF}"/>
    <cellStyle name="Normal 8 2 2 13" xfId="9954" xr:uid="{F89BC2E9-EA7D-440D-ACCF-7F9999D3221A}"/>
    <cellStyle name="Normal 8 2 2 2" xfId="481" xr:uid="{00000000-0005-0000-0000-0000F51B0000}"/>
    <cellStyle name="Normal 8 2 2 2 10" xfId="8836" xr:uid="{870E50AF-610D-4E0C-BDE0-389D6B32A0FA}"/>
    <cellStyle name="Normal 8 2 2 2 10 2" xfId="27459" xr:uid="{06A36C01-87BF-476D-9415-4427E522CDCD}"/>
    <cellStyle name="Normal 8 2 2 2 10 3" xfId="18160" xr:uid="{C2162CEE-B2D0-485C-8754-2D7F2034E4C5}"/>
    <cellStyle name="Normal 8 2 2 2 11" xfId="19254" xr:uid="{FABC59A8-3128-4130-AE53-82C51A395CBE}"/>
    <cellStyle name="Normal 8 2 2 2 12" xfId="9955" xr:uid="{FC1721EA-0D99-4D58-9E65-F086A90BFB82}"/>
    <cellStyle name="Normal 8 2 2 2 2" xfId="482" xr:uid="{00000000-0005-0000-0000-0000F61B0000}"/>
    <cellStyle name="Normal 8 2 2 2 2 10" xfId="19255" xr:uid="{5F8A9CEA-A67F-4AD0-BB37-8759DF642743}"/>
    <cellStyle name="Normal 8 2 2 2 2 11" xfId="9956" xr:uid="{A91E0BCB-3FBC-4CA1-945E-DAFBF74F3376}"/>
    <cellStyle name="Normal 8 2 2 2 2 2" xfId="483" xr:uid="{00000000-0005-0000-0000-0000F71B0000}"/>
    <cellStyle name="Normal 8 2 2 2 2 2 10" xfId="9957" xr:uid="{1D7FEA65-6FB6-41EE-9F42-436BB82FA133}"/>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2 2 2" xfId="26031" xr:uid="{D2FAC2BD-078A-47E8-80CD-11237206CDA7}"/>
    <cellStyle name="Normal 8 2 2 2 2 2 2 2 2 3" xfId="16732" xr:uid="{42549EF3-EFF3-46E4-B65A-F5AB9FB262BF}"/>
    <cellStyle name="Normal 8 2 2 2 2 2 2 2 3" xfId="21814" xr:uid="{6AA8D6F2-FDF6-4F2F-9245-F3B9814DE1B5}"/>
    <cellStyle name="Normal 8 2 2 2 2 2 2 2 4" xfId="12515" xr:uid="{3FB5B758-E67B-4A2A-87A6-60DAB6AF916B}"/>
    <cellStyle name="Normal 8 2 2 2 2 2 2 3" xfId="5261" xr:uid="{00000000-0005-0000-0000-0000FB1B0000}"/>
    <cellStyle name="Normal 8 2 2 2 2 2 2 3 2" xfId="23886" xr:uid="{C5218844-A227-4FC5-B351-3FA05210C345}"/>
    <cellStyle name="Normal 8 2 2 2 2 2 2 3 3" xfId="14587" xr:uid="{EA8C49C9-48A4-4141-B872-7A7D1739CE6C}"/>
    <cellStyle name="Normal 8 2 2 2 2 2 2 4" xfId="9571" xr:uid="{B467C179-FE08-45F9-B1E6-E66379D80EBC}"/>
    <cellStyle name="Normal 8 2 2 2 2 2 2 4 2" xfId="28185" xr:uid="{828E9501-66C1-4C63-A52E-610CF05271AF}"/>
    <cellStyle name="Normal 8 2 2 2 2 2 2 4 3" xfId="18886" xr:uid="{6E9DD55D-6222-4EC1-A300-B80BF47E15A1}"/>
    <cellStyle name="Normal 8 2 2 2 2 2 2 5" xfId="19669" xr:uid="{8943A611-E082-4DF2-8DF1-21BB5DA2B802}"/>
    <cellStyle name="Normal 8 2 2 2 2 2 2 6" xfId="10370" xr:uid="{0832C892-DC48-462E-9AA9-8249F295CC37}"/>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2 2 2" xfId="26444" xr:uid="{F05876AA-DA7E-4924-B131-3C5A198B696D}"/>
    <cellStyle name="Normal 8 2 2 2 2 2 3 2 2 3" xfId="17145" xr:uid="{65533AE9-9861-4A6B-8376-20A30E0A2EBA}"/>
    <cellStyle name="Normal 8 2 2 2 2 2 3 2 3" xfId="22227" xr:uid="{2C5564D9-CB19-495D-878A-223695DE5A42}"/>
    <cellStyle name="Normal 8 2 2 2 2 2 3 2 4" xfId="12928" xr:uid="{D2248C86-345C-4FB7-9E08-191BE3ABD5A1}"/>
    <cellStyle name="Normal 8 2 2 2 2 2 3 3" xfId="5674" xr:uid="{00000000-0005-0000-0000-0000FF1B0000}"/>
    <cellStyle name="Normal 8 2 2 2 2 2 3 3 2" xfId="24299" xr:uid="{21C7F203-D309-4E0C-90BF-EAEB352FDCBE}"/>
    <cellStyle name="Normal 8 2 2 2 2 2 3 3 3" xfId="15000" xr:uid="{87710438-A28A-45C9-ADAD-AF60364D68FA}"/>
    <cellStyle name="Normal 8 2 2 2 2 2 3 4" xfId="20082" xr:uid="{B3012A9C-E7A6-48EB-967B-796ED3028E8D}"/>
    <cellStyle name="Normal 8 2 2 2 2 2 3 5" xfId="10783" xr:uid="{5E949283-4A00-49C0-BEE2-2F7A17F3703E}"/>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2 2 2" xfId="26857" xr:uid="{27473771-BB90-4E97-8F2A-4967AFE91CF4}"/>
    <cellStyle name="Normal 8 2 2 2 2 2 4 2 2 3" xfId="17558" xr:uid="{F7201073-5D56-46A5-ACBD-AB5E40424103}"/>
    <cellStyle name="Normal 8 2 2 2 2 2 4 2 3" xfId="22640" xr:uid="{C0B595E4-A477-4E42-933B-0AC993A2FE3F}"/>
    <cellStyle name="Normal 8 2 2 2 2 2 4 2 4" xfId="13341" xr:uid="{F452856E-BDEC-4B68-AB8B-145B661FDE91}"/>
    <cellStyle name="Normal 8 2 2 2 2 2 4 3" xfId="6087" xr:uid="{00000000-0005-0000-0000-0000031C0000}"/>
    <cellStyle name="Normal 8 2 2 2 2 2 4 3 2" xfId="24712" xr:uid="{A8D62AE8-09C0-4FF5-B6D6-BB390E67C358}"/>
    <cellStyle name="Normal 8 2 2 2 2 2 4 3 3" xfId="15413" xr:uid="{1B3C5FD8-E225-4FFC-81C0-516D1D236870}"/>
    <cellStyle name="Normal 8 2 2 2 2 2 4 4" xfId="20495" xr:uid="{05C71CEA-D9CE-490C-877D-1805FB4D0C90}"/>
    <cellStyle name="Normal 8 2 2 2 2 2 4 5" xfId="11196" xr:uid="{3B5FEAB1-7433-4A93-A4FC-E9BB332FCC7D}"/>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2 2 2" xfId="27270" xr:uid="{428FE2AC-2BAA-499C-9946-7A64C8BA67CD}"/>
    <cellStyle name="Normal 8 2 2 2 2 2 5 2 2 3" xfId="17971" xr:uid="{DA1D24BA-4B2A-4CC8-9EB1-31608AF7F023}"/>
    <cellStyle name="Normal 8 2 2 2 2 2 5 2 3" xfId="23053" xr:uid="{28AB7F5C-D8BE-4C6B-AC03-65F0C3B5F9AC}"/>
    <cellStyle name="Normal 8 2 2 2 2 2 5 2 4" xfId="13754" xr:uid="{7B4EBC40-62CF-45A9-AF1D-96A2042C2B41}"/>
    <cellStyle name="Normal 8 2 2 2 2 2 5 3" xfId="6500" xr:uid="{00000000-0005-0000-0000-0000071C0000}"/>
    <cellStyle name="Normal 8 2 2 2 2 2 5 3 2" xfId="25125" xr:uid="{4F693AE4-3B27-4327-8C57-DA2ED03AEE0D}"/>
    <cellStyle name="Normal 8 2 2 2 2 2 5 3 3" xfId="15826" xr:uid="{1A9E40C6-4C71-44C2-9833-6EF6077F2D1A}"/>
    <cellStyle name="Normal 8 2 2 2 2 2 5 4" xfId="20908" xr:uid="{090CDC55-3CBB-4945-9728-2177E90B808F}"/>
    <cellStyle name="Normal 8 2 2 2 2 2 5 5" xfId="11609" xr:uid="{4784F0FF-5D0F-4C54-97CA-3AFA596E7015}"/>
    <cellStyle name="Normal 8 2 2 2 2 2 6" xfId="2630" xr:uid="{00000000-0005-0000-0000-0000081C0000}"/>
    <cellStyle name="Normal 8 2 2 2 2 2 6 2" xfId="6913" xr:uid="{00000000-0005-0000-0000-0000091C0000}"/>
    <cellStyle name="Normal 8 2 2 2 2 2 6 2 2" xfId="25538" xr:uid="{95083C34-FF3A-4BFA-A692-BD078BB4F9D6}"/>
    <cellStyle name="Normal 8 2 2 2 2 2 6 2 3" xfId="16239" xr:uid="{3F8D186D-5FBA-4E59-BEF2-88D5298A0DD0}"/>
    <cellStyle name="Normal 8 2 2 2 2 2 6 3" xfId="21321" xr:uid="{A8D85B0D-B72C-450E-A6AF-C72BCF44E654}"/>
    <cellStyle name="Normal 8 2 2 2 2 2 6 4" xfId="12022" xr:uid="{855F781F-0753-440B-8D2E-CE9F08007641}"/>
    <cellStyle name="Normal 8 2 2 2 2 2 7" xfId="4848" xr:uid="{00000000-0005-0000-0000-00000A1C0000}"/>
    <cellStyle name="Normal 8 2 2 2 2 2 7 2" xfId="23473" xr:uid="{921BD330-489F-4D93-BF45-04FA00AC3A8B}"/>
    <cellStyle name="Normal 8 2 2 2 2 2 7 3" xfId="14174" xr:uid="{644484C9-A20F-43E1-8E46-360839F4145C}"/>
    <cellStyle name="Normal 8 2 2 2 2 2 8" xfId="9146" xr:uid="{0E570703-055D-406D-8BD9-575AF6037A75}"/>
    <cellStyle name="Normal 8 2 2 2 2 2 8 2" xfId="27769" xr:uid="{1BAFCAD0-11C7-48AC-A1BF-75F5574868AA}"/>
    <cellStyle name="Normal 8 2 2 2 2 2 8 3" xfId="18470" xr:uid="{9CD3D622-CA40-48BB-A061-3C90EAAF29F3}"/>
    <cellStyle name="Normal 8 2 2 2 2 2 9" xfId="19256" xr:uid="{58DF489A-4015-48FC-A8D2-04F9409E8D2B}"/>
    <cellStyle name="Normal 8 2 2 2 2 3" xfId="949" xr:uid="{00000000-0005-0000-0000-00000B1C0000}"/>
    <cellStyle name="Normal 8 2 2 2 2 3 2" xfId="3183" xr:uid="{00000000-0005-0000-0000-00000C1C0000}"/>
    <cellStyle name="Normal 8 2 2 2 2 3 2 2" xfId="7405" xr:uid="{00000000-0005-0000-0000-00000D1C0000}"/>
    <cellStyle name="Normal 8 2 2 2 2 3 2 2 2" xfId="26030" xr:uid="{27ABF72E-DB34-40DA-8F66-D6FB41A2C064}"/>
    <cellStyle name="Normal 8 2 2 2 2 3 2 2 3" xfId="16731" xr:uid="{213236F2-3DBA-47DA-BC3E-C12A6B587B69}"/>
    <cellStyle name="Normal 8 2 2 2 2 3 2 3" xfId="21813" xr:uid="{9CE72D31-E8B5-4CC5-B7D5-FB539E11450D}"/>
    <cellStyle name="Normal 8 2 2 2 2 3 2 4" xfId="12514" xr:uid="{3439D215-09CA-4C86-BA98-2A26572FAFFE}"/>
    <cellStyle name="Normal 8 2 2 2 2 3 3" xfId="5260" xr:uid="{00000000-0005-0000-0000-00000E1C0000}"/>
    <cellStyle name="Normal 8 2 2 2 2 3 3 2" xfId="23885" xr:uid="{C4D0ED7C-23ED-4EAF-888B-4DE6B91D6B06}"/>
    <cellStyle name="Normal 8 2 2 2 2 3 3 3" xfId="14586" xr:uid="{854B13AE-6680-4C50-802A-FB4BF252EDCD}"/>
    <cellStyle name="Normal 8 2 2 2 2 3 4" xfId="9364" xr:uid="{21426B7C-FC96-483C-B560-AC4767107497}"/>
    <cellStyle name="Normal 8 2 2 2 2 3 4 2" xfId="27978" xr:uid="{5ABFE8B1-AB3C-48B6-AC4A-820F294834DE}"/>
    <cellStyle name="Normal 8 2 2 2 2 3 4 3" xfId="18679" xr:uid="{5C90B8D8-FEBC-4F21-9623-839D7036B46D}"/>
    <cellStyle name="Normal 8 2 2 2 2 3 5" xfId="19668" xr:uid="{8EDB32F3-BEDD-4144-B9B5-B69EBBDC329C}"/>
    <cellStyle name="Normal 8 2 2 2 2 3 6" xfId="10369" xr:uid="{31B51E72-2333-4919-AD8A-D3BC749D6AA9}"/>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2 2 2" xfId="26443" xr:uid="{CC7B46F1-369E-4ABE-A8EE-6E695CEF8130}"/>
    <cellStyle name="Normal 8 2 2 2 2 4 2 2 3" xfId="17144" xr:uid="{102B3B40-6102-446B-A9B7-08307FF19C32}"/>
    <cellStyle name="Normal 8 2 2 2 2 4 2 3" xfId="22226" xr:uid="{B00F6B65-5DA6-406B-8588-2723AB87FB32}"/>
    <cellStyle name="Normal 8 2 2 2 2 4 2 4" xfId="12927" xr:uid="{43A657F6-8461-4121-B058-96A92C408235}"/>
    <cellStyle name="Normal 8 2 2 2 2 4 3" xfId="5673" xr:uid="{00000000-0005-0000-0000-0000121C0000}"/>
    <cellStyle name="Normal 8 2 2 2 2 4 3 2" xfId="24298" xr:uid="{107704B0-FFD6-4606-834B-CDA97BF58097}"/>
    <cellStyle name="Normal 8 2 2 2 2 4 3 3" xfId="14999" xr:uid="{F79EB83A-2BDA-4F84-896D-DA917AFD0B65}"/>
    <cellStyle name="Normal 8 2 2 2 2 4 4" xfId="20081" xr:uid="{D05DDB5A-3B9D-4A66-841F-6FE82AB4A043}"/>
    <cellStyle name="Normal 8 2 2 2 2 4 5" xfId="10782" xr:uid="{0FB67237-B8AA-4DA5-923F-A97BEEBCF502}"/>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2 2 2" xfId="26856" xr:uid="{3B62E004-7A57-49EC-9AD9-AF157E971FD1}"/>
    <cellStyle name="Normal 8 2 2 2 2 5 2 2 3" xfId="17557" xr:uid="{0C13CBF1-EF50-44AF-AD9C-C2D759C88F6C}"/>
    <cellStyle name="Normal 8 2 2 2 2 5 2 3" xfId="22639" xr:uid="{B34260B7-CF06-4449-860A-4C2A3FB09DE5}"/>
    <cellStyle name="Normal 8 2 2 2 2 5 2 4" xfId="13340" xr:uid="{F3F912C2-14E4-4B42-8245-7E664178AA00}"/>
    <cellStyle name="Normal 8 2 2 2 2 5 3" xfId="6086" xr:uid="{00000000-0005-0000-0000-0000161C0000}"/>
    <cellStyle name="Normal 8 2 2 2 2 5 3 2" xfId="24711" xr:uid="{92FD71EC-5B0E-4FCE-B626-6E621EE2193A}"/>
    <cellStyle name="Normal 8 2 2 2 2 5 3 3" xfId="15412" xr:uid="{DE54FA01-327A-452C-9DCB-DBDC0CB26E5E}"/>
    <cellStyle name="Normal 8 2 2 2 2 5 4" xfId="20494" xr:uid="{12BBB91C-CED7-4961-86D1-E375127E86DF}"/>
    <cellStyle name="Normal 8 2 2 2 2 5 5" xfId="11195" xr:uid="{4F246FD0-2812-4687-B1E6-5F2C7E215BD1}"/>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2 2 2" xfId="27269" xr:uid="{3C6742C7-F580-4D9C-BA05-638033C1EEFA}"/>
    <cellStyle name="Normal 8 2 2 2 2 6 2 2 3" xfId="17970" xr:uid="{7A31F8E6-DFDB-4E0A-ABD7-A8592BC926A1}"/>
    <cellStyle name="Normal 8 2 2 2 2 6 2 3" xfId="23052" xr:uid="{99F1132A-51A1-4961-9405-8E2CB92FE200}"/>
    <cellStyle name="Normal 8 2 2 2 2 6 2 4" xfId="13753" xr:uid="{39B0D144-6062-4969-A3AD-9A622E5AD126}"/>
    <cellStyle name="Normal 8 2 2 2 2 6 3" xfId="6499" xr:uid="{00000000-0005-0000-0000-00001A1C0000}"/>
    <cellStyle name="Normal 8 2 2 2 2 6 3 2" xfId="25124" xr:uid="{4A92D3E3-2AE4-4A2A-A08B-86B982273E6A}"/>
    <cellStyle name="Normal 8 2 2 2 2 6 3 3" xfId="15825" xr:uid="{60D180F3-A090-4C43-ABA9-5E098CAF2EA2}"/>
    <cellStyle name="Normal 8 2 2 2 2 6 4" xfId="20907" xr:uid="{3B428385-3421-464B-A677-47B3108FBEFA}"/>
    <cellStyle name="Normal 8 2 2 2 2 6 5" xfId="11608" xr:uid="{6F26CAEC-B4BA-40FC-9DB3-49C40A582CCD}"/>
    <cellStyle name="Normal 8 2 2 2 2 7" xfId="2629" xr:uid="{00000000-0005-0000-0000-00001B1C0000}"/>
    <cellStyle name="Normal 8 2 2 2 2 7 2" xfId="6912" xr:uid="{00000000-0005-0000-0000-00001C1C0000}"/>
    <cellStyle name="Normal 8 2 2 2 2 7 2 2" xfId="25537" xr:uid="{CB2B95C1-1FAA-439C-9BAC-AF5EF2284876}"/>
    <cellStyle name="Normal 8 2 2 2 2 7 2 3" xfId="16238" xr:uid="{B9F7107E-D508-4915-9241-273AF144B217}"/>
    <cellStyle name="Normal 8 2 2 2 2 7 3" xfId="21320" xr:uid="{633D9D51-DF16-4513-BC9D-A106C72C8C52}"/>
    <cellStyle name="Normal 8 2 2 2 2 7 4" xfId="12021" xr:uid="{59BB31A4-D5E9-4BF8-8061-A87BADBCECA0}"/>
    <cellStyle name="Normal 8 2 2 2 2 8" xfId="4847" xr:uid="{00000000-0005-0000-0000-00001D1C0000}"/>
    <cellStyle name="Normal 8 2 2 2 2 8 2" xfId="23472" xr:uid="{7A1FB0DF-1C50-44B9-ACC2-A9CA78A4C376}"/>
    <cellStyle name="Normal 8 2 2 2 2 8 3" xfId="14173" xr:uid="{D1F89D2C-D4B9-4651-B154-4BB89C3539B7}"/>
    <cellStyle name="Normal 8 2 2 2 2 9" xfId="8939" xr:uid="{385BAC75-25D1-414A-8E33-9B6DCCA130DE}"/>
    <cellStyle name="Normal 8 2 2 2 2 9 2" xfId="27562" xr:uid="{B4F1A70E-D008-43F7-B037-B7F8188D0045}"/>
    <cellStyle name="Normal 8 2 2 2 2 9 3" xfId="18263" xr:uid="{0D10D82D-77A2-476D-8B64-977695DC98FD}"/>
    <cellStyle name="Normal 8 2 2 2 3" xfId="484" xr:uid="{00000000-0005-0000-0000-00001E1C0000}"/>
    <cellStyle name="Normal 8 2 2 2 3 10" xfId="9958" xr:uid="{079F5DBC-BDA1-4E99-92CB-9EFDC2DB78C8}"/>
    <cellStyle name="Normal 8 2 2 2 3 2" xfId="951" xr:uid="{00000000-0005-0000-0000-00001F1C0000}"/>
    <cellStyle name="Normal 8 2 2 2 3 2 2" xfId="3185" xr:uid="{00000000-0005-0000-0000-0000201C0000}"/>
    <cellStyle name="Normal 8 2 2 2 3 2 2 2" xfId="7407" xr:uid="{00000000-0005-0000-0000-0000211C0000}"/>
    <cellStyle name="Normal 8 2 2 2 3 2 2 2 2" xfId="26032" xr:uid="{0C588EEF-6DB7-4727-8B2E-DFE9918753B0}"/>
    <cellStyle name="Normal 8 2 2 2 3 2 2 2 3" xfId="16733" xr:uid="{9AD36264-488F-4C53-9A65-F57AE26840E1}"/>
    <cellStyle name="Normal 8 2 2 2 3 2 2 3" xfId="21815" xr:uid="{016B0578-2CEA-4C0F-BC0A-66DAD3C4B310}"/>
    <cellStyle name="Normal 8 2 2 2 3 2 2 4" xfId="12516" xr:uid="{6F9D249D-639C-415C-A8E9-F4BF2E8CA42A}"/>
    <cellStyle name="Normal 8 2 2 2 3 2 3" xfId="5262" xr:uid="{00000000-0005-0000-0000-0000221C0000}"/>
    <cellStyle name="Normal 8 2 2 2 3 2 3 2" xfId="23887" xr:uid="{17523FE5-B414-48CC-8DA1-FB22646DE8D5}"/>
    <cellStyle name="Normal 8 2 2 2 3 2 3 3" xfId="14588" xr:uid="{840440A4-3603-4710-A4A1-CE5BE91610A2}"/>
    <cellStyle name="Normal 8 2 2 2 3 2 4" xfId="9468" xr:uid="{8CC4AD0E-72B4-4935-8967-B171D7B5EF8D}"/>
    <cellStyle name="Normal 8 2 2 2 3 2 4 2" xfId="28082" xr:uid="{C3299934-530F-4A90-9137-80E03DFED6E0}"/>
    <cellStyle name="Normal 8 2 2 2 3 2 4 3" xfId="18783" xr:uid="{095F6B53-E77E-44BA-8EC0-3652457AC73C}"/>
    <cellStyle name="Normal 8 2 2 2 3 2 5" xfId="19670" xr:uid="{0D567571-F5D2-40EE-903D-800C7C91453B}"/>
    <cellStyle name="Normal 8 2 2 2 3 2 6" xfId="10371" xr:uid="{523868F9-2038-40A5-8D32-3C4303F1C956}"/>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2 2 2" xfId="26445" xr:uid="{BE61E1B4-8AFB-42FE-94A1-57BEE027F43F}"/>
    <cellStyle name="Normal 8 2 2 2 3 3 2 2 3" xfId="17146" xr:uid="{1BA0F70C-5A1C-408E-ADBE-4A6C2897DEF0}"/>
    <cellStyle name="Normal 8 2 2 2 3 3 2 3" xfId="22228" xr:uid="{B91150A8-F2F6-4158-97BB-DA47F53D251D}"/>
    <cellStyle name="Normal 8 2 2 2 3 3 2 4" xfId="12929" xr:uid="{598FC373-B668-472D-AE20-D38789781E11}"/>
    <cellStyle name="Normal 8 2 2 2 3 3 3" xfId="5675" xr:uid="{00000000-0005-0000-0000-0000261C0000}"/>
    <cellStyle name="Normal 8 2 2 2 3 3 3 2" xfId="24300" xr:uid="{B9CFA674-DFC1-42B2-BBC2-428EFE32C38B}"/>
    <cellStyle name="Normal 8 2 2 2 3 3 3 3" xfId="15001" xr:uid="{CA356994-5023-45CF-8775-0A5E2790ECDD}"/>
    <cellStyle name="Normal 8 2 2 2 3 3 4" xfId="20083" xr:uid="{DFA6C5B1-6720-450C-954E-CAB65AD652B3}"/>
    <cellStyle name="Normal 8 2 2 2 3 3 5" xfId="10784" xr:uid="{00CFD93F-5346-4D2F-9DAB-8B822AAB7634}"/>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2 2 2" xfId="26858" xr:uid="{BE986EFE-9E41-403D-B55C-0D4284F60BFD}"/>
    <cellStyle name="Normal 8 2 2 2 3 4 2 2 3" xfId="17559" xr:uid="{F092D5AA-809A-4300-9430-13169153E8E0}"/>
    <cellStyle name="Normal 8 2 2 2 3 4 2 3" xfId="22641" xr:uid="{856CE569-168C-48D1-84C9-59A8A9D82B03}"/>
    <cellStyle name="Normal 8 2 2 2 3 4 2 4" xfId="13342" xr:uid="{65589791-DEF4-4CD7-BE93-6E8641CC97BE}"/>
    <cellStyle name="Normal 8 2 2 2 3 4 3" xfId="6088" xr:uid="{00000000-0005-0000-0000-00002A1C0000}"/>
    <cellStyle name="Normal 8 2 2 2 3 4 3 2" xfId="24713" xr:uid="{773D594E-7EA1-4AC5-A482-0D5AC913AE16}"/>
    <cellStyle name="Normal 8 2 2 2 3 4 3 3" xfId="15414" xr:uid="{FD941400-5A21-49C8-B1C1-54B40505424F}"/>
    <cellStyle name="Normal 8 2 2 2 3 4 4" xfId="20496" xr:uid="{91E084E1-1985-4DAA-A0C4-38763FAB3A36}"/>
    <cellStyle name="Normal 8 2 2 2 3 4 5" xfId="11197" xr:uid="{9541B815-D9D2-4371-9F23-2DA1CBD4FB7F}"/>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2 2 2" xfId="27271" xr:uid="{2B2901BD-A24F-4D34-B852-A0BBAB86A809}"/>
    <cellStyle name="Normal 8 2 2 2 3 5 2 2 3" xfId="17972" xr:uid="{5F86F562-E63D-484B-821B-36D2BAA1BBE3}"/>
    <cellStyle name="Normal 8 2 2 2 3 5 2 3" xfId="23054" xr:uid="{65FFFFE2-89AD-4860-AAE2-6D1BDC5A82B5}"/>
    <cellStyle name="Normal 8 2 2 2 3 5 2 4" xfId="13755" xr:uid="{F8CF2CFC-71AB-41C4-A0F3-14972F45B135}"/>
    <cellStyle name="Normal 8 2 2 2 3 5 3" xfId="6501" xr:uid="{00000000-0005-0000-0000-00002E1C0000}"/>
    <cellStyle name="Normal 8 2 2 2 3 5 3 2" xfId="25126" xr:uid="{3BA93151-9EE1-4307-8565-3B6EB0B41379}"/>
    <cellStyle name="Normal 8 2 2 2 3 5 3 3" xfId="15827" xr:uid="{4D997EFA-F919-4DA7-BE9E-79A8D2C81A34}"/>
    <cellStyle name="Normal 8 2 2 2 3 5 4" xfId="20909" xr:uid="{D5FC6DE2-496D-4ABF-94BA-F0964CB31F1D}"/>
    <cellStyle name="Normal 8 2 2 2 3 5 5" xfId="11610" xr:uid="{32C0B941-F048-4BE3-91DE-34AAFE3886F0}"/>
    <cellStyle name="Normal 8 2 2 2 3 6" xfId="2631" xr:uid="{00000000-0005-0000-0000-00002F1C0000}"/>
    <cellStyle name="Normal 8 2 2 2 3 6 2" xfId="6914" xr:uid="{00000000-0005-0000-0000-0000301C0000}"/>
    <cellStyle name="Normal 8 2 2 2 3 6 2 2" xfId="25539" xr:uid="{D9AFBA34-C433-4023-9E27-9AE54AFF7974}"/>
    <cellStyle name="Normal 8 2 2 2 3 6 2 3" xfId="16240" xr:uid="{C56E87FE-9E96-4955-B39C-8692D7946A9B}"/>
    <cellStyle name="Normal 8 2 2 2 3 6 3" xfId="21322" xr:uid="{8D2F56B2-926A-4C42-B9AC-CAC83D9E2580}"/>
    <cellStyle name="Normal 8 2 2 2 3 6 4" xfId="12023" xr:uid="{FFDA3D03-98BA-4A81-89C1-8AC5C452FB95}"/>
    <cellStyle name="Normal 8 2 2 2 3 7" xfId="4849" xr:uid="{00000000-0005-0000-0000-0000311C0000}"/>
    <cellStyle name="Normal 8 2 2 2 3 7 2" xfId="23474" xr:uid="{FE0C9D52-27A0-4BDF-9DAE-D5144D9A0608}"/>
    <cellStyle name="Normal 8 2 2 2 3 7 3" xfId="14175" xr:uid="{0B2DDD39-AE9D-47CC-BDB7-CD2F3388601B}"/>
    <cellStyle name="Normal 8 2 2 2 3 8" xfId="9043" xr:uid="{BAC463DF-40A7-4F07-ADD3-7274E57F505C}"/>
    <cellStyle name="Normal 8 2 2 2 3 8 2" xfId="27666" xr:uid="{CEB219B1-4518-4B95-AC51-C8C86996C296}"/>
    <cellStyle name="Normal 8 2 2 2 3 8 3" xfId="18367" xr:uid="{5C77BC11-0689-40D0-8F43-7F809855300E}"/>
    <cellStyle name="Normal 8 2 2 2 3 9" xfId="19257" xr:uid="{242662C7-4CDC-44ED-B1AE-FD3D0C9D5AB5}"/>
    <cellStyle name="Normal 8 2 2 2 4" xfId="948" xr:uid="{00000000-0005-0000-0000-0000321C0000}"/>
    <cellStyle name="Normal 8 2 2 2 4 2" xfId="3182" xr:uid="{00000000-0005-0000-0000-0000331C0000}"/>
    <cellStyle name="Normal 8 2 2 2 4 2 2" xfId="7404" xr:uid="{00000000-0005-0000-0000-0000341C0000}"/>
    <cellStyle name="Normal 8 2 2 2 4 2 2 2" xfId="26029" xr:uid="{27681ACE-55C9-4699-BD7D-E343F89703E4}"/>
    <cellStyle name="Normal 8 2 2 2 4 2 2 3" xfId="16730" xr:uid="{D27FD744-50E9-49C8-99E2-D51AC12AEA64}"/>
    <cellStyle name="Normal 8 2 2 2 4 2 3" xfId="21812" xr:uid="{4058C4B9-DC47-45DD-9DBD-B29B2E1172C5}"/>
    <cellStyle name="Normal 8 2 2 2 4 2 4" xfId="12513" xr:uid="{19B2933F-0BBC-4DF3-A1F4-C16982A99136}"/>
    <cellStyle name="Normal 8 2 2 2 4 3" xfId="5259" xr:uid="{00000000-0005-0000-0000-0000351C0000}"/>
    <cellStyle name="Normal 8 2 2 2 4 3 2" xfId="23884" xr:uid="{EFEA214E-F44A-477D-9B3F-A922C4C115FE}"/>
    <cellStyle name="Normal 8 2 2 2 4 3 3" xfId="14585" xr:uid="{050306B6-53B8-49E8-95FF-68084E54F28E}"/>
    <cellStyle name="Normal 8 2 2 2 4 4" xfId="9261" xr:uid="{70C29865-A6DE-4682-9EB1-83E4E07FD0A7}"/>
    <cellStyle name="Normal 8 2 2 2 4 4 2" xfId="27875" xr:uid="{7EC9934B-FD7C-4CE0-9111-E0F585DBF84A}"/>
    <cellStyle name="Normal 8 2 2 2 4 4 3" xfId="18576" xr:uid="{5C2C8C1E-9502-472F-9111-9B99730B760D}"/>
    <cellStyle name="Normal 8 2 2 2 4 5" xfId="19667" xr:uid="{62D8B57C-9137-4177-928F-46A3E8C87213}"/>
    <cellStyle name="Normal 8 2 2 2 4 6" xfId="10368" xr:uid="{2766B589-AC1F-4FD3-9587-57D758B5595A}"/>
    <cellStyle name="Normal 8 2 2 2 5" xfId="1365" xr:uid="{00000000-0005-0000-0000-0000361C0000}"/>
    <cellStyle name="Normal 8 2 2 2 5 2" xfId="3595" xr:uid="{00000000-0005-0000-0000-0000371C0000}"/>
    <cellStyle name="Normal 8 2 2 2 5 2 2" xfId="7817" xr:uid="{00000000-0005-0000-0000-0000381C0000}"/>
    <cellStyle name="Normal 8 2 2 2 5 2 2 2" xfId="26442" xr:uid="{A84A5ACF-C6D0-45D1-A0A8-0FC84931CF47}"/>
    <cellStyle name="Normal 8 2 2 2 5 2 2 3" xfId="17143" xr:uid="{10C1BA63-1E74-4481-9FA1-E3CFC87CE7E8}"/>
    <cellStyle name="Normal 8 2 2 2 5 2 3" xfId="22225" xr:uid="{9BEA4B0D-2866-4FA8-975D-AF74C2D74280}"/>
    <cellStyle name="Normal 8 2 2 2 5 2 4" xfId="12926" xr:uid="{2C52EA36-485E-4C85-9429-5B712DE0F335}"/>
    <cellStyle name="Normal 8 2 2 2 5 3" xfId="5672" xr:uid="{00000000-0005-0000-0000-0000391C0000}"/>
    <cellStyle name="Normal 8 2 2 2 5 3 2" xfId="24297" xr:uid="{1359BF50-3AE0-43C6-9ACC-F37B60D5A9DB}"/>
    <cellStyle name="Normal 8 2 2 2 5 3 3" xfId="14998" xr:uid="{E79CB891-7A7A-4B22-9779-21137D59E158}"/>
    <cellStyle name="Normal 8 2 2 2 5 4" xfId="20080" xr:uid="{C6BEE788-FEE1-4699-A9D4-AEAC284B7978}"/>
    <cellStyle name="Normal 8 2 2 2 5 5" xfId="10781" xr:uid="{522F56E0-378F-4E95-887B-1B719D7E9C9E}"/>
    <cellStyle name="Normal 8 2 2 2 6" xfId="1778" xr:uid="{00000000-0005-0000-0000-00003A1C0000}"/>
    <cellStyle name="Normal 8 2 2 2 6 2" xfId="4008" xr:uid="{00000000-0005-0000-0000-00003B1C0000}"/>
    <cellStyle name="Normal 8 2 2 2 6 2 2" xfId="8230" xr:uid="{00000000-0005-0000-0000-00003C1C0000}"/>
    <cellStyle name="Normal 8 2 2 2 6 2 2 2" xfId="26855" xr:uid="{293575C5-6646-43C0-AC7B-4C1DED7C0A72}"/>
    <cellStyle name="Normal 8 2 2 2 6 2 2 3" xfId="17556" xr:uid="{9815E12F-1276-42DE-86CE-1FE478038CC1}"/>
    <cellStyle name="Normal 8 2 2 2 6 2 3" xfId="22638" xr:uid="{56BB9459-9A71-4908-801E-29F2799BE5EF}"/>
    <cellStyle name="Normal 8 2 2 2 6 2 4" xfId="13339" xr:uid="{EEF40A09-A50C-4C86-AC42-3B8E051C8283}"/>
    <cellStyle name="Normal 8 2 2 2 6 3" xfId="6085" xr:uid="{00000000-0005-0000-0000-00003D1C0000}"/>
    <cellStyle name="Normal 8 2 2 2 6 3 2" xfId="24710" xr:uid="{39485BB3-6C91-4B95-9532-262E691B003F}"/>
    <cellStyle name="Normal 8 2 2 2 6 3 3" xfId="15411" xr:uid="{A865F728-3783-4B29-B615-21983CD4BFE3}"/>
    <cellStyle name="Normal 8 2 2 2 6 4" xfId="20493" xr:uid="{DD9EC3B3-7F64-44B4-A8EE-096F74E32F1A}"/>
    <cellStyle name="Normal 8 2 2 2 6 5" xfId="11194" xr:uid="{0C25906D-1659-4E4F-A7B4-1B504D43E373}"/>
    <cellStyle name="Normal 8 2 2 2 7" xfId="2192" xr:uid="{00000000-0005-0000-0000-00003E1C0000}"/>
    <cellStyle name="Normal 8 2 2 2 7 2" xfId="4421" xr:uid="{00000000-0005-0000-0000-00003F1C0000}"/>
    <cellStyle name="Normal 8 2 2 2 7 2 2" xfId="8643" xr:uid="{00000000-0005-0000-0000-0000401C0000}"/>
    <cellStyle name="Normal 8 2 2 2 7 2 2 2" xfId="27268" xr:uid="{5C059FB3-1442-4CAE-ADC1-1B337A7C6F47}"/>
    <cellStyle name="Normal 8 2 2 2 7 2 2 3" xfId="17969" xr:uid="{A8D447DC-A57B-43A4-8232-93829A2310ED}"/>
    <cellStyle name="Normal 8 2 2 2 7 2 3" xfId="23051" xr:uid="{1ED45FF6-91A8-49BB-B349-186BCB2D653A}"/>
    <cellStyle name="Normal 8 2 2 2 7 2 4" xfId="13752" xr:uid="{5C61E2C2-EC92-41F6-A74D-8B652DACC072}"/>
    <cellStyle name="Normal 8 2 2 2 7 3" xfId="6498" xr:uid="{00000000-0005-0000-0000-0000411C0000}"/>
    <cellStyle name="Normal 8 2 2 2 7 3 2" xfId="25123" xr:uid="{885DC113-CB89-4B22-81D0-E8CC32961522}"/>
    <cellStyle name="Normal 8 2 2 2 7 3 3" xfId="15824" xr:uid="{7510A8C3-A76F-42BE-BEF1-AA70519EBB24}"/>
    <cellStyle name="Normal 8 2 2 2 7 4" xfId="20906" xr:uid="{C60639BA-9407-4941-89F4-85E95C909E7C}"/>
    <cellStyle name="Normal 8 2 2 2 7 5" xfId="11607" xr:uid="{1997008C-56A5-4099-97BB-6C29A2C82B88}"/>
    <cellStyle name="Normal 8 2 2 2 8" xfId="2628" xr:uid="{00000000-0005-0000-0000-0000421C0000}"/>
    <cellStyle name="Normal 8 2 2 2 8 2" xfId="6911" xr:uid="{00000000-0005-0000-0000-0000431C0000}"/>
    <cellStyle name="Normal 8 2 2 2 8 2 2" xfId="25536" xr:uid="{2B1ECC33-819B-4047-8854-6E9E80C64ECA}"/>
    <cellStyle name="Normal 8 2 2 2 8 2 3" xfId="16237" xr:uid="{7AB0D8C9-0C16-4D1B-BD0A-09C35B4F5E24}"/>
    <cellStyle name="Normal 8 2 2 2 8 3" xfId="21319" xr:uid="{EF1DA3FB-A79F-4C1E-A981-93CFD54F3E60}"/>
    <cellStyle name="Normal 8 2 2 2 8 4" xfId="12020" xr:uid="{10C00FE5-84FD-45F5-B945-A95EBD348308}"/>
    <cellStyle name="Normal 8 2 2 2 9" xfId="4846" xr:uid="{00000000-0005-0000-0000-0000441C0000}"/>
    <cellStyle name="Normal 8 2 2 2 9 2" xfId="23471" xr:uid="{CB04C57F-B184-4C96-A9CC-5C7EBD563FBE}"/>
    <cellStyle name="Normal 8 2 2 2 9 3" xfId="14172" xr:uid="{17A73FC1-B432-409F-A7BA-68BDE486A27D}"/>
    <cellStyle name="Normal 8 2 2 3" xfId="485" xr:uid="{00000000-0005-0000-0000-0000451C0000}"/>
    <cellStyle name="Normal 8 2 2 3 10" xfId="19258" xr:uid="{955C9450-17CF-425C-A1C1-1CA344915027}"/>
    <cellStyle name="Normal 8 2 2 3 11" xfId="9959" xr:uid="{6E9FE2C0-7B98-40D2-9442-AC9B14435ECA}"/>
    <cellStyle name="Normal 8 2 2 3 2" xfId="486" xr:uid="{00000000-0005-0000-0000-0000461C0000}"/>
    <cellStyle name="Normal 8 2 2 3 2 10" xfId="9960" xr:uid="{E1C99271-56B9-4FAE-8EDF-9EFEA130C95E}"/>
    <cellStyle name="Normal 8 2 2 3 2 2" xfId="953" xr:uid="{00000000-0005-0000-0000-0000471C0000}"/>
    <cellStyle name="Normal 8 2 2 3 2 2 2" xfId="3187" xr:uid="{00000000-0005-0000-0000-0000481C0000}"/>
    <cellStyle name="Normal 8 2 2 3 2 2 2 2" xfId="7409" xr:uid="{00000000-0005-0000-0000-0000491C0000}"/>
    <cellStyle name="Normal 8 2 2 3 2 2 2 2 2" xfId="26034" xr:uid="{0A6A6F5E-FECC-4913-9FC2-F1DCC8CA1A88}"/>
    <cellStyle name="Normal 8 2 2 3 2 2 2 2 3" xfId="16735" xr:uid="{8917F223-50AB-4427-8ADE-36AFBD671D98}"/>
    <cellStyle name="Normal 8 2 2 3 2 2 2 3" xfId="21817" xr:uid="{5F9F1C7B-42EA-4DBB-A3E0-97604E2343E0}"/>
    <cellStyle name="Normal 8 2 2 3 2 2 2 4" xfId="12518" xr:uid="{50C54326-F6A6-473C-98A4-185931AB9D97}"/>
    <cellStyle name="Normal 8 2 2 3 2 2 3" xfId="5264" xr:uid="{00000000-0005-0000-0000-00004A1C0000}"/>
    <cellStyle name="Normal 8 2 2 3 2 2 3 2" xfId="23889" xr:uid="{BFFD5643-EACD-4857-B6F8-8C12E351C415}"/>
    <cellStyle name="Normal 8 2 2 3 2 2 3 3" xfId="14590" xr:uid="{2AC7ADB3-591D-4E7B-AEE3-E69B9982DA20}"/>
    <cellStyle name="Normal 8 2 2 3 2 2 4" xfId="9518" xr:uid="{FDE93D5E-A6D1-456B-8726-FC2AB8FD16A4}"/>
    <cellStyle name="Normal 8 2 2 3 2 2 4 2" xfId="28132" xr:uid="{EB8F9CDE-C432-43F8-A2BE-0B118BB0B0B7}"/>
    <cellStyle name="Normal 8 2 2 3 2 2 4 3" xfId="18833" xr:uid="{A71F0F1A-9C9E-4F88-82B9-E57A09BAEDD4}"/>
    <cellStyle name="Normal 8 2 2 3 2 2 5" xfId="19672" xr:uid="{235511B5-B70A-4B88-9423-C9D2366696C0}"/>
    <cellStyle name="Normal 8 2 2 3 2 2 6" xfId="10373" xr:uid="{16A467F0-C2D6-4CDC-B1E5-D6BDF96A6C42}"/>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2 2 2" xfId="26447" xr:uid="{BA700E4C-DF49-47DA-BBF9-5BD2C5173A65}"/>
    <cellStyle name="Normal 8 2 2 3 2 3 2 2 3" xfId="17148" xr:uid="{E6C08D19-83C3-4123-B4F7-A755A1944A06}"/>
    <cellStyle name="Normal 8 2 2 3 2 3 2 3" xfId="22230" xr:uid="{38884413-872C-4CA5-9346-DA0C52C23810}"/>
    <cellStyle name="Normal 8 2 2 3 2 3 2 4" xfId="12931" xr:uid="{CFB8BF8A-E651-4766-8CB1-102F4FC7EC76}"/>
    <cellStyle name="Normal 8 2 2 3 2 3 3" xfId="5677" xr:uid="{00000000-0005-0000-0000-00004E1C0000}"/>
    <cellStyle name="Normal 8 2 2 3 2 3 3 2" xfId="24302" xr:uid="{7BC4C5F8-3717-4C22-B3A1-E0ED7C8F3B90}"/>
    <cellStyle name="Normal 8 2 2 3 2 3 3 3" xfId="15003" xr:uid="{9E43AB64-A3F6-4DB6-A7C4-C598EA9372AD}"/>
    <cellStyle name="Normal 8 2 2 3 2 3 4" xfId="20085" xr:uid="{A9740352-288E-4667-9D6E-FE06B62A7A4D}"/>
    <cellStyle name="Normal 8 2 2 3 2 3 5" xfId="10786" xr:uid="{EAB3C728-66FC-4285-AD0E-33C295142805}"/>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2 2 2" xfId="26860" xr:uid="{BB2E7067-8711-4023-AD12-C4EA1856FC38}"/>
    <cellStyle name="Normal 8 2 2 3 2 4 2 2 3" xfId="17561" xr:uid="{275B79D3-9942-4953-A83B-65C52BA4AE9A}"/>
    <cellStyle name="Normal 8 2 2 3 2 4 2 3" xfId="22643" xr:uid="{1153AC3E-63FC-4EDF-870A-9974E44DA9A7}"/>
    <cellStyle name="Normal 8 2 2 3 2 4 2 4" xfId="13344" xr:uid="{A9C0686F-7A41-4F38-859B-A8747C5C933D}"/>
    <cellStyle name="Normal 8 2 2 3 2 4 3" xfId="6090" xr:uid="{00000000-0005-0000-0000-0000521C0000}"/>
    <cellStyle name="Normal 8 2 2 3 2 4 3 2" xfId="24715" xr:uid="{D7178588-76BB-4A0F-B751-418BA7B10E9A}"/>
    <cellStyle name="Normal 8 2 2 3 2 4 3 3" xfId="15416" xr:uid="{91F8A920-3BE4-49A2-A9A5-AD411EB6160C}"/>
    <cellStyle name="Normal 8 2 2 3 2 4 4" xfId="20498" xr:uid="{01949DFE-BDD2-4778-8740-2BCB2CBB601E}"/>
    <cellStyle name="Normal 8 2 2 3 2 4 5" xfId="11199" xr:uid="{4D4533BF-DDBD-4A5C-BD1F-C6C6E1D8DC05}"/>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2 2 2" xfId="27273" xr:uid="{8FF84BC4-D47B-4F74-95AC-1C446BEB7B20}"/>
    <cellStyle name="Normal 8 2 2 3 2 5 2 2 3" xfId="17974" xr:uid="{DA24F118-4861-4D5E-817F-39FA7DADD3D3}"/>
    <cellStyle name="Normal 8 2 2 3 2 5 2 3" xfId="23056" xr:uid="{93E51200-3660-4399-A2DC-5CDA097F18FD}"/>
    <cellStyle name="Normal 8 2 2 3 2 5 2 4" xfId="13757" xr:uid="{3D5CE96F-3FBA-4439-AE93-057B3A5FE7D7}"/>
    <cellStyle name="Normal 8 2 2 3 2 5 3" xfId="6503" xr:uid="{00000000-0005-0000-0000-0000561C0000}"/>
    <cellStyle name="Normal 8 2 2 3 2 5 3 2" xfId="25128" xr:uid="{027CDDA3-2312-4DC8-BE16-CC4EA9D1651F}"/>
    <cellStyle name="Normal 8 2 2 3 2 5 3 3" xfId="15829" xr:uid="{E490CDEC-0959-4F9F-A2C1-92A87AEE3F2D}"/>
    <cellStyle name="Normal 8 2 2 3 2 5 4" xfId="20911" xr:uid="{87A69DB0-54E1-4738-81F2-A6DE625F5D41}"/>
    <cellStyle name="Normal 8 2 2 3 2 5 5" xfId="11612" xr:uid="{0B2BEA7C-6675-4979-845E-990465043F05}"/>
    <cellStyle name="Normal 8 2 2 3 2 6" xfId="2633" xr:uid="{00000000-0005-0000-0000-0000571C0000}"/>
    <cellStyle name="Normal 8 2 2 3 2 6 2" xfId="6916" xr:uid="{00000000-0005-0000-0000-0000581C0000}"/>
    <cellStyle name="Normal 8 2 2 3 2 6 2 2" xfId="25541" xr:uid="{B3B47864-5896-42DE-BC14-93A7778615B3}"/>
    <cellStyle name="Normal 8 2 2 3 2 6 2 3" xfId="16242" xr:uid="{8FC89A43-58F3-4C55-A3C0-6902FFE1317A}"/>
    <cellStyle name="Normal 8 2 2 3 2 6 3" xfId="21324" xr:uid="{88B841B6-7E94-4E4D-B787-91B90CD7F7EF}"/>
    <cellStyle name="Normal 8 2 2 3 2 6 4" xfId="12025" xr:uid="{2E013C79-5E50-42F4-A3C1-5E1CA4053655}"/>
    <cellStyle name="Normal 8 2 2 3 2 7" xfId="4851" xr:uid="{00000000-0005-0000-0000-0000591C0000}"/>
    <cellStyle name="Normal 8 2 2 3 2 7 2" xfId="23476" xr:uid="{EA2B9191-E9F6-4A1A-907D-01124A0E49A9}"/>
    <cellStyle name="Normal 8 2 2 3 2 7 3" xfId="14177" xr:uid="{1EE8E5EF-0C03-4CC7-93DA-EED16E45DBF0}"/>
    <cellStyle name="Normal 8 2 2 3 2 8" xfId="9093" xr:uid="{ADE34C72-BCCB-477C-B66A-BE7159CEB281}"/>
    <cellStyle name="Normal 8 2 2 3 2 8 2" xfId="27716" xr:uid="{324F8C25-625B-4549-82A2-901231664049}"/>
    <cellStyle name="Normal 8 2 2 3 2 8 3" xfId="18417" xr:uid="{B87A3843-A60E-4EBD-A8A8-002C28CFBF70}"/>
    <cellStyle name="Normal 8 2 2 3 2 9" xfId="19259" xr:uid="{3906D845-F27B-4B76-9345-F01AB9DDF1E5}"/>
    <cellStyle name="Normal 8 2 2 3 3" xfId="952" xr:uid="{00000000-0005-0000-0000-00005A1C0000}"/>
    <cellStyle name="Normal 8 2 2 3 3 2" xfId="3186" xr:uid="{00000000-0005-0000-0000-00005B1C0000}"/>
    <cellStyle name="Normal 8 2 2 3 3 2 2" xfId="7408" xr:uid="{00000000-0005-0000-0000-00005C1C0000}"/>
    <cellStyle name="Normal 8 2 2 3 3 2 2 2" xfId="26033" xr:uid="{BB58772F-E3F5-4B96-BC23-16F54E9E82DD}"/>
    <cellStyle name="Normal 8 2 2 3 3 2 2 3" xfId="16734" xr:uid="{4DAF3FEB-C12E-47FD-B3A7-4DB241BDA8E0}"/>
    <cellStyle name="Normal 8 2 2 3 3 2 3" xfId="21816" xr:uid="{0D899798-5878-4103-BF7C-EBE776C78E79}"/>
    <cellStyle name="Normal 8 2 2 3 3 2 4" xfId="12517" xr:uid="{C6BF259F-DC33-4C71-A688-D23DEEAC5A6D}"/>
    <cellStyle name="Normal 8 2 2 3 3 3" xfId="5263" xr:uid="{00000000-0005-0000-0000-00005D1C0000}"/>
    <cellStyle name="Normal 8 2 2 3 3 3 2" xfId="23888" xr:uid="{AEC5AF8B-80A4-484F-8C07-12E03EAA5BBF}"/>
    <cellStyle name="Normal 8 2 2 3 3 3 3" xfId="14589" xr:uid="{125B5FB2-EBCD-4197-A95E-4EBFCC098D5B}"/>
    <cellStyle name="Normal 8 2 2 3 3 4" xfId="9311" xr:uid="{F4618F1E-1235-4269-B5C6-B09BE5034F6C}"/>
    <cellStyle name="Normal 8 2 2 3 3 4 2" xfId="27925" xr:uid="{814265F5-9742-4947-A3C7-4D2A582DB894}"/>
    <cellStyle name="Normal 8 2 2 3 3 4 3" xfId="18626" xr:uid="{E7671013-0358-4EEC-935A-41B0685445B9}"/>
    <cellStyle name="Normal 8 2 2 3 3 5" xfId="19671" xr:uid="{2397551B-4DF0-4A38-A58E-24A892340556}"/>
    <cellStyle name="Normal 8 2 2 3 3 6" xfId="10372" xr:uid="{33865863-A4DB-4F06-AAF2-D44F87EF14A5}"/>
    <cellStyle name="Normal 8 2 2 3 4" xfId="1369" xr:uid="{00000000-0005-0000-0000-00005E1C0000}"/>
    <cellStyle name="Normal 8 2 2 3 4 2" xfId="3599" xr:uid="{00000000-0005-0000-0000-00005F1C0000}"/>
    <cellStyle name="Normal 8 2 2 3 4 2 2" xfId="7821" xr:uid="{00000000-0005-0000-0000-0000601C0000}"/>
    <cellStyle name="Normal 8 2 2 3 4 2 2 2" xfId="26446" xr:uid="{A2404E99-9A56-456E-A333-12BF08EF82F9}"/>
    <cellStyle name="Normal 8 2 2 3 4 2 2 3" xfId="17147" xr:uid="{BC369191-C251-4613-9D68-B85A8BDC86C5}"/>
    <cellStyle name="Normal 8 2 2 3 4 2 3" xfId="22229" xr:uid="{F0D67A1A-0765-41EE-959D-A7DA0F535323}"/>
    <cellStyle name="Normal 8 2 2 3 4 2 4" xfId="12930" xr:uid="{80E18D91-5FC7-41FD-8AEC-2C82BFB7707F}"/>
    <cellStyle name="Normal 8 2 2 3 4 3" xfId="5676" xr:uid="{00000000-0005-0000-0000-0000611C0000}"/>
    <cellStyle name="Normal 8 2 2 3 4 3 2" xfId="24301" xr:uid="{D37B540D-5A03-47B4-B9DE-78B595978EEF}"/>
    <cellStyle name="Normal 8 2 2 3 4 3 3" xfId="15002" xr:uid="{D3F7984F-5628-472E-A1E2-420E46B4570B}"/>
    <cellStyle name="Normal 8 2 2 3 4 4" xfId="20084" xr:uid="{3A2083DA-D769-40CC-9870-711AD63F90C0}"/>
    <cellStyle name="Normal 8 2 2 3 4 5" xfId="10785" xr:uid="{451BB588-9914-47F0-8BA5-0A51CC75FE04}"/>
    <cellStyle name="Normal 8 2 2 3 5" xfId="1782" xr:uid="{00000000-0005-0000-0000-0000621C0000}"/>
    <cellStyle name="Normal 8 2 2 3 5 2" xfId="4012" xr:uid="{00000000-0005-0000-0000-0000631C0000}"/>
    <cellStyle name="Normal 8 2 2 3 5 2 2" xfId="8234" xr:uid="{00000000-0005-0000-0000-0000641C0000}"/>
    <cellStyle name="Normal 8 2 2 3 5 2 2 2" xfId="26859" xr:uid="{2F262D13-E759-4164-8578-2DB33A87949F}"/>
    <cellStyle name="Normal 8 2 2 3 5 2 2 3" xfId="17560" xr:uid="{62C77E66-FBC6-42CD-8F32-1DE10CEE66C7}"/>
    <cellStyle name="Normal 8 2 2 3 5 2 3" xfId="22642" xr:uid="{F1690031-2546-429F-9D8A-89EF01B77CD0}"/>
    <cellStyle name="Normal 8 2 2 3 5 2 4" xfId="13343" xr:uid="{148EC884-D97E-4327-A454-1949C804DE2A}"/>
    <cellStyle name="Normal 8 2 2 3 5 3" xfId="6089" xr:uid="{00000000-0005-0000-0000-0000651C0000}"/>
    <cellStyle name="Normal 8 2 2 3 5 3 2" xfId="24714" xr:uid="{A139D43E-CDD8-44D2-B54B-4BD1214D69EE}"/>
    <cellStyle name="Normal 8 2 2 3 5 3 3" xfId="15415" xr:uid="{A78BAF2A-F6A2-4D18-A3ED-450A33251B94}"/>
    <cellStyle name="Normal 8 2 2 3 5 4" xfId="20497" xr:uid="{6944C309-883E-4D7B-A8A7-6DF2CADD1293}"/>
    <cellStyle name="Normal 8 2 2 3 5 5" xfId="11198" xr:uid="{45F3F75F-5F8A-436D-B72C-8560F7665DFB}"/>
    <cellStyle name="Normal 8 2 2 3 6" xfId="2196" xr:uid="{00000000-0005-0000-0000-0000661C0000}"/>
    <cellStyle name="Normal 8 2 2 3 6 2" xfId="4425" xr:uid="{00000000-0005-0000-0000-0000671C0000}"/>
    <cellStyle name="Normal 8 2 2 3 6 2 2" xfId="8647" xr:uid="{00000000-0005-0000-0000-0000681C0000}"/>
    <cellStyle name="Normal 8 2 2 3 6 2 2 2" xfId="27272" xr:uid="{E86443E3-32F7-4E1C-9EA5-B7EBA0E0B7E2}"/>
    <cellStyle name="Normal 8 2 2 3 6 2 2 3" xfId="17973" xr:uid="{DF6637DD-7715-42E6-B4B8-9C3719AD6BD9}"/>
    <cellStyle name="Normal 8 2 2 3 6 2 3" xfId="23055" xr:uid="{8EEF6236-FF4D-423B-821F-44838C8CFF0D}"/>
    <cellStyle name="Normal 8 2 2 3 6 2 4" xfId="13756" xr:uid="{0566C96F-D2DA-401D-A333-0A37CB16C8A6}"/>
    <cellStyle name="Normal 8 2 2 3 6 3" xfId="6502" xr:uid="{00000000-0005-0000-0000-0000691C0000}"/>
    <cellStyle name="Normal 8 2 2 3 6 3 2" xfId="25127" xr:uid="{675DBB56-14B4-4312-9D0D-5ED64EF0D906}"/>
    <cellStyle name="Normal 8 2 2 3 6 3 3" xfId="15828" xr:uid="{12542A2A-3AB8-4E1F-9961-D8F73EFFFFD6}"/>
    <cellStyle name="Normal 8 2 2 3 6 4" xfId="20910" xr:uid="{325E3BAF-2FA5-4997-B7DC-89B170D2E19F}"/>
    <cellStyle name="Normal 8 2 2 3 6 5" xfId="11611" xr:uid="{1D2750F1-DF0F-4729-AD76-28FB8D9AC2D9}"/>
    <cellStyle name="Normal 8 2 2 3 7" xfId="2632" xr:uid="{00000000-0005-0000-0000-00006A1C0000}"/>
    <cellStyle name="Normal 8 2 2 3 7 2" xfId="6915" xr:uid="{00000000-0005-0000-0000-00006B1C0000}"/>
    <cellStyle name="Normal 8 2 2 3 7 2 2" xfId="25540" xr:uid="{BEA6F96E-D195-4AC0-A08A-DCDB3F637832}"/>
    <cellStyle name="Normal 8 2 2 3 7 2 3" xfId="16241" xr:uid="{E9939499-0EBF-4511-A382-2AB58CF63934}"/>
    <cellStyle name="Normal 8 2 2 3 7 3" xfId="21323" xr:uid="{C43D4F08-4D63-49D0-8E70-41598D98CD23}"/>
    <cellStyle name="Normal 8 2 2 3 7 4" xfId="12024" xr:uid="{43D2F169-F3F3-4CE5-80CB-9C029650195F}"/>
    <cellStyle name="Normal 8 2 2 3 8" xfId="4850" xr:uid="{00000000-0005-0000-0000-00006C1C0000}"/>
    <cellStyle name="Normal 8 2 2 3 8 2" xfId="23475" xr:uid="{72B44F19-3354-47D2-B47D-F5F4FEBA530D}"/>
    <cellStyle name="Normal 8 2 2 3 8 3" xfId="14176" xr:uid="{8A8E1965-1174-4B9F-98BB-B8206CE514B9}"/>
    <cellStyle name="Normal 8 2 2 3 9" xfId="8886" xr:uid="{B2A45ACA-2377-4A40-A818-E7106AD46E30}"/>
    <cellStyle name="Normal 8 2 2 3 9 2" xfId="27509" xr:uid="{ABB817CF-3857-48AB-AB36-65AC03B39EF0}"/>
    <cellStyle name="Normal 8 2 2 3 9 3" xfId="18210" xr:uid="{048D9D3D-58D9-4A0D-BB03-D7D8A1FDD981}"/>
    <cellStyle name="Normal 8 2 2 4" xfId="487" xr:uid="{00000000-0005-0000-0000-00006D1C0000}"/>
    <cellStyle name="Normal 8 2 2 4 10" xfId="9961" xr:uid="{DD86B3FB-91D8-44A8-8064-5A88ABA6F0D2}"/>
    <cellStyle name="Normal 8 2 2 4 2" xfId="954" xr:uid="{00000000-0005-0000-0000-00006E1C0000}"/>
    <cellStyle name="Normal 8 2 2 4 2 2" xfId="3188" xr:uid="{00000000-0005-0000-0000-00006F1C0000}"/>
    <cellStyle name="Normal 8 2 2 4 2 2 2" xfId="7410" xr:uid="{00000000-0005-0000-0000-0000701C0000}"/>
    <cellStyle name="Normal 8 2 2 4 2 2 2 2" xfId="26035" xr:uid="{AD05C5AB-D95B-4197-8B4B-3FD5D8FB6F78}"/>
    <cellStyle name="Normal 8 2 2 4 2 2 2 3" xfId="16736" xr:uid="{32296718-7795-4B13-BA28-79255ECBA761}"/>
    <cellStyle name="Normal 8 2 2 4 2 2 3" xfId="21818" xr:uid="{07A6AB3F-6651-4940-B5C2-385E37E76CF3}"/>
    <cellStyle name="Normal 8 2 2 4 2 2 4" xfId="12519" xr:uid="{C62E39AE-F246-4913-AC4A-E76FF4668EE2}"/>
    <cellStyle name="Normal 8 2 2 4 2 3" xfId="5265" xr:uid="{00000000-0005-0000-0000-0000711C0000}"/>
    <cellStyle name="Normal 8 2 2 4 2 3 2" xfId="23890" xr:uid="{B15C9033-21FA-4CCD-830F-C93C12A3E9A9}"/>
    <cellStyle name="Normal 8 2 2 4 2 3 3" xfId="14591" xr:uid="{B31486FF-1457-483E-8862-C7C649D78845}"/>
    <cellStyle name="Normal 8 2 2 4 2 4" xfId="9415" xr:uid="{88D7FF95-DEA9-4369-BE01-487FC7B2B7E8}"/>
    <cellStyle name="Normal 8 2 2 4 2 4 2" xfId="28029" xr:uid="{0288C21B-56D3-43B7-AA7F-0030CF99E163}"/>
    <cellStyle name="Normal 8 2 2 4 2 4 3" xfId="18730" xr:uid="{0F0CD919-B004-42C2-B22C-C85359949C29}"/>
    <cellStyle name="Normal 8 2 2 4 2 5" xfId="19673" xr:uid="{8C047637-0834-497C-A4D9-A0C05B535BB2}"/>
    <cellStyle name="Normal 8 2 2 4 2 6" xfId="10374" xr:uid="{020C0E85-7B62-43CA-8542-054952394542}"/>
    <cellStyle name="Normal 8 2 2 4 3" xfId="1371" xr:uid="{00000000-0005-0000-0000-0000721C0000}"/>
    <cellStyle name="Normal 8 2 2 4 3 2" xfId="3601" xr:uid="{00000000-0005-0000-0000-0000731C0000}"/>
    <cellStyle name="Normal 8 2 2 4 3 2 2" xfId="7823" xr:uid="{00000000-0005-0000-0000-0000741C0000}"/>
    <cellStyle name="Normal 8 2 2 4 3 2 2 2" xfId="26448" xr:uid="{7D55BDA4-AC71-439A-AB13-BDC830F1B933}"/>
    <cellStyle name="Normal 8 2 2 4 3 2 2 3" xfId="17149" xr:uid="{B30B81C2-4078-4D42-BAAE-094857855424}"/>
    <cellStyle name="Normal 8 2 2 4 3 2 3" xfId="22231" xr:uid="{A644669D-3E9E-4A02-B2FB-5CCA73D5D95B}"/>
    <cellStyle name="Normal 8 2 2 4 3 2 4" xfId="12932" xr:uid="{423BF95F-6143-400B-8F3B-8328B3185744}"/>
    <cellStyle name="Normal 8 2 2 4 3 3" xfId="5678" xr:uid="{00000000-0005-0000-0000-0000751C0000}"/>
    <cellStyle name="Normal 8 2 2 4 3 3 2" xfId="24303" xr:uid="{10D23ADE-01D2-4475-A07E-0D4048BEC1CC}"/>
    <cellStyle name="Normal 8 2 2 4 3 3 3" xfId="15004" xr:uid="{9D1EED09-1E43-4A90-BF67-27473166DD85}"/>
    <cellStyle name="Normal 8 2 2 4 3 4" xfId="20086" xr:uid="{56348456-03A1-4A19-970E-1A32626A72DB}"/>
    <cellStyle name="Normal 8 2 2 4 3 5" xfId="10787" xr:uid="{1225B80F-847A-44A4-AEAF-80E046C29BD2}"/>
    <cellStyle name="Normal 8 2 2 4 4" xfId="1784" xr:uid="{00000000-0005-0000-0000-0000761C0000}"/>
    <cellStyle name="Normal 8 2 2 4 4 2" xfId="4014" xr:uid="{00000000-0005-0000-0000-0000771C0000}"/>
    <cellStyle name="Normal 8 2 2 4 4 2 2" xfId="8236" xr:uid="{00000000-0005-0000-0000-0000781C0000}"/>
    <cellStyle name="Normal 8 2 2 4 4 2 2 2" xfId="26861" xr:uid="{1E714530-FF6C-4043-984C-84C393F0433F}"/>
    <cellStyle name="Normal 8 2 2 4 4 2 2 3" xfId="17562" xr:uid="{100F9D1E-A865-46BD-A095-8A2DC8673ED5}"/>
    <cellStyle name="Normal 8 2 2 4 4 2 3" xfId="22644" xr:uid="{929F7B57-1B1C-4D17-BE4B-63842036DA27}"/>
    <cellStyle name="Normal 8 2 2 4 4 2 4" xfId="13345" xr:uid="{E460B0EC-68C9-4E94-87CB-D736BF6368B1}"/>
    <cellStyle name="Normal 8 2 2 4 4 3" xfId="6091" xr:uid="{00000000-0005-0000-0000-0000791C0000}"/>
    <cellStyle name="Normal 8 2 2 4 4 3 2" xfId="24716" xr:uid="{0745D661-013F-4683-9C73-ADA07370BD52}"/>
    <cellStyle name="Normal 8 2 2 4 4 3 3" xfId="15417" xr:uid="{6A7849CE-98A0-489D-B5CF-CAC3B201D409}"/>
    <cellStyle name="Normal 8 2 2 4 4 4" xfId="20499" xr:uid="{5BD50CF3-576D-43BA-9BEA-7EEF46A1F538}"/>
    <cellStyle name="Normal 8 2 2 4 4 5" xfId="11200" xr:uid="{FCE7FB8D-CE14-46F6-AFF1-18ACDDE82F11}"/>
    <cellStyle name="Normal 8 2 2 4 5" xfId="2198" xr:uid="{00000000-0005-0000-0000-00007A1C0000}"/>
    <cellStyle name="Normal 8 2 2 4 5 2" xfId="4427" xr:uid="{00000000-0005-0000-0000-00007B1C0000}"/>
    <cellStyle name="Normal 8 2 2 4 5 2 2" xfId="8649" xr:uid="{00000000-0005-0000-0000-00007C1C0000}"/>
    <cellStyle name="Normal 8 2 2 4 5 2 2 2" xfId="27274" xr:uid="{34F5A8F8-2296-4351-B029-3652ED892C28}"/>
    <cellStyle name="Normal 8 2 2 4 5 2 2 3" xfId="17975" xr:uid="{AEE5A325-10DE-4003-8784-4AA6727C29F8}"/>
    <cellStyle name="Normal 8 2 2 4 5 2 3" xfId="23057" xr:uid="{10F1D3B2-DEB8-449E-84B2-8743B75ACC16}"/>
    <cellStyle name="Normal 8 2 2 4 5 2 4" xfId="13758" xr:uid="{3B1BED26-28BB-4274-82DC-E78F932BCAC7}"/>
    <cellStyle name="Normal 8 2 2 4 5 3" xfId="6504" xr:uid="{00000000-0005-0000-0000-00007D1C0000}"/>
    <cellStyle name="Normal 8 2 2 4 5 3 2" xfId="25129" xr:uid="{AE8D0A2F-2981-4B28-9FF8-A754C68D9BFE}"/>
    <cellStyle name="Normal 8 2 2 4 5 3 3" xfId="15830" xr:uid="{103876D5-6396-44A5-9F2D-E463D020D6B8}"/>
    <cellStyle name="Normal 8 2 2 4 5 4" xfId="20912" xr:uid="{FE28B363-7FD2-44C5-A33B-3FB423270B7B}"/>
    <cellStyle name="Normal 8 2 2 4 5 5" xfId="11613" xr:uid="{258E125F-9130-4352-87C3-94BFD2CFDBB1}"/>
    <cellStyle name="Normal 8 2 2 4 6" xfId="2634" xr:uid="{00000000-0005-0000-0000-00007E1C0000}"/>
    <cellStyle name="Normal 8 2 2 4 6 2" xfId="6917" xr:uid="{00000000-0005-0000-0000-00007F1C0000}"/>
    <cellStyle name="Normal 8 2 2 4 6 2 2" xfId="25542" xr:uid="{54B1697C-7BA7-4E3E-AA10-735AF9F9E081}"/>
    <cellStyle name="Normal 8 2 2 4 6 2 3" xfId="16243" xr:uid="{59C23D57-FC45-43F9-A9F8-B8619A91C66B}"/>
    <cellStyle name="Normal 8 2 2 4 6 3" xfId="21325" xr:uid="{8B0D1BA5-6ACF-42C6-9A06-43716EF0EB45}"/>
    <cellStyle name="Normal 8 2 2 4 6 4" xfId="12026" xr:uid="{03A64856-BDCA-40B4-BB1A-2A946DCD7C89}"/>
    <cellStyle name="Normal 8 2 2 4 7" xfId="4852" xr:uid="{00000000-0005-0000-0000-0000801C0000}"/>
    <cellStyle name="Normal 8 2 2 4 7 2" xfId="23477" xr:uid="{9658EE19-4AEA-4687-806C-6A0CC3CD2F12}"/>
    <cellStyle name="Normal 8 2 2 4 7 3" xfId="14178" xr:uid="{23B9EF1F-CD48-43D6-851D-26AFF5147717}"/>
    <cellStyle name="Normal 8 2 2 4 8" xfId="8990" xr:uid="{F08D85C9-EB04-4227-BEA0-1B51DDB63DFA}"/>
    <cellStyle name="Normal 8 2 2 4 8 2" xfId="27613" xr:uid="{33968811-A91E-445B-95B9-97DED6C28B9B}"/>
    <cellStyle name="Normal 8 2 2 4 8 3" xfId="18314" xr:uid="{8B42ACAA-EE7A-45E4-BE82-39731AAA982F}"/>
    <cellStyle name="Normal 8 2 2 4 9" xfId="19260" xr:uid="{9331B239-CC7A-4035-A089-189C5F4BA328}"/>
    <cellStyle name="Normal 8 2 2 5" xfId="947" xr:uid="{00000000-0005-0000-0000-0000811C0000}"/>
    <cellStyle name="Normal 8 2 2 5 2" xfId="3181" xr:uid="{00000000-0005-0000-0000-0000821C0000}"/>
    <cellStyle name="Normal 8 2 2 5 2 2" xfId="7403" xr:uid="{00000000-0005-0000-0000-0000831C0000}"/>
    <cellStyle name="Normal 8 2 2 5 2 2 2" xfId="26028" xr:uid="{897B82DF-4B4B-4423-A8D0-F23ED126A813}"/>
    <cellStyle name="Normal 8 2 2 5 2 2 3" xfId="16729" xr:uid="{BD166028-5F37-4A8A-9949-79E6ECDA09E5}"/>
    <cellStyle name="Normal 8 2 2 5 2 3" xfId="21811" xr:uid="{1FBE35F6-91E0-42C2-9824-FD6C6A92162E}"/>
    <cellStyle name="Normal 8 2 2 5 2 4" xfId="12512" xr:uid="{4F198141-2D0A-4F45-85D0-95FB5DFCC609}"/>
    <cellStyle name="Normal 8 2 2 5 3" xfId="5258" xr:uid="{00000000-0005-0000-0000-0000841C0000}"/>
    <cellStyle name="Normal 8 2 2 5 3 2" xfId="23883" xr:uid="{AB9F205A-F003-4102-8133-62E18432CB73}"/>
    <cellStyle name="Normal 8 2 2 5 3 3" xfId="14584" xr:uid="{AC8CBDF3-D6D1-45EC-887F-4668652A2977}"/>
    <cellStyle name="Normal 8 2 2 5 4" xfId="9207" xr:uid="{D4CDC4D2-5794-400F-B850-1B259D26C1FE}"/>
    <cellStyle name="Normal 8 2 2 5 4 2" xfId="27822" xr:uid="{F83D374F-26A9-433B-BC76-D677D079A04E}"/>
    <cellStyle name="Normal 8 2 2 5 4 3" xfId="18523" xr:uid="{3186D8CF-CB19-4BDC-BC54-B23BB2F259C9}"/>
    <cellStyle name="Normal 8 2 2 5 5" xfId="19666" xr:uid="{B0D55995-BE65-475F-A115-BED1A335F2D8}"/>
    <cellStyle name="Normal 8 2 2 5 6" xfId="10367" xr:uid="{7638C366-D794-4AB9-96A9-AD8F7E3DE198}"/>
    <cellStyle name="Normal 8 2 2 6" xfId="1364" xr:uid="{00000000-0005-0000-0000-0000851C0000}"/>
    <cellStyle name="Normal 8 2 2 6 2" xfId="3594" xr:uid="{00000000-0005-0000-0000-0000861C0000}"/>
    <cellStyle name="Normal 8 2 2 6 2 2" xfId="7816" xr:uid="{00000000-0005-0000-0000-0000871C0000}"/>
    <cellStyle name="Normal 8 2 2 6 2 2 2" xfId="26441" xr:uid="{87706339-1F19-4064-A074-8C29BCD9341E}"/>
    <cellStyle name="Normal 8 2 2 6 2 2 3" xfId="17142" xr:uid="{36614D18-B092-4D3E-A06A-077E519597ED}"/>
    <cellStyle name="Normal 8 2 2 6 2 3" xfId="22224" xr:uid="{21D294AD-6F47-4DD0-BB18-1E23A9BA6B54}"/>
    <cellStyle name="Normal 8 2 2 6 2 4" xfId="12925" xr:uid="{364AC115-F9CA-403F-A96C-A36BE63E7675}"/>
    <cellStyle name="Normal 8 2 2 6 3" xfId="5671" xr:uid="{00000000-0005-0000-0000-0000881C0000}"/>
    <cellStyle name="Normal 8 2 2 6 3 2" xfId="24296" xr:uid="{B1012C20-06DE-4FDC-A99F-B39AD087903C}"/>
    <cellStyle name="Normal 8 2 2 6 3 3" xfId="14997" xr:uid="{6891DBB3-17BE-424F-9B61-EB654EEA230D}"/>
    <cellStyle name="Normal 8 2 2 6 4" xfId="20079" xr:uid="{892E3AA1-DE40-4B32-8F96-424337A11FD9}"/>
    <cellStyle name="Normal 8 2 2 6 5" xfId="10780" xr:uid="{1F69F6BF-86E6-46C7-951E-63D25E7B2454}"/>
    <cellStyle name="Normal 8 2 2 7" xfId="1777" xr:uid="{00000000-0005-0000-0000-0000891C0000}"/>
    <cellStyle name="Normal 8 2 2 7 2" xfId="4007" xr:uid="{00000000-0005-0000-0000-00008A1C0000}"/>
    <cellStyle name="Normal 8 2 2 7 2 2" xfId="8229" xr:uid="{00000000-0005-0000-0000-00008B1C0000}"/>
    <cellStyle name="Normal 8 2 2 7 2 2 2" xfId="26854" xr:uid="{6CE6676B-CF08-42DA-AB5A-A7A8BEC3E08E}"/>
    <cellStyle name="Normal 8 2 2 7 2 2 3" xfId="17555" xr:uid="{E4E85970-BD52-483B-B817-E0F0185E374C}"/>
    <cellStyle name="Normal 8 2 2 7 2 3" xfId="22637" xr:uid="{534CBBDE-8EA0-441C-96C6-125DFDBA1AE1}"/>
    <cellStyle name="Normal 8 2 2 7 2 4" xfId="13338" xr:uid="{E8275C6B-107E-4D6C-A625-80D21EF49834}"/>
    <cellStyle name="Normal 8 2 2 7 3" xfId="6084" xr:uid="{00000000-0005-0000-0000-00008C1C0000}"/>
    <cellStyle name="Normal 8 2 2 7 3 2" xfId="24709" xr:uid="{08B30DC5-008C-4EE3-8FA4-7DB62B9F4AAB}"/>
    <cellStyle name="Normal 8 2 2 7 3 3" xfId="15410" xr:uid="{C532CC8C-E5E5-4109-BF20-AC9875CBB3ED}"/>
    <cellStyle name="Normal 8 2 2 7 4" xfId="20492" xr:uid="{80D71513-163B-4297-BF9F-D38927FAEC30}"/>
    <cellStyle name="Normal 8 2 2 7 5" xfId="11193" xr:uid="{CC9E1EDE-DA6F-4A19-985A-AD5910F50201}"/>
    <cellStyle name="Normal 8 2 2 8" xfId="2191" xr:uid="{00000000-0005-0000-0000-00008D1C0000}"/>
    <cellStyle name="Normal 8 2 2 8 2" xfId="4420" xr:uid="{00000000-0005-0000-0000-00008E1C0000}"/>
    <cellStyle name="Normal 8 2 2 8 2 2" xfId="8642" xr:uid="{00000000-0005-0000-0000-00008F1C0000}"/>
    <cellStyle name="Normal 8 2 2 8 2 2 2" xfId="27267" xr:uid="{6F5937D6-2BA6-40CF-A6C5-259E48ACF398}"/>
    <cellStyle name="Normal 8 2 2 8 2 2 3" xfId="17968" xr:uid="{211FC66D-B0D8-4822-801C-3ECB2A6AE295}"/>
    <cellStyle name="Normal 8 2 2 8 2 3" xfId="23050" xr:uid="{6D6317C8-8783-419E-A79F-147548AFCEAB}"/>
    <cellStyle name="Normal 8 2 2 8 2 4" xfId="13751" xr:uid="{A19ADC4E-72CA-47F3-AA35-BC8141072FAA}"/>
    <cellStyle name="Normal 8 2 2 8 3" xfId="6497" xr:uid="{00000000-0005-0000-0000-0000901C0000}"/>
    <cellStyle name="Normal 8 2 2 8 3 2" xfId="25122" xr:uid="{CAD9E02A-57A9-497B-B36A-EC3531AF3FD2}"/>
    <cellStyle name="Normal 8 2 2 8 3 3" xfId="15823" xr:uid="{99E7616B-B04C-4A06-96E3-F1359C0185F3}"/>
    <cellStyle name="Normal 8 2 2 8 4" xfId="20905" xr:uid="{E19AC350-0EDD-4033-AF1C-45EA9DA6ABCC}"/>
    <cellStyle name="Normal 8 2 2 8 5" xfId="11606" xr:uid="{E31429CD-E125-417C-96BD-B571D9A446CA}"/>
    <cellStyle name="Normal 8 2 2 9" xfId="2627" xr:uid="{00000000-0005-0000-0000-0000911C0000}"/>
    <cellStyle name="Normal 8 2 2 9 2" xfId="6910" xr:uid="{00000000-0005-0000-0000-0000921C0000}"/>
    <cellStyle name="Normal 8 2 2 9 2 2" xfId="25535" xr:uid="{32D088FE-C592-4775-864E-5AEF29C6C7A3}"/>
    <cellStyle name="Normal 8 2 2 9 2 3" xfId="16236" xr:uid="{0A6AAE78-11E2-47EF-A91F-D19A6A429FC0}"/>
    <cellStyle name="Normal 8 2 2 9 3" xfId="21318" xr:uid="{118B7304-5310-4430-909B-4B49793D3552}"/>
    <cellStyle name="Normal 8 2 2 9 4" xfId="12019" xr:uid="{6452BBE1-D167-443B-B8FC-41F7A3937212}"/>
    <cellStyle name="Normal 8 2 3" xfId="488" xr:uid="{00000000-0005-0000-0000-0000931C0000}"/>
    <cellStyle name="Normal 8 2 3 10" xfId="8835" xr:uid="{2F0FB8B3-D08B-41EB-93AB-2D83A1BD6036}"/>
    <cellStyle name="Normal 8 2 3 10 2" xfId="27458" xr:uid="{B108F101-8496-41E1-B939-CE55C928BB69}"/>
    <cellStyle name="Normal 8 2 3 10 3" xfId="18159" xr:uid="{4451F454-0E76-49BF-9F2A-44899CBCB98C}"/>
    <cellStyle name="Normal 8 2 3 11" xfId="19261" xr:uid="{394D48CD-448F-4948-BE7D-D9AD1C4C3EF3}"/>
    <cellStyle name="Normal 8 2 3 12" xfId="9962" xr:uid="{9BE8934E-D014-485F-BAA9-188E83C1520A}"/>
    <cellStyle name="Normal 8 2 3 2" xfId="489" xr:uid="{00000000-0005-0000-0000-0000941C0000}"/>
    <cellStyle name="Normal 8 2 3 2 10" xfId="19262" xr:uid="{34D3A5CF-4F69-47BE-9CE5-20F61D0F0C43}"/>
    <cellStyle name="Normal 8 2 3 2 11" xfId="9963" xr:uid="{05FB7BA8-5FEA-406C-8B30-2F665173C689}"/>
    <cellStyle name="Normal 8 2 3 2 2" xfId="490" xr:uid="{00000000-0005-0000-0000-0000951C0000}"/>
    <cellStyle name="Normal 8 2 3 2 2 10" xfId="9964" xr:uid="{8712D8DD-C89A-4AC4-99DD-B24C6510561A}"/>
    <cellStyle name="Normal 8 2 3 2 2 2" xfId="957" xr:uid="{00000000-0005-0000-0000-0000961C0000}"/>
    <cellStyle name="Normal 8 2 3 2 2 2 2" xfId="3191" xr:uid="{00000000-0005-0000-0000-0000971C0000}"/>
    <cellStyle name="Normal 8 2 3 2 2 2 2 2" xfId="7413" xr:uid="{00000000-0005-0000-0000-0000981C0000}"/>
    <cellStyle name="Normal 8 2 3 2 2 2 2 2 2" xfId="26038" xr:uid="{48D8CCB7-0928-4B12-95FD-86B5493569E8}"/>
    <cellStyle name="Normal 8 2 3 2 2 2 2 2 3" xfId="16739" xr:uid="{BDE9BEA8-E2CA-4043-8EE7-A53FA5E41110}"/>
    <cellStyle name="Normal 8 2 3 2 2 2 2 3" xfId="21821" xr:uid="{60C619EE-7F5A-4B60-B425-F3691EB5ED5F}"/>
    <cellStyle name="Normal 8 2 3 2 2 2 2 4" xfId="12522" xr:uid="{E79993EF-881C-4CFE-9807-E66F1BF05F14}"/>
    <cellStyle name="Normal 8 2 3 2 2 2 3" xfId="5268" xr:uid="{00000000-0005-0000-0000-0000991C0000}"/>
    <cellStyle name="Normal 8 2 3 2 2 2 3 2" xfId="23893" xr:uid="{DFF56ABC-A5C7-42BC-AB17-ABF2AB8B384C}"/>
    <cellStyle name="Normal 8 2 3 2 2 2 3 3" xfId="14594" xr:uid="{009B664D-2A28-452B-9348-9C196C6DFC91}"/>
    <cellStyle name="Normal 8 2 3 2 2 2 4" xfId="9570" xr:uid="{BA9732E0-D9E4-47DB-882D-D871A821FA55}"/>
    <cellStyle name="Normal 8 2 3 2 2 2 4 2" xfId="28184" xr:uid="{9554D9BC-8C04-4A1A-BCAD-B2950CC27874}"/>
    <cellStyle name="Normal 8 2 3 2 2 2 4 3" xfId="18885" xr:uid="{E43AF7B2-67A0-4E0C-9FD8-752217AD408A}"/>
    <cellStyle name="Normal 8 2 3 2 2 2 5" xfId="19676" xr:uid="{CFF55483-EBEE-40B4-9920-DCD57A381906}"/>
    <cellStyle name="Normal 8 2 3 2 2 2 6" xfId="10377" xr:uid="{0FD79412-A976-4B03-AD6E-2ED0272344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2 2 2" xfId="26451" xr:uid="{6F5F037A-8605-4CA4-A3B9-80AD0D12A7F4}"/>
    <cellStyle name="Normal 8 2 3 2 2 3 2 2 3" xfId="17152" xr:uid="{ADFF6DA7-4134-489E-A862-EEBF706EB67E}"/>
    <cellStyle name="Normal 8 2 3 2 2 3 2 3" xfId="22234" xr:uid="{CCEDBD8B-75D2-4355-B666-4EEE1F02C8F6}"/>
    <cellStyle name="Normal 8 2 3 2 2 3 2 4" xfId="12935" xr:uid="{3A94CC0E-C120-4EF2-AC5E-5B0584EAF351}"/>
    <cellStyle name="Normal 8 2 3 2 2 3 3" xfId="5681" xr:uid="{00000000-0005-0000-0000-00009D1C0000}"/>
    <cellStyle name="Normal 8 2 3 2 2 3 3 2" xfId="24306" xr:uid="{28E55BD0-D70B-446E-ABD3-D94197AC3137}"/>
    <cellStyle name="Normal 8 2 3 2 2 3 3 3" xfId="15007" xr:uid="{D31A739C-B2FB-44B4-BD3E-691103117A55}"/>
    <cellStyle name="Normal 8 2 3 2 2 3 4" xfId="20089" xr:uid="{D6FD7DAE-81FF-4589-A9E5-50299AC4EF4E}"/>
    <cellStyle name="Normal 8 2 3 2 2 3 5" xfId="10790" xr:uid="{E2A190BD-7781-452E-BA2F-99DCE6F90E63}"/>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2 2 2" xfId="26864" xr:uid="{7BD88DE3-EACF-4239-9D05-3B6AF72E3629}"/>
    <cellStyle name="Normal 8 2 3 2 2 4 2 2 3" xfId="17565" xr:uid="{3E55CA01-4B2C-4DA0-8ED2-FB66A0618A47}"/>
    <cellStyle name="Normal 8 2 3 2 2 4 2 3" xfId="22647" xr:uid="{489002DB-C393-46C8-BA79-E3B087B1E4E2}"/>
    <cellStyle name="Normal 8 2 3 2 2 4 2 4" xfId="13348" xr:uid="{9D2F13CE-B7F4-427C-ACF7-977EA5E5350F}"/>
    <cellStyle name="Normal 8 2 3 2 2 4 3" xfId="6094" xr:uid="{00000000-0005-0000-0000-0000A11C0000}"/>
    <cellStyle name="Normal 8 2 3 2 2 4 3 2" xfId="24719" xr:uid="{C5996AF1-2923-4B16-9F9A-F5B72668D60E}"/>
    <cellStyle name="Normal 8 2 3 2 2 4 3 3" xfId="15420" xr:uid="{D4D41644-423E-4199-B026-82D6073D90A8}"/>
    <cellStyle name="Normal 8 2 3 2 2 4 4" xfId="20502" xr:uid="{CA124C74-7FC2-44F2-86E1-061AB112F2BA}"/>
    <cellStyle name="Normal 8 2 3 2 2 4 5" xfId="11203" xr:uid="{88C75639-40FC-4E67-86CD-BBFBADA710C2}"/>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2 2 2" xfId="27277" xr:uid="{DC0FFA66-54B8-483B-A003-DCADF59391C0}"/>
    <cellStyle name="Normal 8 2 3 2 2 5 2 2 3" xfId="17978" xr:uid="{62DE2FCC-B6CC-4670-852A-BC9E1F24B83C}"/>
    <cellStyle name="Normal 8 2 3 2 2 5 2 3" xfId="23060" xr:uid="{87C2021C-7A79-414B-ABB6-952C5D4047DE}"/>
    <cellStyle name="Normal 8 2 3 2 2 5 2 4" xfId="13761" xr:uid="{6EC8779E-95D0-41CA-9433-C43FD6780DF4}"/>
    <cellStyle name="Normal 8 2 3 2 2 5 3" xfId="6507" xr:uid="{00000000-0005-0000-0000-0000A51C0000}"/>
    <cellStyle name="Normal 8 2 3 2 2 5 3 2" xfId="25132" xr:uid="{0550D12A-131C-4FA9-BEEF-30DB488F09E8}"/>
    <cellStyle name="Normal 8 2 3 2 2 5 3 3" xfId="15833" xr:uid="{FE6A84F9-E68C-4B91-977D-72BE0239A2B8}"/>
    <cellStyle name="Normal 8 2 3 2 2 5 4" xfId="20915" xr:uid="{5755A602-31AE-497D-9769-05232D8AFCC6}"/>
    <cellStyle name="Normal 8 2 3 2 2 5 5" xfId="11616" xr:uid="{3E81052B-8663-4683-B7EE-582692B9D9DA}"/>
    <cellStyle name="Normal 8 2 3 2 2 6" xfId="2637" xr:uid="{00000000-0005-0000-0000-0000A61C0000}"/>
    <cellStyle name="Normal 8 2 3 2 2 6 2" xfId="6920" xr:uid="{00000000-0005-0000-0000-0000A71C0000}"/>
    <cellStyle name="Normal 8 2 3 2 2 6 2 2" xfId="25545" xr:uid="{2B928F64-8D1F-495D-BD38-EAA20ABAA049}"/>
    <cellStyle name="Normal 8 2 3 2 2 6 2 3" xfId="16246" xr:uid="{B848F3C2-AAE2-4481-80AA-2F428F1B8DBB}"/>
    <cellStyle name="Normal 8 2 3 2 2 6 3" xfId="21328" xr:uid="{A71944F8-0F67-441E-AE82-CBCBAFA6CA38}"/>
    <cellStyle name="Normal 8 2 3 2 2 6 4" xfId="12029" xr:uid="{B45F4E78-8A89-4AC5-9CB3-C4E3298AF5DB}"/>
    <cellStyle name="Normal 8 2 3 2 2 7" xfId="4855" xr:uid="{00000000-0005-0000-0000-0000A81C0000}"/>
    <cellStyle name="Normal 8 2 3 2 2 7 2" xfId="23480" xr:uid="{0B3C06D7-B851-47EA-8EB3-E39B35EA4730}"/>
    <cellStyle name="Normal 8 2 3 2 2 7 3" xfId="14181" xr:uid="{501CEBEB-C305-4C31-BB6B-B64FBCA53341}"/>
    <cellStyle name="Normal 8 2 3 2 2 8" xfId="9145" xr:uid="{C71E6005-187D-4837-92B4-619AF06B3A3B}"/>
    <cellStyle name="Normal 8 2 3 2 2 8 2" xfId="27768" xr:uid="{532FB809-3C30-4715-BF0A-62280BC1F463}"/>
    <cellStyle name="Normal 8 2 3 2 2 8 3" xfId="18469" xr:uid="{1A53BC49-3779-48B7-8938-6DCF356939A5}"/>
    <cellStyle name="Normal 8 2 3 2 2 9" xfId="19263" xr:uid="{DB836D01-6E10-4F97-AFB2-B9743D5E84AC}"/>
    <cellStyle name="Normal 8 2 3 2 3" xfId="956" xr:uid="{00000000-0005-0000-0000-0000A91C0000}"/>
    <cellStyle name="Normal 8 2 3 2 3 2" xfId="3190" xr:uid="{00000000-0005-0000-0000-0000AA1C0000}"/>
    <cellStyle name="Normal 8 2 3 2 3 2 2" xfId="7412" xr:uid="{00000000-0005-0000-0000-0000AB1C0000}"/>
    <cellStyle name="Normal 8 2 3 2 3 2 2 2" xfId="26037" xr:uid="{10DBFB79-680B-43E3-AA9C-133BB0E73A5C}"/>
    <cellStyle name="Normal 8 2 3 2 3 2 2 3" xfId="16738" xr:uid="{857A64C0-CDD6-4146-B7D5-6AF2577EB055}"/>
    <cellStyle name="Normal 8 2 3 2 3 2 3" xfId="21820" xr:uid="{8E7DA55D-4340-4ECC-B311-F19DB3269E90}"/>
    <cellStyle name="Normal 8 2 3 2 3 2 4" xfId="12521" xr:uid="{C1281494-9381-481D-9BC9-21437463378D}"/>
    <cellStyle name="Normal 8 2 3 2 3 3" xfId="5267" xr:uid="{00000000-0005-0000-0000-0000AC1C0000}"/>
    <cellStyle name="Normal 8 2 3 2 3 3 2" xfId="23892" xr:uid="{9EEF57E1-572D-401D-9C78-E59FDD4AB7BD}"/>
    <cellStyle name="Normal 8 2 3 2 3 3 3" xfId="14593" xr:uid="{9881008C-AC0D-465B-A1CB-A641BB9C5392}"/>
    <cellStyle name="Normal 8 2 3 2 3 4" xfId="9363" xr:uid="{C94C6C98-A8BC-4AC9-B084-0D2219E89AA8}"/>
    <cellStyle name="Normal 8 2 3 2 3 4 2" xfId="27977" xr:uid="{43F81D27-C1AF-4E0C-919E-24C601758199}"/>
    <cellStyle name="Normal 8 2 3 2 3 4 3" xfId="18678" xr:uid="{144CDA39-A7DA-40E5-BA4D-9DDBF04CFE04}"/>
    <cellStyle name="Normal 8 2 3 2 3 5" xfId="19675" xr:uid="{F7DBA369-D2C4-4E01-80B0-208A3B524466}"/>
    <cellStyle name="Normal 8 2 3 2 3 6" xfId="10376" xr:uid="{526E944F-1FEB-4A55-A010-455CCE69BEA8}"/>
    <cellStyle name="Normal 8 2 3 2 4" xfId="1373" xr:uid="{00000000-0005-0000-0000-0000AD1C0000}"/>
    <cellStyle name="Normal 8 2 3 2 4 2" xfId="3603" xr:uid="{00000000-0005-0000-0000-0000AE1C0000}"/>
    <cellStyle name="Normal 8 2 3 2 4 2 2" xfId="7825" xr:uid="{00000000-0005-0000-0000-0000AF1C0000}"/>
    <cellStyle name="Normal 8 2 3 2 4 2 2 2" xfId="26450" xr:uid="{F02CB932-7A91-4631-A83C-A41F30388470}"/>
    <cellStyle name="Normal 8 2 3 2 4 2 2 3" xfId="17151" xr:uid="{E0D0A276-22D1-46D4-A711-3F78A77A5D21}"/>
    <cellStyle name="Normal 8 2 3 2 4 2 3" xfId="22233" xr:uid="{B407D6BD-C209-4CAA-820B-758E81ABD02E}"/>
    <cellStyle name="Normal 8 2 3 2 4 2 4" xfId="12934" xr:uid="{046F9CE4-7F2C-4126-9907-AA1139018711}"/>
    <cellStyle name="Normal 8 2 3 2 4 3" xfId="5680" xr:uid="{00000000-0005-0000-0000-0000B01C0000}"/>
    <cellStyle name="Normal 8 2 3 2 4 3 2" xfId="24305" xr:uid="{01218D33-0A52-4226-854B-B7B10ED56ACA}"/>
    <cellStyle name="Normal 8 2 3 2 4 3 3" xfId="15006" xr:uid="{C3D8D5B0-7956-4F23-AA52-71270F860ED9}"/>
    <cellStyle name="Normal 8 2 3 2 4 4" xfId="20088" xr:uid="{3D8A0B37-5CE5-4A68-A43E-123083AF1A07}"/>
    <cellStyle name="Normal 8 2 3 2 4 5" xfId="10789" xr:uid="{AAECD2D3-AE5E-410F-AEDD-03AEBE4132FE}"/>
    <cellStyle name="Normal 8 2 3 2 5" xfId="1786" xr:uid="{00000000-0005-0000-0000-0000B11C0000}"/>
    <cellStyle name="Normal 8 2 3 2 5 2" xfId="4016" xr:uid="{00000000-0005-0000-0000-0000B21C0000}"/>
    <cellStyle name="Normal 8 2 3 2 5 2 2" xfId="8238" xr:uid="{00000000-0005-0000-0000-0000B31C0000}"/>
    <cellStyle name="Normal 8 2 3 2 5 2 2 2" xfId="26863" xr:uid="{4F911B0F-C745-4BCA-B61B-D6509A351013}"/>
    <cellStyle name="Normal 8 2 3 2 5 2 2 3" xfId="17564" xr:uid="{AC92A5D2-1B00-40D4-BCE5-EF134442466A}"/>
    <cellStyle name="Normal 8 2 3 2 5 2 3" xfId="22646" xr:uid="{D0F37A47-BF4E-4E89-8FFF-2AAB8DA39D02}"/>
    <cellStyle name="Normal 8 2 3 2 5 2 4" xfId="13347" xr:uid="{00E29F13-56C5-4EE8-A864-D11D77719813}"/>
    <cellStyle name="Normal 8 2 3 2 5 3" xfId="6093" xr:uid="{00000000-0005-0000-0000-0000B41C0000}"/>
    <cellStyle name="Normal 8 2 3 2 5 3 2" xfId="24718" xr:uid="{68717D1F-85EA-4A0B-BFD8-81FBA36777FF}"/>
    <cellStyle name="Normal 8 2 3 2 5 3 3" xfId="15419" xr:uid="{35C89414-90ED-4CDF-BAA6-214351E1E1A3}"/>
    <cellStyle name="Normal 8 2 3 2 5 4" xfId="20501" xr:uid="{18FE5404-CA83-4DF9-B91D-3A19DB5AC46C}"/>
    <cellStyle name="Normal 8 2 3 2 5 5" xfId="11202" xr:uid="{3199C289-42C3-4B91-8557-184A0EFFF173}"/>
    <cellStyle name="Normal 8 2 3 2 6" xfId="2200" xr:uid="{00000000-0005-0000-0000-0000B51C0000}"/>
    <cellStyle name="Normal 8 2 3 2 6 2" xfId="4429" xr:uid="{00000000-0005-0000-0000-0000B61C0000}"/>
    <cellStyle name="Normal 8 2 3 2 6 2 2" xfId="8651" xr:uid="{00000000-0005-0000-0000-0000B71C0000}"/>
    <cellStyle name="Normal 8 2 3 2 6 2 2 2" xfId="27276" xr:uid="{48980DE1-863C-421F-AF02-605E1B8204EC}"/>
    <cellStyle name="Normal 8 2 3 2 6 2 2 3" xfId="17977" xr:uid="{98AFA012-BB25-49F6-AB97-8899D995CADB}"/>
    <cellStyle name="Normal 8 2 3 2 6 2 3" xfId="23059" xr:uid="{2B83CD70-0DCE-4551-A451-2F3574168BA6}"/>
    <cellStyle name="Normal 8 2 3 2 6 2 4" xfId="13760" xr:uid="{0FE26099-C1FE-4419-B8C2-56A1FD71C273}"/>
    <cellStyle name="Normal 8 2 3 2 6 3" xfId="6506" xr:uid="{00000000-0005-0000-0000-0000B81C0000}"/>
    <cellStyle name="Normal 8 2 3 2 6 3 2" xfId="25131" xr:uid="{ACDE3F74-761D-4797-8BF8-CEBE1D2EB83E}"/>
    <cellStyle name="Normal 8 2 3 2 6 3 3" xfId="15832" xr:uid="{7F1010E4-1899-4E60-A659-30A23F694AFE}"/>
    <cellStyle name="Normal 8 2 3 2 6 4" xfId="20914" xr:uid="{D6CEEB0C-A520-4915-816B-2710E4883871}"/>
    <cellStyle name="Normal 8 2 3 2 6 5" xfId="11615" xr:uid="{269E8CC8-C925-4E0C-B710-C5AF5E522D5D}"/>
    <cellStyle name="Normal 8 2 3 2 7" xfId="2636" xr:uid="{00000000-0005-0000-0000-0000B91C0000}"/>
    <cellStyle name="Normal 8 2 3 2 7 2" xfId="6919" xr:uid="{00000000-0005-0000-0000-0000BA1C0000}"/>
    <cellStyle name="Normal 8 2 3 2 7 2 2" xfId="25544" xr:uid="{A28F67D4-2F85-49B5-80D2-DF4C447AEEB0}"/>
    <cellStyle name="Normal 8 2 3 2 7 2 3" xfId="16245" xr:uid="{B1F26E20-0396-4CE2-80ED-C0F0EEAC0102}"/>
    <cellStyle name="Normal 8 2 3 2 7 3" xfId="21327" xr:uid="{4614477F-3764-4FC9-9DD2-6C703CCFDB88}"/>
    <cellStyle name="Normal 8 2 3 2 7 4" xfId="12028" xr:uid="{E2BFA469-7FDE-42C1-AE2E-A307F7E7F43E}"/>
    <cellStyle name="Normal 8 2 3 2 8" xfId="4854" xr:uid="{00000000-0005-0000-0000-0000BB1C0000}"/>
    <cellStyle name="Normal 8 2 3 2 8 2" xfId="23479" xr:uid="{7196AC52-B350-448C-97C3-97D74CD0841E}"/>
    <cellStyle name="Normal 8 2 3 2 8 3" xfId="14180" xr:uid="{83EAA32F-4506-4131-A164-03E5C36A391B}"/>
    <cellStyle name="Normal 8 2 3 2 9" xfId="8938" xr:uid="{1EAF77CE-4DC3-40DC-AA9D-31320D478EE9}"/>
    <cellStyle name="Normal 8 2 3 2 9 2" xfId="27561" xr:uid="{79CCD7CC-96E8-45A5-8FED-7B2735CF3BCB}"/>
    <cellStyle name="Normal 8 2 3 2 9 3" xfId="18262" xr:uid="{D780087E-2307-455E-BAFA-8828959AAF35}"/>
    <cellStyle name="Normal 8 2 3 3" xfId="491" xr:uid="{00000000-0005-0000-0000-0000BC1C0000}"/>
    <cellStyle name="Normal 8 2 3 3 10" xfId="9965" xr:uid="{76218940-9283-4A90-A08F-2A05ACE9E79C}"/>
    <cellStyle name="Normal 8 2 3 3 2" xfId="958" xr:uid="{00000000-0005-0000-0000-0000BD1C0000}"/>
    <cellStyle name="Normal 8 2 3 3 2 2" xfId="3192" xr:uid="{00000000-0005-0000-0000-0000BE1C0000}"/>
    <cellStyle name="Normal 8 2 3 3 2 2 2" xfId="7414" xr:uid="{00000000-0005-0000-0000-0000BF1C0000}"/>
    <cellStyle name="Normal 8 2 3 3 2 2 2 2" xfId="26039" xr:uid="{FD9BA5FF-83CF-461B-97D3-D239423BBAEA}"/>
    <cellStyle name="Normal 8 2 3 3 2 2 2 3" xfId="16740" xr:uid="{128A43EA-2CB5-498E-977B-2DA0F096C072}"/>
    <cellStyle name="Normal 8 2 3 3 2 2 3" xfId="21822" xr:uid="{CF6303C6-9A6A-4DA1-82FE-7B6507B1846F}"/>
    <cellStyle name="Normal 8 2 3 3 2 2 4" xfId="12523" xr:uid="{3B404969-87AB-4F24-98D0-B5C69C298F31}"/>
    <cellStyle name="Normal 8 2 3 3 2 3" xfId="5269" xr:uid="{00000000-0005-0000-0000-0000C01C0000}"/>
    <cellStyle name="Normal 8 2 3 3 2 3 2" xfId="23894" xr:uid="{2CBD9CEC-9174-4F6E-A36C-A6C5B5A67E3D}"/>
    <cellStyle name="Normal 8 2 3 3 2 3 3" xfId="14595" xr:uid="{D4EB32B2-A038-48DE-94CD-4A68159BC20C}"/>
    <cellStyle name="Normal 8 2 3 3 2 4" xfId="9467" xr:uid="{C16001D7-8508-4511-808F-E990F8EA0FE3}"/>
    <cellStyle name="Normal 8 2 3 3 2 4 2" xfId="28081" xr:uid="{C899D7F7-38BB-4644-BB63-2B364E9443CA}"/>
    <cellStyle name="Normal 8 2 3 3 2 4 3" xfId="18782" xr:uid="{D6B169E2-5F89-40B3-A7D7-1A862239E0A8}"/>
    <cellStyle name="Normal 8 2 3 3 2 5" xfId="19677" xr:uid="{800B0E9E-568E-41CA-8335-62E335C0727B}"/>
    <cellStyle name="Normal 8 2 3 3 2 6" xfId="10378" xr:uid="{5C1DE174-C232-4D63-97EE-BBE0F1098777}"/>
    <cellStyle name="Normal 8 2 3 3 3" xfId="1375" xr:uid="{00000000-0005-0000-0000-0000C11C0000}"/>
    <cellStyle name="Normal 8 2 3 3 3 2" xfId="3605" xr:uid="{00000000-0005-0000-0000-0000C21C0000}"/>
    <cellStyle name="Normal 8 2 3 3 3 2 2" xfId="7827" xr:uid="{00000000-0005-0000-0000-0000C31C0000}"/>
    <cellStyle name="Normal 8 2 3 3 3 2 2 2" xfId="26452" xr:uid="{402221E7-64F6-458B-8CCC-9E3DCAAED4FC}"/>
    <cellStyle name="Normal 8 2 3 3 3 2 2 3" xfId="17153" xr:uid="{F8CFDF2F-C9F9-4659-AA3F-DE419D719BCC}"/>
    <cellStyle name="Normal 8 2 3 3 3 2 3" xfId="22235" xr:uid="{32C1D91D-099C-460D-B89E-8FA7C60D047C}"/>
    <cellStyle name="Normal 8 2 3 3 3 2 4" xfId="12936" xr:uid="{330D2B0E-1C58-46DB-9524-C5FC1B991203}"/>
    <cellStyle name="Normal 8 2 3 3 3 3" xfId="5682" xr:uid="{00000000-0005-0000-0000-0000C41C0000}"/>
    <cellStyle name="Normal 8 2 3 3 3 3 2" xfId="24307" xr:uid="{185F3DAA-BBC1-4774-94A1-ADAEE5371186}"/>
    <cellStyle name="Normal 8 2 3 3 3 3 3" xfId="15008" xr:uid="{7C6D4B60-1015-47B7-B53B-58467B52199E}"/>
    <cellStyle name="Normal 8 2 3 3 3 4" xfId="20090" xr:uid="{CA2FD310-A2F9-4658-8754-5CDE28CAFF80}"/>
    <cellStyle name="Normal 8 2 3 3 3 5" xfId="10791" xr:uid="{4EB75D8B-55D9-4EDB-B924-D00E69F66422}"/>
    <cellStyle name="Normal 8 2 3 3 4" xfId="1788" xr:uid="{00000000-0005-0000-0000-0000C51C0000}"/>
    <cellStyle name="Normal 8 2 3 3 4 2" xfId="4018" xr:uid="{00000000-0005-0000-0000-0000C61C0000}"/>
    <cellStyle name="Normal 8 2 3 3 4 2 2" xfId="8240" xr:uid="{00000000-0005-0000-0000-0000C71C0000}"/>
    <cellStyle name="Normal 8 2 3 3 4 2 2 2" xfId="26865" xr:uid="{FBEAB5E6-174C-4018-92AE-30B7DDB1A555}"/>
    <cellStyle name="Normal 8 2 3 3 4 2 2 3" xfId="17566" xr:uid="{3ECCF080-F29D-4A99-8A49-926A76DEC7F6}"/>
    <cellStyle name="Normal 8 2 3 3 4 2 3" xfId="22648" xr:uid="{0952ADEB-FAE2-4309-8608-BABD305F62CE}"/>
    <cellStyle name="Normal 8 2 3 3 4 2 4" xfId="13349" xr:uid="{82D79F37-A6F4-42FF-9C89-FAADDCF2D6B6}"/>
    <cellStyle name="Normal 8 2 3 3 4 3" xfId="6095" xr:uid="{00000000-0005-0000-0000-0000C81C0000}"/>
    <cellStyle name="Normal 8 2 3 3 4 3 2" xfId="24720" xr:uid="{24A5442A-28CE-4CFB-B9E2-39D91E48C751}"/>
    <cellStyle name="Normal 8 2 3 3 4 3 3" xfId="15421" xr:uid="{B0E0D4AE-B0C3-4FE9-A258-43F2E46EBD50}"/>
    <cellStyle name="Normal 8 2 3 3 4 4" xfId="20503" xr:uid="{9048676E-0DC8-4EED-8C1D-C9B37584F98A}"/>
    <cellStyle name="Normal 8 2 3 3 4 5" xfId="11204" xr:uid="{C0159123-C7FE-428D-A649-9FFD5439B560}"/>
    <cellStyle name="Normal 8 2 3 3 5" xfId="2202" xr:uid="{00000000-0005-0000-0000-0000C91C0000}"/>
    <cellStyle name="Normal 8 2 3 3 5 2" xfId="4431" xr:uid="{00000000-0005-0000-0000-0000CA1C0000}"/>
    <cellStyle name="Normal 8 2 3 3 5 2 2" xfId="8653" xr:uid="{00000000-0005-0000-0000-0000CB1C0000}"/>
    <cellStyle name="Normal 8 2 3 3 5 2 2 2" xfId="27278" xr:uid="{0CD76056-8ED0-4BF9-8BDC-9331F1B4F9BC}"/>
    <cellStyle name="Normal 8 2 3 3 5 2 2 3" xfId="17979" xr:uid="{C52BE6BE-D453-4659-8217-C85D133EAD15}"/>
    <cellStyle name="Normal 8 2 3 3 5 2 3" xfId="23061" xr:uid="{23FDA85D-1047-4EB9-A3BD-1EE372086C3A}"/>
    <cellStyle name="Normal 8 2 3 3 5 2 4" xfId="13762" xr:uid="{054F0618-0905-4CD0-BD30-EDBFFBA0FD65}"/>
    <cellStyle name="Normal 8 2 3 3 5 3" xfId="6508" xr:uid="{00000000-0005-0000-0000-0000CC1C0000}"/>
    <cellStyle name="Normal 8 2 3 3 5 3 2" xfId="25133" xr:uid="{2E78A69B-C1A9-4B70-9054-CB08017E2751}"/>
    <cellStyle name="Normal 8 2 3 3 5 3 3" xfId="15834" xr:uid="{BACD7477-7E13-401E-80FB-F35D5536FDB4}"/>
    <cellStyle name="Normal 8 2 3 3 5 4" xfId="20916" xr:uid="{F30A58FD-72E2-4A7C-B6C5-62A73C66CE7C}"/>
    <cellStyle name="Normal 8 2 3 3 5 5" xfId="11617" xr:uid="{34D5C38A-887E-4BCB-ADF3-F4505F0E7A22}"/>
    <cellStyle name="Normal 8 2 3 3 6" xfId="2638" xr:uid="{00000000-0005-0000-0000-0000CD1C0000}"/>
    <cellStyle name="Normal 8 2 3 3 6 2" xfId="6921" xr:uid="{00000000-0005-0000-0000-0000CE1C0000}"/>
    <cellStyle name="Normal 8 2 3 3 6 2 2" xfId="25546" xr:uid="{872E798A-F36D-40FF-8E6A-6712356E806A}"/>
    <cellStyle name="Normal 8 2 3 3 6 2 3" xfId="16247" xr:uid="{0581A8AF-F59D-42C7-A5DA-3184F6273F1F}"/>
    <cellStyle name="Normal 8 2 3 3 6 3" xfId="21329" xr:uid="{47EBF4D9-EF77-4678-A0BC-B6C0F3A98157}"/>
    <cellStyle name="Normal 8 2 3 3 6 4" xfId="12030" xr:uid="{BCD05C5D-10D4-4327-8E87-EE14078D705C}"/>
    <cellStyle name="Normal 8 2 3 3 7" xfId="4856" xr:uid="{00000000-0005-0000-0000-0000CF1C0000}"/>
    <cellStyle name="Normal 8 2 3 3 7 2" xfId="23481" xr:uid="{9D432AC9-0457-43BD-B148-7FE3D0EC625F}"/>
    <cellStyle name="Normal 8 2 3 3 7 3" xfId="14182" xr:uid="{C4C6BA12-9A78-4479-9575-9923CB6DA00C}"/>
    <cellStyle name="Normal 8 2 3 3 8" xfId="9042" xr:uid="{D820ED39-BAB1-48C1-A68D-2017E247E432}"/>
    <cellStyle name="Normal 8 2 3 3 8 2" xfId="27665" xr:uid="{A637ED41-B947-4AE1-A205-392F05AB1ABD}"/>
    <cellStyle name="Normal 8 2 3 3 8 3" xfId="18366" xr:uid="{6C5E41E5-4539-41C8-8EB0-5DF5C62D5FAF}"/>
    <cellStyle name="Normal 8 2 3 3 9" xfId="19264" xr:uid="{EC5379BD-46CD-4F73-B5C7-4DB391D9F3E9}"/>
    <cellStyle name="Normal 8 2 3 4" xfId="955" xr:uid="{00000000-0005-0000-0000-0000D01C0000}"/>
    <cellStyle name="Normal 8 2 3 4 2" xfId="3189" xr:uid="{00000000-0005-0000-0000-0000D11C0000}"/>
    <cellStyle name="Normal 8 2 3 4 2 2" xfId="7411" xr:uid="{00000000-0005-0000-0000-0000D21C0000}"/>
    <cellStyle name="Normal 8 2 3 4 2 2 2" xfId="26036" xr:uid="{28688A39-0BB6-480B-8F67-4CABA47BB64F}"/>
    <cellStyle name="Normal 8 2 3 4 2 2 3" xfId="16737" xr:uid="{423DE7CD-DB57-4797-9024-9304AD451CEF}"/>
    <cellStyle name="Normal 8 2 3 4 2 3" xfId="21819" xr:uid="{8AA752EB-8327-4E57-AFF0-364C5A2E874B}"/>
    <cellStyle name="Normal 8 2 3 4 2 4" xfId="12520" xr:uid="{12EEB902-5DD3-4C27-B659-2755D2177379}"/>
    <cellStyle name="Normal 8 2 3 4 3" xfId="5266" xr:uid="{00000000-0005-0000-0000-0000D31C0000}"/>
    <cellStyle name="Normal 8 2 3 4 3 2" xfId="23891" xr:uid="{BA0A9808-756B-4365-9D93-9B364B275926}"/>
    <cellStyle name="Normal 8 2 3 4 3 3" xfId="14592" xr:uid="{6684293F-961C-4E84-B57A-28CF3B969567}"/>
    <cellStyle name="Normal 8 2 3 4 4" xfId="9260" xr:uid="{70FF5A16-C89A-42B7-A603-E23A7C2F443C}"/>
    <cellStyle name="Normal 8 2 3 4 4 2" xfId="27874" xr:uid="{DEABAA63-31C7-41C8-BDD1-A72E0885609C}"/>
    <cellStyle name="Normal 8 2 3 4 4 3" xfId="18575" xr:uid="{9C83B262-F6FE-4B7A-8060-76E58DA3D56E}"/>
    <cellStyle name="Normal 8 2 3 4 5" xfId="19674" xr:uid="{36340591-9F76-4392-A15A-18D840542BC8}"/>
    <cellStyle name="Normal 8 2 3 4 6" xfId="10375" xr:uid="{B7655CAB-83A2-4ECB-B3AE-8A60316F86A5}"/>
    <cellStyle name="Normal 8 2 3 5" xfId="1372" xr:uid="{00000000-0005-0000-0000-0000D41C0000}"/>
    <cellStyle name="Normal 8 2 3 5 2" xfId="3602" xr:uid="{00000000-0005-0000-0000-0000D51C0000}"/>
    <cellStyle name="Normal 8 2 3 5 2 2" xfId="7824" xr:uid="{00000000-0005-0000-0000-0000D61C0000}"/>
    <cellStyle name="Normal 8 2 3 5 2 2 2" xfId="26449" xr:uid="{7B7CDEF5-CD99-405C-A32F-BB5FE77A59F3}"/>
    <cellStyle name="Normal 8 2 3 5 2 2 3" xfId="17150" xr:uid="{B3967091-C7E2-4156-9898-E6F958A33611}"/>
    <cellStyle name="Normal 8 2 3 5 2 3" xfId="22232" xr:uid="{E77BEEE7-CA34-478E-90E7-972FE9604794}"/>
    <cellStyle name="Normal 8 2 3 5 2 4" xfId="12933" xr:uid="{4BD75613-8C08-4649-BB94-69FD53A5DB1D}"/>
    <cellStyle name="Normal 8 2 3 5 3" xfId="5679" xr:uid="{00000000-0005-0000-0000-0000D71C0000}"/>
    <cellStyle name="Normal 8 2 3 5 3 2" xfId="24304" xr:uid="{164747CE-7806-4A6D-875D-6AF2A0E2BA91}"/>
    <cellStyle name="Normal 8 2 3 5 3 3" xfId="15005" xr:uid="{077CD28F-2965-4477-8650-1367E5C40037}"/>
    <cellStyle name="Normal 8 2 3 5 4" xfId="20087" xr:uid="{7F1F5FE1-3C98-48E5-BA09-125F3E34302C}"/>
    <cellStyle name="Normal 8 2 3 5 5" xfId="10788" xr:uid="{88778201-7B99-4E59-B945-9FBFED9E3E4B}"/>
    <cellStyle name="Normal 8 2 3 6" xfId="1785" xr:uid="{00000000-0005-0000-0000-0000D81C0000}"/>
    <cellStyle name="Normal 8 2 3 6 2" xfId="4015" xr:uid="{00000000-0005-0000-0000-0000D91C0000}"/>
    <cellStyle name="Normal 8 2 3 6 2 2" xfId="8237" xr:uid="{00000000-0005-0000-0000-0000DA1C0000}"/>
    <cellStyle name="Normal 8 2 3 6 2 2 2" xfId="26862" xr:uid="{93A09CF5-39D0-4AB0-9D5A-CA85E98D5F7E}"/>
    <cellStyle name="Normal 8 2 3 6 2 2 3" xfId="17563" xr:uid="{89D452A5-D8E1-421B-A604-7404D3C555F5}"/>
    <cellStyle name="Normal 8 2 3 6 2 3" xfId="22645" xr:uid="{0FC70B8B-598C-4ED3-86FA-264433C1D37E}"/>
    <cellStyle name="Normal 8 2 3 6 2 4" xfId="13346" xr:uid="{EA7D6F21-86D8-4E42-93ED-F533D45BB313}"/>
    <cellStyle name="Normal 8 2 3 6 3" xfId="6092" xr:uid="{00000000-0005-0000-0000-0000DB1C0000}"/>
    <cellStyle name="Normal 8 2 3 6 3 2" xfId="24717" xr:uid="{230EB8F0-B4E5-4A09-9DC8-D095A0C247AA}"/>
    <cellStyle name="Normal 8 2 3 6 3 3" xfId="15418" xr:uid="{D3BE8ED5-993C-4AE0-9FAE-74A87B41F499}"/>
    <cellStyle name="Normal 8 2 3 6 4" xfId="20500" xr:uid="{3ADF3E49-E8B0-4612-ADE8-F67B8AB7D8BD}"/>
    <cellStyle name="Normal 8 2 3 6 5" xfId="11201" xr:uid="{26F29DD9-8EE6-4301-8A7C-6611CEFE6196}"/>
    <cellStyle name="Normal 8 2 3 7" xfId="2199" xr:uid="{00000000-0005-0000-0000-0000DC1C0000}"/>
    <cellStyle name="Normal 8 2 3 7 2" xfId="4428" xr:uid="{00000000-0005-0000-0000-0000DD1C0000}"/>
    <cellStyle name="Normal 8 2 3 7 2 2" xfId="8650" xr:uid="{00000000-0005-0000-0000-0000DE1C0000}"/>
    <cellStyle name="Normal 8 2 3 7 2 2 2" xfId="27275" xr:uid="{2B8DD80B-7D2D-4E0C-B720-7B94E0C50B75}"/>
    <cellStyle name="Normal 8 2 3 7 2 2 3" xfId="17976" xr:uid="{EAA071A9-F2A1-4747-9D30-FAA18C3343FC}"/>
    <cellStyle name="Normal 8 2 3 7 2 3" xfId="23058" xr:uid="{FCFC2FA8-FBCA-4841-A18A-799786C3BBA7}"/>
    <cellStyle name="Normal 8 2 3 7 2 4" xfId="13759" xr:uid="{BAB5E769-9AC0-4CB5-8082-6E82687F4314}"/>
    <cellStyle name="Normal 8 2 3 7 3" xfId="6505" xr:uid="{00000000-0005-0000-0000-0000DF1C0000}"/>
    <cellStyle name="Normal 8 2 3 7 3 2" xfId="25130" xr:uid="{4EDEC3CA-E3C9-43E5-812F-3C2D0CB2C98E}"/>
    <cellStyle name="Normal 8 2 3 7 3 3" xfId="15831" xr:uid="{6BDDD8EC-A07C-499D-8B44-25F1278C983B}"/>
    <cellStyle name="Normal 8 2 3 7 4" xfId="20913" xr:uid="{51DEDE13-8D8A-4214-8FC0-4F6B2F2539F4}"/>
    <cellStyle name="Normal 8 2 3 7 5" xfId="11614" xr:uid="{D883E669-BA35-43EB-8A16-E85D31E20E2B}"/>
    <cellStyle name="Normal 8 2 3 8" xfId="2635" xr:uid="{00000000-0005-0000-0000-0000E01C0000}"/>
    <cellStyle name="Normal 8 2 3 8 2" xfId="6918" xr:uid="{00000000-0005-0000-0000-0000E11C0000}"/>
    <cellStyle name="Normal 8 2 3 8 2 2" xfId="25543" xr:uid="{C94727D1-6C44-40ED-A5F6-5C12CD2A3396}"/>
    <cellStyle name="Normal 8 2 3 8 2 3" xfId="16244" xr:uid="{EACCEE16-A027-4E36-A6AC-A360DBF7249F}"/>
    <cellStyle name="Normal 8 2 3 8 3" xfId="21326" xr:uid="{583AB21B-5665-4762-8AFA-EC5BA8767917}"/>
    <cellStyle name="Normal 8 2 3 8 4" xfId="12027" xr:uid="{E2AF98ED-B0E5-4A3A-8020-7BAF0491F74A}"/>
    <cellStyle name="Normal 8 2 3 9" xfId="4853" xr:uid="{00000000-0005-0000-0000-0000E21C0000}"/>
    <cellStyle name="Normal 8 2 3 9 2" xfId="23478" xr:uid="{83F88232-16DA-4CCC-9668-0E7E3D74ED75}"/>
    <cellStyle name="Normal 8 2 3 9 3" xfId="14179" xr:uid="{5E18031E-26AD-48CE-842B-48D87258D982}"/>
    <cellStyle name="Normal 8 2 4" xfId="492" xr:uid="{00000000-0005-0000-0000-0000E31C0000}"/>
    <cellStyle name="Normal 8 2 4 10" xfId="19265" xr:uid="{672A265D-B8C4-4252-ABE0-E88528BC7A11}"/>
    <cellStyle name="Normal 8 2 4 11" xfId="9966" xr:uid="{2DF2B14F-5EEC-4812-B40F-5CE2031B989C}"/>
    <cellStyle name="Normal 8 2 4 2" xfId="493" xr:uid="{00000000-0005-0000-0000-0000E41C0000}"/>
    <cellStyle name="Normal 8 2 4 2 10" xfId="9967" xr:uid="{85910F65-7DE5-483A-99EF-AB83F61C54BE}"/>
    <cellStyle name="Normal 8 2 4 2 2" xfId="960" xr:uid="{00000000-0005-0000-0000-0000E51C0000}"/>
    <cellStyle name="Normal 8 2 4 2 2 2" xfId="3194" xr:uid="{00000000-0005-0000-0000-0000E61C0000}"/>
    <cellStyle name="Normal 8 2 4 2 2 2 2" xfId="7416" xr:uid="{00000000-0005-0000-0000-0000E71C0000}"/>
    <cellStyle name="Normal 8 2 4 2 2 2 2 2" xfId="26041" xr:uid="{FF8E546D-2D07-4CF4-A898-285BDFF80C96}"/>
    <cellStyle name="Normal 8 2 4 2 2 2 2 3" xfId="16742" xr:uid="{43109152-7CEE-431F-8764-E00B86354F8E}"/>
    <cellStyle name="Normal 8 2 4 2 2 2 3" xfId="21824" xr:uid="{DA69FD1D-C012-4EF2-A335-AF672492C907}"/>
    <cellStyle name="Normal 8 2 4 2 2 2 4" xfId="12525" xr:uid="{66DFD59F-72CD-42C0-8563-014B04E11BF0}"/>
    <cellStyle name="Normal 8 2 4 2 2 3" xfId="5271" xr:uid="{00000000-0005-0000-0000-0000E81C0000}"/>
    <cellStyle name="Normal 8 2 4 2 2 3 2" xfId="23896" xr:uid="{6611B4FF-7D15-434C-B7BE-4EBB2EB4B094}"/>
    <cellStyle name="Normal 8 2 4 2 2 3 3" xfId="14597" xr:uid="{0DC706DC-7CDB-419A-AC86-8A14F3120B78}"/>
    <cellStyle name="Normal 8 2 4 2 2 4" xfId="9486" xr:uid="{9F6EBE4C-F02F-43A6-A388-D5EACB1B3099}"/>
    <cellStyle name="Normal 8 2 4 2 2 4 2" xfId="28100" xr:uid="{AE3BFF96-0A85-481A-B482-70C52BB99F0D}"/>
    <cellStyle name="Normal 8 2 4 2 2 4 3" xfId="18801" xr:uid="{76670247-1926-4173-B91F-929FDB8916AE}"/>
    <cellStyle name="Normal 8 2 4 2 2 5" xfId="19679" xr:uid="{CE451B4F-2272-4485-B573-C544BBAEB375}"/>
    <cellStyle name="Normal 8 2 4 2 2 6" xfId="10380" xr:uid="{0B708820-69CA-4ADD-BE2F-485F4AA69D66}"/>
    <cellStyle name="Normal 8 2 4 2 3" xfId="1377" xr:uid="{00000000-0005-0000-0000-0000E91C0000}"/>
    <cellStyle name="Normal 8 2 4 2 3 2" xfId="3607" xr:uid="{00000000-0005-0000-0000-0000EA1C0000}"/>
    <cellStyle name="Normal 8 2 4 2 3 2 2" xfId="7829" xr:uid="{00000000-0005-0000-0000-0000EB1C0000}"/>
    <cellStyle name="Normal 8 2 4 2 3 2 2 2" xfId="26454" xr:uid="{C6288BB0-F443-4ECA-8AAD-31B4558181F4}"/>
    <cellStyle name="Normal 8 2 4 2 3 2 2 3" xfId="17155" xr:uid="{AD7E889B-5176-496A-A157-1D5F7FAF47B2}"/>
    <cellStyle name="Normal 8 2 4 2 3 2 3" xfId="22237" xr:uid="{CC2D1A8B-7E65-4CAD-AD3B-94437BDA7446}"/>
    <cellStyle name="Normal 8 2 4 2 3 2 4" xfId="12938" xr:uid="{6153C187-6DF9-41BC-A843-496F5DD604C7}"/>
    <cellStyle name="Normal 8 2 4 2 3 3" xfId="5684" xr:uid="{00000000-0005-0000-0000-0000EC1C0000}"/>
    <cellStyle name="Normal 8 2 4 2 3 3 2" xfId="24309" xr:uid="{D77035CC-30EF-4186-B05D-51B14422F423}"/>
    <cellStyle name="Normal 8 2 4 2 3 3 3" xfId="15010" xr:uid="{9F1325ED-6ADD-4675-90BB-42B0B844CC12}"/>
    <cellStyle name="Normal 8 2 4 2 3 4" xfId="20092" xr:uid="{AA3F7BD1-2621-4945-B94F-14EA02FF0245}"/>
    <cellStyle name="Normal 8 2 4 2 3 5" xfId="10793" xr:uid="{9EFD4AEA-8DDD-4343-90FE-9D194FFEC598}"/>
    <cellStyle name="Normal 8 2 4 2 4" xfId="1790" xr:uid="{00000000-0005-0000-0000-0000ED1C0000}"/>
    <cellStyle name="Normal 8 2 4 2 4 2" xfId="4020" xr:uid="{00000000-0005-0000-0000-0000EE1C0000}"/>
    <cellStyle name="Normal 8 2 4 2 4 2 2" xfId="8242" xr:uid="{00000000-0005-0000-0000-0000EF1C0000}"/>
    <cellStyle name="Normal 8 2 4 2 4 2 2 2" xfId="26867" xr:uid="{4566C4EF-303C-424B-B6FF-81FE01E7FC3C}"/>
    <cellStyle name="Normal 8 2 4 2 4 2 2 3" xfId="17568" xr:uid="{7FF609FE-13EC-4F63-9246-50ACCF282B53}"/>
    <cellStyle name="Normal 8 2 4 2 4 2 3" xfId="22650" xr:uid="{AF0904CF-7EFF-4FB1-80B9-79D6235B29EE}"/>
    <cellStyle name="Normal 8 2 4 2 4 2 4" xfId="13351" xr:uid="{171BAFC8-2E9A-40F9-B610-BAFD2D8B2911}"/>
    <cellStyle name="Normal 8 2 4 2 4 3" xfId="6097" xr:uid="{00000000-0005-0000-0000-0000F01C0000}"/>
    <cellStyle name="Normal 8 2 4 2 4 3 2" xfId="24722" xr:uid="{752871DA-FD0E-4D25-9E8A-F3B263D14FD7}"/>
    <cellStyle name="Normal 8 2 4 2 4 3 3" xfId="15423" xr:uid="{15C11BD9-AA89-46AC-B54B-3E54C5A01BD4}"/>
    <cellStyle name="Normal 8 2 4 2 4 4" xfId="20505" xr:uid="{AFD02B1C-9D0A-4402-8C2C-E4FF28639183}"/>
    <cellStyle name="Normal 8 2 4 2 4 5" xfId="11206" xr:uid="{310CC111-8277-4207-A497-DB9E391D94D7}"/>
    <cellStyle name="Normal 8 2 4 2 5" xfId="2204" xr:uid="{00000000-0005-0000-0000-0000F11C0000}"/>
    <cellStyle name="Normal 8 2 4 2 5 2" xfId="4433" xr:uid="{00000000-0005-0000-0000-0000F21C0000}"/>
    <cellStyle name="Normal 8 2 4 2 5 2 2" xfId="8655" xr:uid="{00000000-0005-0000-0000-0000F31C0000}"/>
    <cellStyle name="Normal 8 2 4 2 5 2 2 2" xfId="27280" xr:uid="{18D2E932-13C0-4F10-A608-9A8B8BB5E0A5}"/>
    <cellStyle name="Normal 8 2 4 2 5 2 2 3" xfId="17981" xr:uid="{117CC56C-6232-43A7-8FCF-C16CAC2A1BB8}"/>
    <cellStyle name="Normal 8 2 4 2 5 2 3" xfId="23063" xr:uid="{7856D761-FEBD-43A0-A8BE-1B91AA9269E9}"/>
    <cellStyle name="Normal 8 2 4 2 5 2 4" xfId="13764" xr:uid="{923549CB-A5C2-4C0D-8789-1E104E49FE8A}"/>
    <cellStyle name="Normal 8 2 4 2 5 3" xfId="6510" xr:uid="{00000000-0005-0000-0000-0000F41C0000}"/>
    <cellStyle name="Normal 8 2 4 2 5 3 2" xfId="25135" xr:uid="{0346D395-4D5F-48DD-8F39-FDE389996B16}"/>
    <cellStyle name="Normal 8 2 4 2 5 3 3" xfId="15836" xr:uid="{128932F7-64D9-4427-9696-FEB5149C40E4}"/>
    <cellStyle name="Normal 8 2 4 2 5 4" xfId="20918" xr:uid="{60E98F2D-68C1-4C4B-900D-0FCEF58E273F}"/>
    <cellStyle name="Normal 8 2 4 2 5 5" xfId="11619" xr:uid="{1AE07273-4AF1-4DEE-B1F4-057C9B2B9F11}"/>
    <cellStyle name="Normal 8 2 4 2 6" xfId="2640" xr:uid="{00000000-0005-0000-0000-0000F51C0000}"/>
    <cellStyle name="Normal 8 2 4 2 6 2" xfId="6923" xr:uid="{00000000-0005-0000-0000-0000F61C0000}"/>
    <cellStyle name="Normal 8 2 4 2 6 2 2" xfId="25548" xr:uid="{AEE95583-DD6A-4723-81B7-5F41109FF746}"/>
    <cellStyle name="Normal 8 2 4 2 6 2 3" xfId="16249" xr:uid="{B535C816-307B-4F5F-BB54-B9DFD736669D}"/>
    <cellStyle name="Normal 8 2 4 2 6 3" xfId="21331" xr:uid="{EA26F698-D4A3-4CDB-BD4E-3CABCE4AF49C}"/>
    <cellStyle name="Normal 8 2 4 2 6 4" xfId="12032" xr:uid="{2E93CD83-0D43-41EA-B583-BDCF606E15F7}"/>
    <cellStyle name="Normal 8 2 4 2 7" xfId="4858" xr:uid="{00000000-0005-0000-0000-0000F71C0000}"/>
    <cellStyle name="Normal 8 2 4 2 7 2" xfId="23483" xr:uid="{30737919-DC1E-431A-AF64-5952409DBD0B}"/>
    <cellStyle name="Normal 8 2 4 2 7 3" xfId="14184" xr:uid="{60BCDC3F-399C-4107-8A95-F8893DA41FD0}"/>
    <cellStyle name="Normal 8 2 4 2 8" xfId="9061" xr:uid="{7295DB82-9441-436C-AA3E-91B68F6E59B3}"/>
    <cellStyle name="Normal 8 2 4 2 8 2" xfId="27684" xr:uid="{6623F93A-D7C7-4182-A2B0-BC7FC7436588}"/>
    <cellStyle name="Normal 8 2 4 2 8 3" xfId="18385" xr:uid="{4AC46F61-CFCC-4019-934A-673C37E0D956}"/>
    <cellStyle name="Normal 8 2 4 2 9" xfId="19266" xr:uid="{33CBDB39-64B7-48DE-B130-2B3392BD88F7}"/>
    <cellStyle name="Normal 8 2 4 3" xfId="959" xr:uid="{00000000-0005-0000-0000-0000F81C0000}"/>
    <cellStyle name="Normal 8 2 4 3 2" xfId="3193" xr:uid="{00000000-0005-0000-0000-0000F91C0000}"/>
    <cellStyle name="Normal 8 2 4 3 2 2" xfId="7415" xr:uid="{00000000-0005-0000-0000-0000FA1C0000}"/>
    <cellStyle name="Normal 8 2 4 3 2 2 2" xfId="26040" xr:uid="{C50EE21D-7D1F-488D-A492-8F6D9D5234D9}"/>
    <cellStyle name="Normal 8 2 4 3 2 2 3" xfId="16741" xr:uid="{D9A90812-3847-4C91-979F-2115C307FB99}"/>
    <cellStyle name="Normal 8 2 4 3 2 3" xfId="21823" xr:uid="{D6CA27B8-82A7-4476-A5C8-F6C642D20AE5}"/>
    <cellStyle name="Normal 8 2 4 3 2 4" xfId="12524" xr:uid="{F7045026-C2DD-4194-AD26-2098E2AE42A3}"/>
    <cellStyle name="Normal 8 2 4 3 3" xfId="5270" xr:uid="{00000000-0005-0000-0000-0000FB1C0000}"/>
    <cellStyle name="Normal 8 2 4 3 3 2" xfId="23895" xr:uid="{701BFEEE-03C6-432F-B98C-572B83C36DB6}"/>
    <cellStyle name="Normal 8 2 4 3 3 3" xfId="14596" xr:uid="{9FBDC306-CA31-4613-9D4B-C5AC95D4F350}"/>
    <cellStyle name="Normal 8 2 4 3 4" xfId="9279" xr:uid="{BA09D30D-BEBA-4223-83E6-57FB46A1EFA8}"/>
    <cellStyle name="Normal 8 2 4 3 4 2" xfId="27893" xr:uid="{4A65E914-2439-4087-9343-5AE692F81AF9}"/>
    <cellStyle name="Normal 8 2 4 3 4 3" xfId="18594" xr:uid="{376C571E-4C70-4A60-9CF0-3DC7B82E9B7C}"/>
    <cellStyle name="Normal 8 2 4 3 5" xfId="19678" xr:uid="{EC75D641-4837-406C-9677-EAADB19BB998}"/>
    <cellStyle name="Normal 8 2 4 3 6" xfId="10379" xr:uid="{844288D5-0338-420B-B0E1-BA5E244A3521}"/>
    <cellStyle name="Normal 8 2 4 4" xfId="1376" xr:uid="{00000000-0005-0000-0000-0000FC1C0000}"/>
    <cellStyle name="Normal 8 2 4 4 2" xfId="3606" xr:uid="{00000000-0005-0000-0000-0000FD1C0000}"/>
    <cellStyle name="Normal 8 2 4 4 2 2" xfId="7828" xr:uid="{00000000-0005-0000-0000-0000FE1C0000}"/>
    <cellStyle name="Normal 8 2 4 4 2 2 2" xfId="26453" xr:uid="{65F9F1C9-6F79-4B68-A8E7-C2377B05C4E5}"/>
    <cellStyle name="Normal 8 2 4 4 2 2 3" xfId="17154" xr:uid="{57D8F55A-5295-45AA-A418-FE972C3FAD17}"/>
    <cellStyle name="Normal 8 2 4 4 2 3" xfId="22236" xr:uid="{383E4994-7A93-4C1B-AF5F-7390EC6185EB}"/>
    <cellStyle name="Normal 8 2 4 4 2 4" xfId="12937" xr:uid="{3D5DF89E-5FDD-4CA3-9D54-7417E04FEB2C}"/>
    <cellStyle name="Normal 8 2 4 4 3" xfId="5683" xr:uid="{00000000-0005-0000-0000-0000FF1C0000}"/>
    <cellStyle name="Normal 8 2 4 4 3 2" xfId="24308" xr:uid="{10D3A977-BDC3-4E88-9E66-CF23C1FCA8DB}"/>
    <cellStyle name="Normal 8 2 4 4 3 3" xfId="15009" xr:uid="{E47DB96C-9343-4359-A096-A60700EA3A37}"/>
    <cellStyle name="Normal 8 2 4 4 4" xfId="20091" xr:uid="{13EE4D5B-FEEE-4B59-9437-BFAFAA3F9DCC}"/>
    <cellStyle name="Normal 8 2 4 4 5" xfId="10792" xr:uid="{3D6A8EE7-42D9-4780-ADD2-F66F60322AB9}"/>
    <cellStyle name="Normal 8 2 4 5" xfId="1789" xr:uid="{00000000-0005-0000-0000-0000001D0000}"/>
    <cellStyle name="Normal 8 2 4 5 2" xfId="4019" xr:uid="{00000000-0005-0000-0000-0000011D0000}"/>
    <cellStyle name="Normal 8 2 4 5 2 2" xfId="8241" xr:uid="{00000000-0005-0000-0000-0000021D0000}"/>
    <cellStyle name="Normal 8 2 4 5 2 2 2" xfId="26866" xr:uid="{59CF08A4-BA88-43A2-B252-17357F688306}"/>
    <cellStyle name="Normal 8 2 4 5 2 2 3" xfId="17567" xr:uid="{6A32B74C-3681-4089-BD86-400249366C1B}"/>
    <cellStyle name="Normal 8 2 4 5 2 3" xfId="22649" xr:uid="{30E24A6A-F0D3-4B08-BA22-3F0389033044}"/>
    <cellStyle name="Normal 8 2 4 5 2 4" xfId="13350" xr:uid="{D6437ADF-0A7E-4D1D-BFF4-55C75E340CE0}"/>
    <cellStyle name="Normal 8 2 4 5 3" xfId="6096" xr:uid="{00000000-0005-0000-0000-0000031D0000}"/>
    <cellStyle name="Normal 8 2 4 5 3 2" xfId="24721" xr:uid="{D4FDD994-7474-4B06-98E9-F2F275A850C7}"/>
    <cellStyle name="Normal 8 2 4 5 3 3" xfId="15422" xr:uid="{A44E25F8-89B3-435F-A9F5-90E7BF2998FE}"/>
    <cellStyle name="Normal 8 2 4 5 4" xfId="20504" xr:uid="{45D90C40-5913-46D4-BE24-D2DB0D99002F}"/>
    <cellStyle name="Normal 8 2 4 5 5" xfId="11205" xr:uid="{3965DEF9-8D2D-4794-A495-F22537B08A25}"/>
    <cellStyle name="Normal 8 2 4 6" xfId="2203" xr:uid="{00000000-0005-0000-0000-0000041D0000}"/>
    <cellStyle name="Normal 8 2 4 6 2" xfId="4432" xr:uid="{00000000-0005-0000-0000-0000051D0000}"/>
    <cellStyle name="Normal 8 2 4 6 2 2" xfId="8654" xr:uid="{00000000-0005-0000-0000-0000061D0000}"/>
    <cellStyle name="Normal 8 2 4 6 2 2 2" xfId="27279" xr:uid="{82EF0047-13B4-41CF-8AFD-AFB30CFDF4B6}"/>
    <cellStyle name="Normal 8 2 4 6 2 2 3" xfId="17980" xr:uid="{774C1C9B-4872-4EA5-9FDD-825E9D609F93}"/>
    <cellStyle name="Normal 8 2 4 6 2 3" xfId="23062" xr:uid="{18FFB4C9-A110-4EDA-AECC-FB350C4CDEF3}"/>
    <cellStyle name="Normal 8 2 4 6 2 4" xfId="13763" xr:uid="{F4C86DD0-78C0-43FA-BF8E-FC8A6ABE7653}"/>
    <cellStyle name="Normal 8 2 4 6 3" xfId="6509" xr:uid="{00000000-0005-0000-0000-0000071D0000}"/>
    <cellStyle name="Normal 8 2 4 6 3 2" xfId="25134" xr:uid="{1C812066-A085-4F5E-B2C2-80EC09C733D3}"/>
    <cellStyle name="Normal 8 2 4 6 3 3" xfId="15835" xr:uid="{01107CC2-08C9-47AB-92CD-3D803F1C57AA}"/>
    <cellStyle name="Normal 8 2 4 6 4" xfId="20917" xr:uid="{69BB5C4B-A18F-42A9-83AA-F56DC3149EF0}"/>
    <cellStyle name="Normal 8 2 4 6 5" xfId="11618" xr:uid="{214296F1-824B-4E93-8790-393861DA6DDD}"/>
    <cellStyle name="Normal 8 2 4 7" xfId="2639" xr:uid="{00000000-0005-0000-0000-0000081D0000}"/>
    <cellStyle name="Normal 8 2 4 7 2" xfId="6922" xr:uid="{00000000-0005-0000-0000-0000091D0000}"/>
    <cellStyle name="Normal 8 2 4 7 2 2" xfId="25547" xr:uid="{2FA006BD-BFC9-48AB-9DF3-6B080C39A005}"/>
    <cellStyle name="Normal 8 2 4 7 2 3" xfId="16248" xr:uid="{6C79F739-C7E6-4551-9EDE-16E8CEBDDF91}"/>
    <cellStyle name="Normal 8 2 4 7 3" xfId="21330" xr:uid="{AB50A97D-C6C1-4B16-BD31-CB4A2837D62E}"/>
    <cellStyle name="Normal 8 2 4 7 4" xfId="12031" xr:uid="{B016F2C0-3CAF-4968-81AB-52249474B5BD}"/>
    <cellStyle name="Normal 8 2 4 8" xfId="4857" xr:uid="{00000000-0005-0000-0000-00000A1D0000}"/>
    <cellStyle name="Normal 8 2 4 8 2" xfId="23482" xr:uid="{CDF55938-F9A3-47DF-8363-AFBE4D3993F1}"/>
    <cellStyle name="Normal 8 2 4 8 3" xfId="14183" xr:uid="{31EE093C-4329-4A81-BA41-4C39047CFFE0}"/>
    <cellStyle name="Normal 8 2 4 9" xfId="8854" xr:uid="{F1F9C500-F3E2-475A-983E-BD697F4BACD1}"/>
    <cellStyle name="Normal 8 2 4 9 2" xfId="27477" xr:uid="{1FAAB238-C1D0-4C58-8693-F638D87C1525}"/>
    <cellStyle name="Normal 8 2 4 9 3" xfId="18178" xr:uid="{294D62C9-4FEE-4CED-A253-106FFAD56D17}"/>
    <cellStyle name="Normal 8 2 5" xfId="494" xr:uid="{00000000-0005-0000-0000-00000B1D0000}"/>
    <cellStyle name="Normal 8 2 5 10" xfId="9968" xr:uid="{81E1DED6-220B-479A-B6DC-D5A488C4DE93}"/>
    <cellStyle name="Normal 8 2 5 2" xfId="961" xr:uid="{00000000-0005-0000-0000-00000C1D0000}"/>
    <cellStyle name="Normal 8 2 5 2 2" xfId="3195" xr:uid="{00000000-0005-0000-0000-00000D1D0000}"/>
    <cellStyle name="Normal 8 2 5 2 2 2" xfId="7417" xr:uid="{00000000-0005-0000-0000-00000E1D0000}"/>
    <cellStyle name="Normal 8 2 5 2 2 2 2" xfId="26042" xr:uid="{F14CCC67-B432-4C6B-AE1A-A6404D9FE7F6}"/>
    <cellStyle name="Normal 8 2 5 2 2 2 3" xfId="16743" xr:uid="{A8324D6D-D9FA-47CF-84A0-0EAFAA7F273E}"/>
    <cellStyle name="Normal 8 2 5 2 2 3" xfId="21825" xr:uid="{84F50BAE-8EBA-4E6D-821E-41BADA4BA0C1}"/>
    <cellStyle name="Normal 8 2 5 2 2 4" xfId="12526" xr:uid="{F3F787FF-96B0-4A2E-9AE7-5696950F9053}"/>
    <cellStyle name="Normal 8 2 5 2 3" xfId="5272" xr:uid="{00000000-0005-0000-0000-00000F1D0000}"/>
    <cellStyle name="Normal 8 2 5 2 3 2" xfId="23897" xr:uid="{8BDE53CF-E73F-4D9A-AD59-6C56125B459D}"/>
    <cellStyle name="Normal 8 2 5 2 3 3" xfId="14598" xr:uid="{44DF9C11-E9F4-40B7-8BE2-A0F452D777FB}"/>
    <cellStyle name="Normal 8 2 5 2 4" xfId="9395" xr:uid="{D5766EF3-6042-484F-B510-7448518CF571}"/>
    <cellStyle name="Normal 8 2 5 2 4 2" xfId="28009" xr:uid="{4E3BA758-90C3-4E95-84DD-93495EF6BD3D}"/>
    <cellStyle name="Normal 8 2 5 2 4 3" xfId="18710" xr:uid="{32468198-AB3D-4FA6-9A74-483BF50E0FE5}"/>
    <cellStyle name="Normal 8 2 5 2 5" xfId="19680" xr:uid="{318004FF-7672-4F32-85B6-CB2CC7D2DC78}"/>
    <cellStyle name="Normal 8 2 5 2 6" xfId="10381" xr:uid="{1293CD46-E2A6-480E-9E4A-3020EF7B5429}"/>
    <cellStyle name="Normal 8 2 5 3" xfId="1378" xr:uid="{00000000-0005-0000-0000-0000101D0000}"/>
    <cellStyle name="Normal 8 2 5 3 2" xfId="3608" xr:uid="{00000000-0005-0000-0000-0000111D0000}"/>
    <cellStyle name="Normal 8 2 5 3 2 2" xfId="7830" xr:uid="{00000000-0005-0000-0000-0000121D0000}"/>
    <cellStyle name="Normal 8 2 5 3 2 2 2" xfId="26455" xr:uid="{E8FFF2B2-F746-43E0-BEE5-1CB97D3F81FB}"/>
    <cellStyle name="Normal 8 2 5 3 2 2 3" xfId="17156" xr:uid="{63CCF2AC-85EE-4EE8-89E7-0F523A3B14E4}"/>
    <cellStyle name="Normal 8 2 5 3 2 3" xfId="22238" xr:uid="{97FA2DFA-71AE-4C44-A214-B62EFFDFFDF7}"/>
    <cellStyle name="Normal 8 2 5 3 2 4" xfId="12939" xr:uid="{07F33836-C305-4DB1-9FF1-BF2E8023F4D1}"/>
    <cellStyle name="Normal 8 2 5 3 3" xfId="5685" xr:uid="{00000000-0005-0000-0000-0000131D0000}"/>
    <cellStyle name="Normal 8 2 5 3 3 2" xfId="24310" xr:uid="{B8FACB36-545C-4744-B855-F3F47F5E5F28}"/>
    <cellStyle name="Normal 8 2 5 3 3 3" xfId="15011" xr:uid="{4275112D-C33F-407B-82AF-5349A0E9CF7A}"/>
    <cellStyle name="Normal 8 2 5 3 4" xfId="20093" xr:uid="{059AFA25-46CA-4B7C-999D-C90F523DFCA4}"/>
    <cellStyle name="Normal 8 2 5 3 5" xfId="10794" xr:uid="{7BB34EF6-B31B-4F9E-A470-D459A0F053BE}"/>
    <cellStyle name="Normal 8 2 5 4" xfId="1791" xr:uid="{00000000-0005-0000-0000-0000141D0000}"/>
    <cellStyle name="Normal 8 2 5 4 2" xfId="4021" xr:uid="{00000000-0005-0000-0000-0000151D0000}"/>
    <cellStyle name="Normal 8 2 5 4 2 2" xfId="8243" xr:uid="{00000000-0005-0000-0000-0000161D0000}"/>
    <cellStyle name="Normal 8 2 5 4 2 2 2" xfId="26868" xr:uid="{A27E8138-C713-48FB-8872-86F0E531E880}"/>
    <cellStyle name="Normal 8 2 5 4 2 2 3" xfId="17569" xr:uid="{D8372245-0FD0-437C-97E3-A1EEB89862C8}"/>
    <cellStyle name="Normal 8 2 5 4 2 3" xfId="22651" xr:uid="{ABB99B34-CF45-4466-BBF8-1E43391D0EF1}"/>
    <cellStyle name="Normal 8 2 5 4 2 4" xfId="13352" xr:uid="{447B3D60-A3CD-494F-A13A-5D035EA91CA3}"/>
    <cellStyle name="Normal 8 2 5 4 3" xfId="6098" xr:uid="{00000000-0005-0000-0000-0000171D0000}"/>
    <cellStyle name="Normal 8 2 5 4 3 2" xfId="24723" xr:uid="{7FAE3623-E4FB-46CF-9AAD-838CFF58DC8B}"/>
    <cellStyle name="Normal 8 2 5 4 3 3" xfId="15424" xr:uid="{9EB5BE9B-F382-4A97-9CEE-483E9C434164}"/>
    <cellStyle name="Normal 8 2 5 4 4" xfId="20506" xr:uid="{710483FF-5E5F-4325-9DE1-D7A0979E46C0}"/>
    <cellStyle name="Normal 8 2 5 4 5" xfId="11207" xr:uid="{D954948D-0AF1-4B63-BE1B-C5874400AA9F}"/>
    <cellStyle name="Normal 8 2 5 5" xfId="2205" xr:uid="{00000000-0005-0000-0000-0000181D0000}"/>
    <cellStyle name="Normal 8 2 5 5 2" xfId="4434" xr:uid="{00000000-0005-0000-0000-0000191D0000}"/>
    <cellStyle name="Normal 8 2 5 5 2 2" xfId="8656" xr:uid="{00000000-0005-0000-0000-00001A1D0000}"/>
    <cellStyle name="Normal 8 2 5 5 2 2 2" xfId="27281" xr:uid="{1BE1B4E0-992D-4CBA-B1A3-A5DF58230DEC}"/>
    <cellStyle name="Normal 8 2 5 5 2 2 3" xfId="17982" xr:uid="{451B535D-5622-4347-9450-4E9792F9193A}"/>
    <cellStyle name="Normal 8 2 5 5 2 3" xfId="23064" xr:uid="{C1805CC9-3F1A-4E78-9E63-2C71BCCD098F}"/>
    <cellStyle name="Normal 8 2 5 5 2 4" xfId="13765" xr:uid="{1C5092F8-9018-409A-9E1C-FAF214BF0685}"/>
    <cellStyle name="Normal 8 2 5 5 3" xfId="6511" xr:uid="{00000000-0005-0000-0000-00001B1D0000}"/>
    <cellStyle name="Normal 8 2 5 5 3 2" xfId="25136" xr:uid="{70396AA6-930B-4E50-9F37-9A3AD4CF2A27}"/>
    <cellStyle name="Normal 8 2 5 5 3 3" xfId="15837" xr:uid="{E12AA4DD-9987-41FF-B6E2-BBA02E55788D}"/>
    <cellStyle name="Normal 8 2 5 5 4" xfId="20919" xr:uid="{DA3FF992-8851-46B4-9252-E9A8B31541C4}"/>
    <cellStyle name="Normal 8 2 5 5 5" xfId="11620" xr:uid="{A0316270-97D8-4E32-ABD3-97C1653287AF}"/>
    <cellStyle name="Normal 8 2 5 6" xfId="2641" xr:uid="{00000000-0005-0000-0000-00001C1D0000}"/>
    <cellStyle name="Normal 8 2 5 6 2" xfId="6924" xr:uid="{00000000-0005-0000-0000-00001D1D0000}"/>
    <cellStyle name="Normal 8 2 5 6 2 2" xfId="25549" xr:uid="{5921E914-7169-451C-9E6F-757C6C5BF209}"/>
    <cellStyle name="Normal 8 2 5 6 2 3" xfId="16250" xr:uid="{491F0F0E-4247-4DE5-9A81-10364FD998E0}"/>
    <cellStyle name="Normal 8 2 5 6 3" xfId="21332" xr:uid="{E904B9BC-31D3-4713-A083-400A7784ECD8}"/>
    <cellStyle name="Normal 8 2 5 6 4" xfId="12033" xr:uid="{A8D40A1D-752C-4F44-AAE1-77459F671178}"/>
    <cellStyle name="Normal 8 2 5 7" xfId="4859" xr:uid="{00000000-0005-0000-0000-00001E1D0000}"/>
    <cellStyle name="Normal 8 2 5 7 2" xfId="23484" xr:uid="{A1E52BF9-3981-4999-9C94-A6C248A7B2A8}"/>
    <cellStyle name="Normal 8 2 5 7 3" xfId="14185" xr:uid="{02ABDFF7-A06B-4E08-863E-7DA8CAE77F39}"/>
    <cellStyle name="Normal 8 2 5 8" xfId="8970" xr:uid="{7E9ACEFF-1680-45D8-BC32-8CA9BA1D63D4}"/>
    <cellStyle name="Normal 8 2 5 8 2" xfId="27593" xr:uid="{6F1C4D6B-C0AF-4F8F-9DB8-6EA4D61A3218}"/>
    <cellStyle name="Normal 8 2 5 8 3" xfId="18294" xr:uid="{3BEF67D9-4CF6-465A-BF39-E3347D6E3024}"/>
    <cellStyle name="Normal 8 2 5 9" xfId="19267" xr:uid="{DEC129A7-7B94-4144-9625-C72C6F12D404}"/>
    <cellStyle name="Normal 8 2 6" xfId="946" xr:uid="{00000000-0005-0000-0000-00001F1D0000}"/>
    <cellStyle name="Normal 8 2 6 2" xfId="3180" xr:uid="{00000000-0005-0000-0000-0000201D0000}"/>
    <cellStyle name="Normal 8 2 6 2 2" xfId="7402" xr:uid="{00000000-0005-0000-0000-0000211D0000}"/>
    <cellStyle name="Normal 8 2 6 2 2 2" xfId="26027" xr:uid="{D4504FB8-A0DB-43F6-8F4E-F7F6D756A4D2}"/>
    <cellStyle name="Normal 8 2 6 2 2 3" xfId="16728" xr:uid="{EEFA5E96-DBDD-4709-8190-38E2B5862E55}"/>
    <cellStyle name="Normal 8 2 6 2 3" xfId="21810" xr:uid="{27012FEA-4585-47B6-B31A-08F0D4776559}"/>
    <cellStyle name="Normal 8 2 6 2 4" xfId="12511" xr:uid="{26FAAD7E-7FE7-4A79-AE1F-4405F689DC44}"/>
    <cellStyle name="Normal 8 2 6 3" xfId="5257" xr:uid="{00000000-0005-0000-0000-0000221D0000}"/>
    <cellStyle name="Normal 8 2 6 3 2" xfId="23882" xr:uid="{B0BC0EEA-F373-4A13-A23C-799F28B41536}"/>
    <cellStyle name="Normal 8 2 6 3 3" xfId="14583" xr:uid="{A320952E-EC63-4BBE-B643-9964B95C6A7A}"/>
    <cellStyle name="Normal 8 2 6 4" xfId="9173" xr:uid="{C36295B3-E6F0-4A6D-AEE5-72C8177C13EE}"/>
    <cellStyle name="Normal 8 2 6 4 2" xfId="27790" xr:uid="{C572A5FF-D362-418B-927F-8C63C894A961}"/>
    <cellStyle name="Normal 8 2 6 4 3" xfId="18491" xr:uid="{48A45AD5-BDE9-4D1A-87D7-C377EED83EB0}"/>
    <cellStyle name="Normal 8 2 6 5" xfId="19665" xr:uid="{6556163E-24B9-4AB8-8B6B-67CDEFB95434}"/>
    <cellStyle name="Normal 8 2 6 6" xfId="10366" xr:uid="{79833519-B673-49D4-A755-66772352E2DB}"/>
    <cellStyle name="Normal 8 2 7" xfId="1363" xr:uid="{00000000-0005-0000-0000-0000231D0000}"/>
    <cellStyle name="Normal 8 2 7 2" xfId="3593" xr:uid="{00000000-0005-0000-0000-0000241D0000}"/>
    <cellStyle name="Normal 8 2 7 2 2" xfId="7815" xr:uid="{00000000-0005-0000-0000-0000251D0000}"/>
    <cellStyle name="Normal 8 2 7 2 2 2" xfId="26440" xr:uid="{60AB9E26-F6FC-4979-8576-B07E85B3CEB9}"/>
    <cellStyle name="Normal 8 2 7 2 2 3" xfId="17141" xr:uid="{D84D7B28-B604-4944-8A6B-128962619A62}"/>
    <cellStyle name="Normal 8 2 7 2 3" xfId="22223" xr:uid="{CDD05137-3A48-438B-923C-36026859EB52}"/>
    <cellStyle name="Normal 8 2 7 2 4" xfId="12924" xr:uid="{6D90AF7D-8C55-4A37-8A39-48BF7F215372}"/>
    <cellStyle name="Normal 8 2 7 3" xfId="5670" xr:uid="{00000000-0005-0000-0000-0000261D0000}"/>
    <cellStyle name="Normal 8 2 7 3 2" xfId="24295" xr:uid="{31F9303E-13AD-4731-8DAF-93CEA6BE1337}"/>
    <cellStyle name="Normal 8 2 7 3 3" xfId="14996" xr:uid="{9F2C9FA9-C6B7-4A13-9E50-12386FBEA6BD}"/>
    <cellStyle name="Normal 8 2 7 4" xfId="20078" xr:uid="{996B5F1E-FC10-4242-8587-8CD02DFBA8CF}"/>
    <cellStyle name="Normal 8 2 7 5" xfId="10779" xr:uid="{BB0D70CA-CECA-4C4E-9F42-3C53CDBD1BD4}"/>
    <cellStyle name="Normal 8 2 8" xfId="1776" xr:uid="{00000000-0005-0000-0000-0000271D0000}"/>
    <cellStyle name="Normal 8 2 8 2" xfId="4006" xr:uid="{00000000-0005-0000-0000-0000281D0000}"/>
    <cellStyle name="Normal 8 2 8 2 2" xfId="8228" xr:uid="{00000000-0005-0000-0000-0000291D0000}"/>
    <cellStyle name="Normal 8 2 8 2 2 2" xfId="26853" xr:uid="{729E4E57-1CC1-4669-AF34-D14C0A78AFAA}"/>
    <cellStyle name="Normal 8 2 8 2 2 3" xfId="17554" xr:uid="{ED369B84-851E-48FE-AB97-4C487552AA87}"/>
    <cellStyle name="Normal 8 2 8 2 3" xfId="22636" xr:uid="{EC7182DA-6536-4E08-B800-C5B3C0D6F5E9}"/>
    <cellStyle name="Normal 8 2 8 2 4" xfId="13337" xr:uid="{A35D0E4D-94DA-4C8C-B812-03689B98949C}"/>
    <cellStyle name="Normal 8 2 8 3" xfId="6083" xr:uid="{00000000-0005-0000-0000-00002A1D0000}"/>
    <cellStyle name="Normal 8 2 8 3 2" xfId="24708" xr:uid="{6E3458B2-2989-4C9B-B7A1-8AB71A98938B}"/>
    <cellStyle name="Normal 8 2 8 3 3" xfId="15409" xr:uid="{B09E346F-A408-496E-BC1A-79BF4BDB1899}"/>
    <cellStyle name="Normal 8 2 8 4" xfId="20491" xr:uid="{8F8E9B83-AB2B-4F59-B86E-D47705B24F5E}"/>
    <cellStyle name="Normal 8 2 8 5" xfId="11192" xr:uid="{CADC1988-158F-4389-9FD6-B6E2C9269F5B}"/>
    <cellStyle name="Normal 8 2 9" xfId="2190" xr:uid="{00000000-0005-0000-0000-00002B1D0000}"/>
    <cellStyle name="Normal 8 2 9 2" xfId="4419" xr:uid="{00000000-0005-0000-0000-00002C1D0000}"/>
    <cellStyle name="Normal 8 2 9 2 2" xfId="8641" xr:uid="{00000000-0005-0000-0000-00002D1D0000}"/>
    <cellStyle name="Normal 8 2 9 2 2 2" xfId="27266" xr:uid="{5F1F33DD-ACFD-4616-A1C1-49BD34F8FA5D}"/>
    <cellStyle name="Normal 8 2 9 2 2 3" xfId="17967" xr:uid="{FE275FAD-7215-4A21-9B55-250C0369897C}"/>
    <cellStyle name="Normal 8 2 9 2 3" xfId="23049" xr:uid="{ABADCB7B-3EAF-4CAE-A2BE-EC91C344D542}"/>
    <cellStyle name="Normal 8 2 9 2 4" xfId="13750" xr:uid="{07F6762B-AE71-4FF5-99A8-75C0E1B4068B}"/>
    <cellStyle name="Normal 8 2 9 3" xfId="6496" xr:uid="{00000000-0005-0000-0000-00002E1D0000}"/>
    <cellStyle name="Normal 8 2 9 3 2" xfId="25121" xr:uid="{A06E9676-7895-427D-ADDB-6AACC6C03F4F}"/>
    <cellStyle name="Normal 8 2 9 3 3" xfId="15822" xr:uid="{37A21432-C9F3-4362-B5B2-FDF7B4DCAF08}"/>
    <cellStyle name="Normal 8 2 9 4" xfId="20904" xr:uid="{6238F188-79C9-4C2B-B35F-75BCDE886507}"/>
    <cellStyle name="Normal 8 2 9 5" xfId="11605" xr:uid="{6128EF1F-8CED-4FD7-8163-98252F6EA139}"/>
    <cellStyle name="Normal 8 3" xfId="495" xr:uid="{00000000-0005-0000-0000-00002F1D0000}"/>
    <cellStyle name="Normal 8 3 10" xfId="4860" xr:uid="{00000000-0005-0000-0000-0000301D0000}"/>
    <cellStyle name="Normal 8 3 10 2" xfId="23485" xr:uid="{CA2C99A3-A44B-4ADE-B6D9-129607604B6B}"/>
    <cellStyle name="Normal 8 3 10 3" xfId="14186" xr:uid="{D5B3E27A-5F6E-4CDA-8EEF-9F91B36EFD20}"/>
    <cellStyle name="Normal 8 3 11" xfId="8774" xr:uid="{81BDDADD-940D-4F3A-BD6C-7E4719C8A3D2}"/>
    <cellStyle name="Normal 8 3 11 2" xfId="27397" xr:uid="{FF85D552-AC46-4D20-8CD5-C355772AC2AA}"/>
    <cellStyle name="Normal 8 3 11 3" xfId="18098" xr:uid="{FDD1B0CB-B128-4EFC-A325-63F515EC0FCA}"/>
    <cellStyle name="Normal 8 3 12" xfId="19268" xr:uid="{3749F337-8C34-42C3-AEAC-E692CDE71348}"/>
    <cellStyle name="Normal 8 3 13" xfId="9969" xr:uid="{F8CF1291-A1F5-4A2F-A902-4BDEF25544DF}"/>
    <cellStyle name="Normal 8 3 2" xfId="496" xr:uid="{00000000-0005-0000-0000-0000311D0000}"/>
    <cellStyle name="Normal 8 3 2 10" xfId="8837" xr:uid="{392842AA-84B1-4A71-AE94-A1B631487B7E}"/>
    <cellStyle name="Normal 8 3 2 10 2" xfId="27460" xr:uid="{5D34A170-5C5A-422C-A05D-775B1D12321E}"/>
    <cellStyle name="Normal 8 3 2 10 3" xfId="18161" xr:uid="{1E8430A6-88C9-48C7-82C6-35CE90AE03C2}"/>
    <cellStyle name="Normal 8 3 2 11" xfId="19269" xr:uid="{DEA1563A-4648-4C02-92D5-FEECE2D632CC}"/>
    <cellStyle name="Normal 8 3 2 12" xfId="9970" xr:uid="{1F32B99A-3CC6-4733-BD69-B7967E545DA1}"/>
    <cellStyle name="Normal 8 3 2 2" xfId="497" xr:uid="{00000000-0005-0000-0000-0000321D0000}"/>
    <cellStyle name="Normal 8 3 2 2 10" xfId="19270" xr:uid="{4D384F7A-8075-478A-B69D-A64444E02F24}"/>
    <cellStyle name="Normal 8 3 2 2 11" xfId="9971" xr:uid="{0DA96126-0A07-47FF-9E0B-7BA35E24AF40}"/>
    <cellStyle name="Normal 8 3 2 2 2" xfId="498" xr:uid="{00000000-0005-0000-0000-0000331D0000}"/>
    <cellStyle name="Normal 8 3 2 2 2 10" xfId="9972" xr:uid="{429673E6-E5AA-4B36-BEB6-02DB1C36533D}"/>
    <cellStyle name="Normal 8 3 2 2 2 2" xfId="965" xr:uid="{00000000-0005-0000-0000-0000341D0000}"/>
    <cellStyle name="Normal 8 3 2 2 2 2 2" xfId="3199" xr:uid="{00000000-0005-0000-0000-0000351D0000}"/>
    <cellStyle name="Normal 8 3 2 2 2 2 2 2" xfId="7421" xr:uid="{00000000-0005-0000-0000-0000361D0000}"/>
    <cellStyle name="Normal 8 3 2 2 2 2 2 2 2" xfId="26046" xr:uid="{A6E3717F-446C-4B9F-B1C6-9EEB6878D022}"/>
    <cellStyle name="Normal 8 3 2 2 2 2 2 2 3" xfId="16747" xr:uid="{A060D598-B765-47FA-ACF7-948D9459E1E4}"/>
    <cellStyle name="Normal 8 3 2 2 2 2 2 3" xfId="21829" xr:uid="{BE9F7905-D801-46CC-B814-FA63368756B4}"/>
    <cellStyle name="Normal 8 3 2 2 2 2 2 4" xfId="12530" xr:uid="{151E7923-3F95-4E39-A036-F271B7064CFC}"/>
    <cellStyle name="Normal 8 3 2 2 2 2 3" xfId="5276" xr:uid="{00000000-0005-0000-0000-0000371D0000}"/>
    <cellStyle name="Normal 8 3 2 2 2 2 3 2" xfId="23901" xr:uid="{77821915-18D2-4F5A-B5A8-12FB559A1A88}"/>
    <cellStyle name="Normal 8 3 2 2 2 2 3 3" xfId="14602" xr:uid="{D3F11683-E08C-4430-9FA6-569FD7746E9A}"/>
    <cellStyle name="Normal 8 3 2 2 2 2 4" xfId="9572" xr:uid="{83269435-2305-4677-BD8B-8CB801DC108A}"/>
    <cellStyle name="Normal 8 3 2 2 2 2 4 2" xfId="28186" xr:uid="{1A7B0F89-C6D5-46D4-BFC8-3D781A47209F}"/>
    <cellStyle name="Normal 8 3 2 2 2 2 4 3" xfId="18887" xr:uid="{FD0773AA-5BA0-4084-AE63-AF5CB1E5D092}"/>
    <cellStyle name="Normal 8 3 2 2 2 2 5" xfId="19684" xr:uid="{239E725F-628C-43F1-BA87-FF0CA482E272}"/>
    <cellStyle name="Normal 8 3 2 2 2 2 6" xfId="10385" xr:uid="{C0C0F554-3D97-42DA-838F-40C6B00E5919}"/>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2 2 2" xfId="26459" xr:uid="{CD6A8070-F150-46D0-A9F0-503BBD080CAB}"/>
    <cellStyle name="Normal 8 3 2 2 2 3 2 2 3" xfId="17160" xr:uid="{9DEEEAE6-085B-4D21-9AEC-7B0F31E1DEFA}"/>
    <cellStyle name="Normal 8 3 2 2 2 3 2 3" xfId="22242" xr:uid="{875E83BE-2772-4528-B4C1-BDD2E32309D6}"/>
    <cellStyle name="Normal 8 3 2 2 2 3 2 4" xfId="12943" xr:uid="{AE28B8BE-A157-4E14-8DE6-D05C4AD42469}"/>
    <cellStyle name="Normal 8 3 2 2 2 3 3" xfId="5689" xr:uid="{00000000-0005-0000-0000-00003B1D0000}"/>
    <cellStyle name="Normal 8 3 2 2 2 3 3 2" xfId="24314" xr:uid="{B391ED7C-2B97-445E-B076-D37C55697B76}"/>
    <cellStyle name="Normal 8 3 2 2 2 3 3 3" xfId="15015" xr:uid="{41CD8D97-CB0E-4F1A-BF53-FF11B4B1B341}"/>
    <cellStyle name="Normal 8 3 2 2 2 3 4" xfId="20097" xr:uid="{414B72C6-237A-4281-9F8F-69B49B5E500E}"/>
    <cellStyle name="Normal 8 3 2 2 2 3 5" xfId="10798" xr:uid="{FF06FC73-C9D8-47D8-8004-414DBBA7B228}"/>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2 2 2" xfId="26872" xr:uid="{31203E0C-1FDF-46C2-A5F0-4856D02E1534}"/>
    <cellStyle name="Normal 8 3 2 2 2 4 2 2 3" xfId="17573" xr:uid="{0AA2C2AE-4CEA-4312-A675-71B051AF08EE}"/>
    <cellStyle name="Normal 8 3 2 2 2 4 2 3" xfId="22655" xr:uid="{631C09C2-DFCC-4959-8EF1-5B1822FD8853}"/>
    <cellStyle name="Normal 8 3 2 2 2 4 2 4" xfId="13356" xr:uid="{DD35894B-B290-4F18-B4A0-E67C14884DE4}"/>
    <cellStyle name="Normal 8 3 2 2 2 4 3" xfId="6102" xr:uid="{00000000-0005-0000-0000-00003F1D0000}"/>
    <cellStyle name="Normal 8 3 2 2 2 4 3 2" xfId="24727" xr:uid="{E7922115-4E1E-4511-ADA7-68437CF80344}"/>
    <cellStyle name="Normal 8 3 2 2 2 4 3 3" xfId="15428" xr:uid="{1C4A32DB-04DE-4235-B29A-575DC1EDE055}"/>
    <cellStyle name="Normal 8 3 2 2 2 4 4" xfId="20510" xr:uid="{B37790F1-55D1-4752-924C-44924158BF0E}"/>
    <cellStyle name="Normal 8 3 2 2 2 4 5" xfId="11211" xr:uid="{5E698E59-DE72-48C6-9440-9992C41B4D6F}"/>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2 2 2" xfId="27285" xr:uid="{D1D623B7-94E5-447E-99B4-B63FC22B4603}"/>
    <cellStyle name="Normal 8 3 2 2 2 5 2 2 3" xfId="17986" xr:uid="{455FD020-4B31-43EF-B0D1-879FAF3C407F}"/>
    <cellStyle name="Normal 8 3 2 2 2 5 2 3" xfId="23068" xr:uid="{F38F07CA-CB5D-4A48-94D8-158105ED7618}"/>
    <cellStyle name="Normal 8 3 2 2 2 5 2 4" xfId="13769" xr:uid="{A5B4BD1A-4C53-42FF-A5E0-597CDD177465}"/>
    <cellStyle name="Normal 8 3 2 2 2 5 3" xfId="6515" xr:uid="{00000000-0005-0000-0000-0000431D0000}"/>
    <cellStyle name="Normal 8 3 2 2 2 5 3 2" xfId="25140" xr:uid="{28CE6A95-C908-4F1A-A519-6846ECB08683}"/>
    <cellStyle name="Normal 8 3 2 2 2 5 3 3" xfId="15841" xr:uid="{EDA3FF26-3906-4ED7-AFAC-328110419990}"/>
    <cellStyle name="Normal 8 3 2 2 2 5 4" xfId="20923" xr:uid="{C568AE8B-8579-49A8-8963-C4D0F6D2F63B}"/>
    <cellStyle name="Normal 8 3 2 2 2 5 5" xfId="11624" xr:uid="{5D7C5367-AB6D-46A3-9D09-B6BEA7C9E3D8}"/>
    <cellStyle name="Normal 8 3 2 2 2 6" xfId="2645" xr:uid="{00000000-0005-0000-0000-0000441D0000}"/>
    <cellStyle name="Normal 8 3 2 2 2 6 2" xfId="6928" xr:uid="{00000000-0005-0000-0000-0000451D0000}"/>
    <cellStyle name="Normal 8 3 2 2 2 6 2 2" xfId="25553" xr:uid="{6C26FE7B-8612-4328-82B6-959496529A31}"/>
    <cellStyle name="Normal 8 3 2 2 2 6 2 3" xfId="16254" xr:uid="{149FE251-0EDD-44F6-B36F-6A8A11630FD9}"/>
    <cellStyle name="Normal 8 3 2 2 2 6 3" xfId="21336" xr:uid="{54AA09E0-0DC0-4B24-82A8-F8DA0B5D7BA3}"/>
    <cellStyle name="Normal 8 3 2 2 2 6 4" xfId="12037" xr:uid="{7AE8A41C-AB18-4FF4-A847-78A0B3507A89}"/>
    <cellStyle name="Normal 8 3 2 2 2 7" xfId="4863" xr:uid="{00000000-0005-0000-0000-0000461D0000}"/>
    <cellStyle name="Normal 8 3 2 2 2 7 2" xfId="23488" xr:uid="{4F85841F-481A-4BAD-AC02-8A1520ACECB8}"/>
    <cellStyle name="Normal 8 3 2 2 2 7 3" xfId="14189" xr:uid="{0936EB4D-8A82-4B0B-9673-4A6D1B62F861}"/>
    <cellStyle name="Normal 8 3 2 2 2 8" xfId="9147" xr:uid="{16780743-13F5-44BF-919B-157B86988913}"/>
    <cellStyle name="Normal 8 3 2 2 2 8 2" xfId="27770" xr:uid="{C64C74C1-4E97-4722-8AEC-FE91322F461F}"/>
    <cellStyle name="Normal 8 3 2 2 2 8 3" xfId="18471" xr:uid="{3DCA8EB5-EEDC-4739-AB36-13763C1A9140}"/>
    <cellStyle name="Normal 8 3 2 2 2 9" xfId="19271" xr:uid="{2F98D3CC-1032-4A70-ADB4-8B65E83E0961}"/>
    <cellStyle name="Normal 8 3 2 2 3" xfId="964" xr:uid="{00000000-0005-0000-0000-0000471D0000}"/>
    <cellStyle name="Normal 8 3 2 2 3 2" xfId="3198" xr:uid="{00000000-0005-0000-0000-0000481D0000}"/>
    <cellStyle name="Normal 8 3 2 2 3 2 2" xfId="7420" xr:uid="{00000000-0005-0000-0000-0000491D0000}"/>
    <cellStyle name="Normal 8 3 2 2 3 2 2 2" xfId="26045" xr:uid="{00261517-5A17-44AD-BA9D-C92AA7D7F480}"/>
    <cellStyle name="Normal 8 3 2 2 3 2 2 3" xfId="16746" xr:uid="{803296B7-690F-4B13-A975-500AC7D50274}"/>
    <cellStyle name="Normal 8 3 2 2 3 2 3" xfId="21828" xr:uid="{0BCAFBA6-9B48-4DF7-B25C-DFE4E27E2454}"/>
    <cellStyle name="Normal 8 3 2 2 3 2 4" xfId="12529" xr:uid="{BA32277F-694D-414B-B23F-4AAF23372244}"/>
    <cellStyle name="Normal 8 3 2 2 3 3" xfId="5275" xr:uid="{00000000-0005-0000-0000-00004A1D0000}"/>
    <cellStyle name="Normal 8 3 2 2 3 3 2" xfId="23900" xr:uid="{7F5C395A-9909-4468-A1C1-FF277DB49F47}"/>
    <cellStyle name="Normal 8 3 2 2 3 3 3" xfId="14601" xr:uid="{98EDB946-B40B-4DB1-B857-3D98EF063A0D}"/>
    <cellStyle name="Normal 8 3 2 2 3 4" xfId="9365" xr:uid="{47FF7C14-7484-41B9-856F-11398F7B2C7C}"/>
    <cellStyle name="Normal 8 3 2 2 3 4 2" xfId="27979" xr:uid="{BBEA6910-C61E-45A2-BB94-5CBE36FE661F}"/>
    <cellStyle name="Normal 8 3 2 2 3 4 3" xfId="18680" xr:uid="{D78B5E4A-0F73-4267-9914-3BC3EAE20440}"/>
    <cellStyle name="Normal 8 3 2 2 3 5" xfId="19683" xr:uid="{176CEF5B-A1CB-49A5-BFD1-828B32093A5D}"/>
    <cellStyle name="Normal 8 3 2 2 3 6" xfId="10384" xr:uid="{6E2F5D04-37F4-43F3-A559-C833ECBD2E48}"/>
    <cellStyle name="Normal 8 3 2 2 4" xfId="1381" xr:uid="{00000000-0005-0000-0000-00004B1D0000}"/>
    <cellStyle name="Normal 8 3 2 2 4 2" xfId="3611" xr:uid="{00000000-0005-0000-0000-00004C1D0000}"/>
    <cellStyle name="Normal 8 3 2 2 4 2 2" xfId="7833" xr:uid="{00000000-0005-0000-0000-00004D1D0000}"/>
    <cellStyle name="Normal 8 3 2 2 4 2 2 2" xfId="26458" xr:uid="{E7C70110-C416-47DF-8F0A-34737D05FC45}"/>
    <cellStyle name="Normal 8 3 2 2 4 2 2 3" xfId="17159" xr:uid="{558299D0-B20F-4B37-9EE6-7C0328E6720D}"/>
    <cellStyle name="Normal 8 3 2 2 4 2 3" xfId="22241" xr:uid="{8A62CBCF-1B82-4C5D-82DE-675621F8ECEB}"/>
    <cellStyle name="Normal 8 3 2 2 4 2 4" xfId="12942" xr:uid="{D7CDBBB7-9E97-431E-A5AD-02EB18970E20}"/>
    <cellStyle name="Normal 8 3 2 2 4 3" xfId="5688" xr:uid="{00000000-0005-0000-0000-00004E1D0000}"/>
    <cellStyle name="Normal 8 3 2 2 4 3 2" xfId="24313" xr:uid="{A2B81DCC-FA6D-4E51-BE5E-8B3E6F79250B}"/>
    <cellStyle name="Normal 8 3 2 2 4 3 3" xfId="15014" xr:uid="{E0AA9193-5199-472A-9859-7106649140C8}"/>
    <cellStyle name="Normal 8 3 2 2 4 4" xfId="20096" xr:uid="{C6402567-4ADB-4696-8B82-F3BF50ADC6AC}"/>
    <cellStyle name="Normal 8 3 2 2 4 5" xfId="10797" xr:uid="{ACE3BED4-A5C8-4B96-81FA-F91E89953ECB}"/>
    <cellStyle name="Normal 8 3 2 2 5" xfId="1794" xr:uid="{00000000-0005-0000-0000-00004F1D0000}"/>
    <cellStyle name="Normal 8 3 2 2 5 2" xfId="4024" xr:uid="{00000000-0005-0000-0000-0000501D0000}"/>
    <cellStyle name="Normal 8 3 2 2 5 2 2" xfId="8246" xr:uid="{00000000-0005-0000-0000-0000511D0000}"/>
    <cellStyle name="Normal 8 3 2 2 5 2 2 2" xfId="26871" xr:uid="{99915238-EBE7-4AFA-9D40-EE799C9695C1}"/>
    <cellStyle name="Normal 8 3 2 2 5 2 2 3" xfId="17572" xr:uid="{27AE7CCE-1D2F-40E9-9352-214EF031D4F3}"/>
    <cellStyle name="Normal 8 3 2 2 5 2 3" xfId="22654" xr:uid="{2DD6CB7E-1D63-4EB0-A554-98D290E8C5A3}"/>
    <cellStyle name="Normal 8 3 2 2 5 2 4" xfId="13355" xr:uid="{E286959B-C7A8-43F8-BD47-854D005634C2}"/>
    <cellStyle name="Normal 8 3 2 2 5 3" xfId="6101" xr:uid="{00000000-0005-0000-0000-0000521D0000}"/>
    <cellStyle name="Normal 8 3 2 2 5 3 2" xfId="24726" xr:uid="{552DE621-F9C8-44AA-A8E1-31BBE58B952F}"/>
    <cellStyle name="Normal 8 3 2 2 5 3 3" xfId="15427" xr:uid="{987519B3-3FAC-49BB-8AD3-2418095C1E24}"/>
    <cellStyle name="Normal 8 3 2 2 5 4" xfId="20509" xr:uid="{15F0A832-5668-4FCF-9C34-69EDD0C519C1}"/>
    <cellStyle name="Normal 8 3 2 2 5 5" xfId="11210" xr:uid="{E96722FF-337D-4443-87D1-901A3437EAF9}"/>
    <cellStyle name="Normal 8 3 2 2 6" xfId="2208" xr:uid="{00000000-0005-0000-0000-0000531D0000}"/>
    <cellStyle name="Normal 8 3 2 2 6 2" xfId="4437" xr:uid="{00000000-0005-0000-0000-0000541D0000}"/>
    <cellStyle name="Normal 8 3 2 2 6 2 2" xfId="8659" xr:uid="{00000000-0005-0000-0000-0000551D0000}"/>
    <cellStyle name="Normal 8 3 2 2 6 2 2 2" xfId="27284" xr:uid="{7032E1E8-54A2-4F19-B62C-AB7E327643F2}"/>
    <cellStyle name="Normal 8 3 2 2 6 2 2 3" xfId="17985" xr:uid="{637C3E2E-A80A-4B18-83F5-E7DCCAA4BDA9}"/>
    <cellStyle name="Normal 8 3 2 2 6 2 3" xfId="23067" xr:uid="{440CFCE1-08A9-418C-97DA-6E6C6D3CBFC9}"/>
    <cellStyle name="Normal 8 3 2 2 6 2 4" xfId="13768" xr:uid="{F94F863C-35BC-4B43-A259-4FEE1532DDC0}"/>
    <cellStyle name="Normal 8 3 2 2 6 3" xfId="6514" xr:uid="{00000000-0005-0000-0000-0000561D0000}"/>
    <cellStyle name="Normal 8 3 2 2 6 3 2" xfId="25139" xr:uid="{72B4318A-63E6-4572-880F-4A6560E2A41A}"/>
    <cellStyle name="Normal 8 3 2 2 6 3 3" xfId="15840" xr:uid="{73233838-CA5B-4DB0-84F6-01648B2171A4}"/>
    <cellStyle name="Normal 8 3 2 2 6 4" xfId="20922" xr:uid="{83E6BD27-7DCC-4BDE-874B-2718B560EE5A}"/>
    <cellStyle name="Normal 8 3 2 2 6 5" xfId="11623" xr:uid="{1C6CACDD-7F07-476B-89A7-B1950801F35F}"/>
    <cellStyle name="Normal 8 3 2 2 7" xfId="2644" xr:uid="{00000000-0005-0000-0000-0000571D0000}"/>
    <cellStyle name="Normal 8 3 2 2 7 2" xfId="6927" xr:uid="{00000000-0005-0000-0000-0000581D0000}"/>
    <cellStyle name="Normal 8 3 2 2 7 2 2" xfId="25552" xr:uid="{ACE0EAF0-6470-404A-BDD3-169C79E006D5}"/>
    <cellStyle name="Normal 8 3 2 2 7 2 3" xfId="16253" xr:uid="{3CCD8A69-4D62-43BD-8BB9-4097824AA2C4}"/>
    <cellStyle name="Normal 8 3 2 2 7 3" xfId="21335" xr:uid="{1D987F73-0BBE-46CE-83E4-C9BBF14DB06E}"/>
    <cellStyle name="Normal 8 3 2 2 7 4" xfId="12036" xr:uid="{8965474F-72F0-4325-9AD3-C5A97BDEC355}"/>
    <cellStyle name="Normal 8 3 2 2 8" xfId="4862" xr:uid="{00000000-0005-0000-0000-0000591D0000}"/>
    <cellStyle name="Normal 8 3 2 2 8 2" xfId="23487" xr:uid="{99F2A593-B35E-4AAF-8ED3-FF4E59717FE6}"/>
    <cellStyle name="Normal 8 3 2 2 8 3" xfId="14188" xr:uid="{95B3BD7A-78E7-4419-8A09-583ED3CFFCFE}"/>
    <cellStyle name="Normal 8 3 2 2 9" xfId="8940" xr:uid="{63944EF0-E10A-4406-A758-3BD135650136}"/>
    <cellStyle name="Normal 8 3 2 2 9 2" xfId="27563" xr:uid="{FF6BF8A9-E209-475E-8330-E116190E7913}"/>
    <cellStyle name="Normal 8 3 2 2 9 3" xfId="18264" xr:uid="{7C9C1932-D1BC-4EBB-99A0-12A120057CD1}"/>
    <cellStyle name="Normal 8 3 2 3" xfId="499" xr:uid="{00000000-0005-0000-0000-00005A1D0000}"/>
    <cellStyle name="Normal 8 3 2 3 10" xfId="9973" xr:uid="{209BF317-7260-41B0-B3AD-B6D0661F2474}"/>
    <cellStyle name="Normal 8 3 2 3 2" xfId="966" xr:uid="{00000000-0005-0000-0000-00005B1D0000}"/>
    <cellStyle name="Normal 8 3 2 3 2 2" xfId="3200" xr:uid="{00000000-0005-0000-0000-00005C1D0000}"/>
    <cellStyle name="Normal 8 3 2 3 2 2 2" xfId="7422" xr:uid="{00000000-0005-0000-0000-00005D1D0000}"/>
    <cellStyle name="Normal 8 3 2 3 2 2 2 2" xfId="26047" xr:uid="{D63CC66F-AFF7-4A0E-9056-EF5B2318EFC4}"/>
    <cellStyle name="Normal 8 3 2 3 2 2 2 3" xfId="16748" xr:uid="{F23AA4D8-FB6A-4D95-AD93-A707D1CDBCE8}"/>
    <cellStyle name="Normal 8 3 2 3 2 2 3" xfId="21830" xr:uid="{638FD0B6-C976-4E83-8C92-2A95BB469519}"/>
    <cellStyle name="Normal 8 3 2 3 2 2 4" xfId="12531" xr:uid="{5FD3FED1-FE06-4468-996E-CB12D084BBFC}"/>
    <cellStyle name="Normal 8 3 2 3 2 3" xfId="5277" xr:uid="{00000000-0005-0000-0000-00005E1D0000}"/>
    <cellStyle name="Normal 8 3 2 3 2 3 2" xfId="23902" xr:uid="{72D2C3B5-E16B-4C3F-839D-E1E70C455C93}"/>
    <cellStyle name="Normal 8 3 2 3 2 3 3" xfId="14603" xr:uid="{24D64201-610E-4958-8AB5-4FA3B777CDD8}"/>
    <cellStyle name="Normal 8 3 2 3 2 4" xfId="9469" xr:uid="{7CA6C380-A6E9-4AF4-A29A-E40C8E9B5B5F}"/>
    <cellStyle name="Normal 8 3 2 3 2 4 2" xfId="28083" xr:uid="{1C766FD9-C337-49B1-A759-8D7F520E68BF}"/>
    <cellStyle name="Normal 8 3 2 3 2 4 3" xfId="18784" xr:uid="{62F4431E-91A0-4ACE-BBB4-5F367FE3D6D4}"/>
    <cellStyle name="Normal 8 3 2 3 2 5" xfId="19685" xr:uid="{3B61C2F2-1103-406A-A258-CF06129C0E8D}"/>
    <cellStyle name="Normal 8 3 2 3 2 6" xfId="10386" xr:uid="{8BE5CCA4-3A93-496A-82B5-E3CE8D8348D2}"/>
    <cellStyle name="Normal 8 3 2 3 3" xfId="1383" xr:uid="{00000000-0005-0000-0000-00005F1D0000}"/>
    <cellStyle name="Normal 8 3 2 3 3 2" xfId="3613" xr:uid="{00000000-0005-0000-0000-0000601D0000}"/>
    <cellStyle name="Normal 8 3 2 3 3 2 2" xfId="7835" xr:uid="{00000000-0005-0000-0000-0000611D0000}"/>
    <cellStyle name="Normal 8 3 2 3 3 2 2 2" xfId="26460" xr:uid="{B0012E95-1791-4C12-ACD1-AC3BEB805694}"/>
    <cellStyle name="Normal 8 3 2 3 3 2 2 3" xfId="17161" xr:uid="{AA1331D9-9409-44DF-AC5B-CE211B2868E6}"/>
    <cellStyle name="Normal 8 3 2 3 3 2 3" xfId="22243" xr:uid="{1D82D40F-D607-44D2-B7FF-F5EFFC7472B5}"/>
    <cellStyle name="Normal 8 3 2 3 3 2 4" xfId="12944" xr:uid="{F9D92066-ED9E-4444-8E15-9FC32EA2CA50}"/>
    <cellStyle name="Normal 8 3 2 3 3 3" xfId="5690" xr:uid="{00000000-0005-0000-0000-0000621D0000}"/>
    <cellStyle name="Normal 8 3 2 3 3 3 2" xfId="24315" xr:uid="{F3C06E03-66B7-4F03-A46A-22E05278FE07}"/>
    <cellStyle name="Normal 8 3 2 3 3 3 3" xfId="15016" xr:uid="{CF1682E4-DCEB-43DA-9372-58A46B637A5D}"/>
    <cellStyle name="Normal 8 3 2 3 3 4" xfId="20098" xr:uid="{F11D790A-FBFA-46BE-AF85-590DAADF011B}"/>
    <cellStyle name="Normal 8 3 2 3 3 5" xfId="10799" xr:uid="{666275E8-AF4A-49CF-98D8-7C0171A3D1A4}"/>
    <cellStyle name="Normal 8 3 2 3 4" xfId="1796" xr:uid="{00000000-0005-0000-0000-0000631D0000}"/>
    <cellStyle name="Normal 8 3 2 3 4 2" xfId="4026" xr:uid="{00000000-0005-0000-0000-0000641D0000}"/>
    <cellStyle name="Normal 8 3 2 3 4 2 2" xfId="8248" xr:uid="{00000000-0005-0000-0000-0000651D0000}"/>
    <cellStyle name="Normal 8 3 2 3 4 2 2 2" xfId="26873" xr:uid="{FB4920DA-94F8-484A-BA6A-DA8338ABFEAE}"/>
    <cellStyle name="Normal 8 3 2 3 4 2 2 3" xfId="17574" xr:uid="{122A446B-E683-4107-8D3C-9CA8A39C5E61}"/>
    <cellStyle name="Normal 8 3 2 3 4 2 3" xfId="22656" xr:uid="{C0DDBCAA-A0E5-4F13-B797-06487F31E827}"/>
    <cellStyle name="Normal 8 3 2 3 4 2 4" xfId="13357" xr:uid="{EDF7B642-0AD1-4BBB-A8FB-A950042EE9A8}"/>
    <cellStyle name="Normal 8 3 2 3 4 3" xfId="6103" xr:uid="{00000000-0005-0000-0000-0000661D0000}"/>
    <cellStyle name="Normal 8 3 2 3 4 3 2" xfId="24728" xr:uid="{FF99B7A3-F3C3-4CA5-B0A6-642C48058A6E}"/>
    <cellStyle name="Normal 8 3 2 3 4 3 3" xfId="15429" xr:uid="{653C1C66-447D-4016-AD75-F16949B61945}"/>
    <cellStyle name="Normal 8 3 2 3 4 4" xfId="20511" xr:uid="{726CB5F2-9D5D-4D12-BBB0-2EDBFBB92067}"/>
    <cellStyle name="Normal 8 3 2 3 4 5" xfId="11212" xr:uid="{E05C76D6-B74A-4958-BE1A-6BBA5ADEB802}"/>
    <cellStyle name="Normal 8 3 2 3 5" xfId="2210" xr:uid="{00000000-0005-0000-0000-0000671D0000}"/>
    <cellStyle name="Normal 8 3 2 3 5 2" xfId="4439" xr:uid="{00000000-0005-0000-0000-0000681D0000}"/>
    <cellStyle name="Normal 8 3 2 3 5 2 2" xfId="8661" xr:uid="{00000000-0005-0000-0000-0000691D0000}"/>
    <cellStyle name="Normal 8 3 2 3 5 2 2 2" xfId="27286" xr:uid="{14178155-8632-4836-9A55-ED887C8C1513}"/>
    <cellStyle name="Normal 8 3 2 3 5 2 2 3" xfId="17987" xr:uid="{D20C40CB-3CA2-4D13-A91F-27F4B531BE1C}"/>
    <cellStyle name="Normal 8 3 2 3 5 2 3" xfId="23069" xr:uid="{0F473EA0-2F71-45E9-887F-F58B61740456}"/>
    <cellStyle name="Normal 8 3 2 3 5 2 4" xfId="13770" xr:uid="{9B7259F0-4E98-49DB-AB2A-B8FFC323E39A}"/>
    <cellStyle name="Normal 8 3 2 3 5 3" xfId="6516" xr:uid="{00000000-0005-0000-0000-00006A1D0000}"/>
    <cellStyle name="Normal 8 3 2 3 5 3 2" xfId="25141" xr:uid="{B74FFB19-B913-4D93-B90D-D4A5ABB2AEC0}"/>
    <cellStyle name="Normal 8 3 2 3 5 3 3" xfId="15842" xr:uid="{0622DD2C-F97C-495E-9AA1-D3CF63262B4A}"/>
    <cellStyle name="Normal 8 3 2 3 5 4" xfId="20924" xr:uid="{D9B7FC0F-95B2-4256-AE4C-6EDEC948E4E8}"/>
    <cellStyle name="Normal 8 3 2 3 5 5" xfId="11625" xr:uid="{71791FBC-6769-4172-A3DC-DF80BA50D577}"/>
    <cellStyle name="Normal 8 3 2 3 6" xfId="2646" xr:uid="{00000000-0005-0000-0000-00006B1D0000}"/>
    <cellStyle name="Normal 8 3 2 3 6 2" xfId="6929" xr:uid="{00000000-0005-0000-0000-00006C1D0000}"/>
    <cellStyle name="Normal 8 3 2 3 6 2 2" xfId="25554" xr:uid="{A46B502F-95D3-418A-BE25-A3F4A09B4FB4}"/>
    <cellStyle name="Normal 8 3 2 3 6 2 3" xfId="16255" xr:uid="{FFC102F5-57DE-4636-B233-F22D7E2CF911}"/>
    <cellStyle name="Normal 8 3 2 3 6 3" xfId="21337" xr:uid="{05A15362-A9F4-4AD0-BC46-177D197E7F0F}"/>
    <cellStyle name="Normal 8 3 2 3 6 4" xfId="12038" xr:uid="{84A291A5-2128-4E5D-8961-C29F8A89276D}"/>
    <cellStyle name="Normal 8 3 2 3 7" xfId="4864" xr:uid="{00000000-0005-0000-0000-00006D1D0000}"/>
    <cellStyle name="Normal 8 3 2 3 7 2" xfId="23489" xr:uid="{DB3B01C6-2D93-4E8C-8043-40B4DACE86B3}"/>
    <cellStyle name="Normal 8 3 2 3 7 3" xfId="14190" xr:uid="{3357DDFA-36C7-422A-A3C8-0FAD8CB4DAC1}"/>
    <cellStyle name="Normal 8 3 2 3 8" xfId="9044" xr:uid="{5ED49706-9CA9-4EE9-B01D-112CD1DB587C}"/>
    <cellStyle name="Normal 8 3 2 3 8 2" xfId="27667" xr:uid="{03F6F012-2D3D-4E3D-B26C-DA93E0326C13}"/>
    <cellStyle name="Normal 8 3 2 3 8 3" xfId="18368" xr:uid="{DCB8DF68-2DAC-4C06-B160-343FF8F690FA}"/>
    <cellStyle name="Normal 8 3 2 3 9" xfId="19272" xr:uid="{843CF368-DCBB-4907-8C4B-8AB5F964E3CE}"/>
    <cellStyle name="Normal 8 3 2 4" xfId="963" xr:uid="{00000000-0005-0000-0000-00006E1D0000}"/>
    <cellStyle name="Normal 8 3 2 4 2" xfId="3197" xr:uid="{00000000-0005-0000-0000-00006F1D0000}"/>
    <cellStyle name="Normal 8 3 2 4 2 2" xfId="7419" xr:uid="{00000000-0005-0000-0000-0000701D0000}"/>
    <cellStyle name="Normal 8 3 2 4 2 2 2" xfId="26044" xr:uid="{9C4950CF-E1B4-416C-9D87-36B20F1372A6}"/>
    <cellStyle name="Normal 8 3 2 4 2 2 3" xfId="16745" xr:uid="{35C6A996-6F28-48CE-950C-D9D994F85F70}"/>
    <cellStyle name="Normal 8 3 2 4 2 3" xfId="21827" xr:uid="{937401FA-C9C7-4682-A197-6A49CDAC4038}"/>
    <cellStyle name="Normal 8 3 2 4 2 4" xfId="12528" xr:uid="{7C089ECB-E4FD-453D-9AE1-0C0659730D42}"/>
    <cellStyle name="Normal 8 3 2 4 3" xfId="5274" xr:uid="{00000000-0005-0000-0000-0000711D0000}"/>
    <cellStyle name="Normal 8 3 2 4 3 2" xfId="23899" xr:uid="{04EE5DBF-FC74-4A0F-836D-71AFC6B8CEDA}"/>
    <cellStyle name="Normal 8 3 2 4 3 3" xfId="14600" xr:uid="{0C4ADA65-B871-4A6F-9C88-879F9B01C59A}"/>
    <cellStyle name="Normal 8 3 2 4 4" xfId="9262" xr:uid="{8842595C-CD28-4B10-9BE6-37883B4C2AA9}"/>
    <cellStyle name="Normal 8 3 2 4 4 2" xfId="27876" xr:uid="{FE5EE614-BF12-4AF5-ADE8-6F1524E93739}"/>
    <cellStyle name="Normal 8 3 2 4 4 3" xfId="18577" xr:uid="{6399F9BF-8A02-48D8-861D-C8D47D361FB1}"/>
    <cellStyle name="Normal 8 3 2 4 5" xfId="19682" xr:uid="{0CE6076E-0060-4F2B-994E-F1BE32D21686}"/>
    <cellStyle name="Normal 8 3 2 4 6" xfId="10383" xr:uid="{06B7AD86-F68B-4879-9894-A201406D60C0}"/>
    <cellStyle name="Normal 8 3 2 5" xfId="1380" xr:uid="{00000000-0005-0000-0000-0000721D0000}"/>
    <cellStyle name="Normal 8 3 2 5 2" xfId="3610" xr:uid="{00000000-0005-0000-0000-0000731D0000}"/>
    <cellStyle name="Normal 8 3 2 5 2 2" xfId="7832" xr:uid="{00000000-0005-0000-0000-0000741D0000}"/>
    <cellStyle name="Normal 8 3 2 5 2 2 2" xfId="26457" xr:uid="{B08697A1-FD21-4A7E-A7BA-852771D008A7}"/>
    <cellStyle name="Normal 8 3 2 5 2 2 3" xfId="17158" xr:uid="{6B6CF64D-5805-4FD1-8D55-077B58C3615C}"/>
    <cellStyle name="Normal 8 3 2 5 2 3" xfId="22240" xr:uid="{DFA2BB4C-52C2-4637-8144-0E37D30420D9}"/>
    <cellStyle name="Normal 8 3 2 5 2 4" xfId="12941" xr:uid="{F6C472F5-F654-4B02-83B7-B005AC1D5357}"/>
    <cellStyle name="Normal 8 3 2 5 3" xfId="5687" xr:uid="{00000000-0005-0000-0000-0000751D0000}"/>
    <cellStyle name="Normal 8 3 2 5 3 2" xfId="24312" xr:uid="{46FFFEA1-FB3C-434E-A15C-C49D7BC80F3B}"/>
    <cellStyle name="Normal 8 3 2 5 3 3" xfId="15013" xr:uid="{BAE7BB26-5B0D-48D3-B2BE-003EDACE3AF2}"/>
    <cellStyle name="Normal 8 3 2 5 4" xfId="20095" xr:uid="{ECBE9E84-A911-4591-B3D1-1D316434393A}"/>
    <cellStyle name="Normal 8 3 2 5 5" xfId="10796" xr:uid="{3BC88ACE-700E-407C-AB88-D95596CD1475}"/>
    <cellStyle name="Normal 8 3 2 6" xfId="1793" xr:uid="{00000000-0005-0000-0000-0000761D0000}"/>
    <cellStyle name="Normal 8 3 2 6 2" xfId="4023" xr:uid="{00000000-0005-0000-0000-0000771D0000}"/>
    <cellStyle name="Normal 8 3 2 6 2 2" xfId="8245" xr:uid="{00000000-0005-0000-0000-0000781D0000}"/>
    <cellStyle name="Normal 8 3 2 6 2 2 2" xfId="26870" xr:uid="{2C3869EA-5374-4D55-834B-70C06DA8C7E0}"/>
    <cellStyle name="Normal 8 3 2 6 2 2 3" xfId="17571" xr:uid="{44DD8E19-1D77-4E13-8448-AD45D5F5F765}"/>
    <cellStyle name="Normal 8 3 2 6 2 3" xfId="22653" xr:uid="{3B44C513-406E-48D2-9F42-86882FDA3DE7}"/>
    <cellStyle name="Normal 8 3 2 6 2 4" xfId="13354" xr:uid="{BF4B4C55-6708-4CC8-A949-2AE6F61BBAE5}"/>
    <cellStyle name="Normal 8 3 2 6 3" xfId="6100" xr:uid="{00000000-0005-0000-0000-0000791D0000}"/>
    <cellStyle name="Normal 8 3 2 6 3 2" xfId="24725" xr:uid="{BC7B3DAD-4BFC-43A8-92BC-3B849C054704}"/>
    <cellStyle name="Normal 8 3 2 6 3 3" xfId="15426" xr:uid="{2BF20221-2547-4E17-BC4C-FA9AF8E33E34}"/>
    <cellStyle name="Normal 8 3 2 6 4" xfId="20508" xr:uid="{877EA807-D8A7-4C9A-8D9C-1950B1F68E74}"/>
    <cellStyle name="Normal 8 3 2 6 5" xfId="11209" xr:uid="{C0845B4C-39B3-4F35-9B18-176098245E20}"/>
    <cellStyle name="Normal 8 3 2 7" xfId="2207" xr:uid="{00000000-0005-0000-0000-00007A1D0000}"/>
    <cellStyle name="Normal 8 3 2 7 2" xfId="4436" xr:uid="{00000000-0005-0000-0000-00007B1D0000}"/>
    <cellStyle name="Normal 8 3 2 7 2 2" xfId="8658" xr:uid="{00000000-0005-0000-0000-00007C1D0000}"/>
    <cellStyle name="Normal 8 3 2 7 2 2 2" xfId="27283" xr:uid="{4E1A9204-8E83-41BA-9FAB-EC55E3C616E5}"/>
    <cellStyle name="Normal 8 3 2 7 2 2 3" xfId="17984" xr:uid="{89A4D399-BDA4-407C-A8CD-2A425C5247F8}"/>
    <cellStyle name="Normal 8 3 2 7 2 3" xfId="23066" xr:uid="{01A26B9E-F1FC-4FAE-B796-5C3832B101C7}"/>
    <cellStyle name="Normal 8 3 2 7 2 4" xfId="13767" xr:uid="{C7551A35-59D6-4F40-9810-AA3935AC2FFE}"/>
    <cellStyle name="Normal 8 3 2 7 3" xfId="6513" xr:uid="{00000000-0005-0000-0000-00007D1D0000}"/>
    <cellStyle name="Normal 8 3 2 7 3 2" xfId="25138" xr:uid="{EA9FC88F-145C-4997-AA20-EFD905226E0F}"/>
    <cellStyle name="Normal 8 3 2 7 3 3" xfId="15839" xr:uid="{20CCEE57-5D2C-46B1-A2AE-D3E0036C4D40}"/>
    <cellStyle name="Normal 8 3 2 7 4" xfId="20921" xr:uid="{1E66592C-5214-4EDD-82E4-0022E692DB0A}"/>
    <cellStyle name="Normal 8 3 2 7 5" xfId="11622" xr:uid="{0C382A7D-FBC7-458C-BE9D-7D320703E0E9}"/>
    <cellStyle name="Normal 8 3 2 8" xfId="2643" xr:uid="{00000000-0005-0000-0000-00007E1D0000}"/>
    <cellStyle name="Normal 8 3 2 8 2" xfId="6926" xr:uid="{00000000-0005-0000-0000-00007F1D0000}"/>
    <cellStyle name="Normal 8 3 2 8 2 2" xfId="25551" xr:uid="{8A9F9089-2043-4068-BDCB-900A7A7AA477}"/>
    <cellStyle name="Normal 8 3 2 8 2 3" xfId="16252" xr:uid="{1A8BA434-6C93-4F0E-9478-D62A3B61F61C}"/>
    <cellStyle name="Normal 8 3 2 8 3" xfId="21334" xr:uid="{6FA3B28F-AF21-494D-87A1-85D6821DB25E}"/>
    <cellStyle name="Normal 8 3 2 8 4" xfId="12035" xr:uid="{D1D6BB38-A3B5-4DA2-B1FF-99819F20B0EB}"/>
    <cellStyle name="Normal 8 3 2 9" xfId="4861" xr:uid="{00000000-0005-0000-0000-0000801D0000}"/>
    <cellStyle name="Normal 8 3 2 9 2" xfId="23486" xr:uid="{D912C984-AD9D-4E96-8DA9-2DA52B5748A3}"/>
    <cellStyle name="Normal 8 3 2 9 3" xfId="14187" xr:uid="{32D88898-844A-46F4-9CD9-31F3C70ED0E3}"/>
    <cellStyle name="Normal 8 3 3" xfId="500" xr:uid="{00000000-0005-0000-0000-0000811D0000}"/>
    <cellStyle name="Normal 8 3 3 10" xfId="19273" xr:uid="{D2CD63DB-D391-470C-9C80-5057AC772834}"/>
    <cellStyle name="Normal 8 3 3 11" xfId="9974" xr:uid="{D503B036-3889-40B7-8AB5-9B5EA8B42ED8}"/>
    <cellStyle name="Normal 8 3 3 2" xfId="501" xr:uid="{00000000-0005-0000-0000-0000821D0000}"/>
    <cellStyle name="Normal 8 3 3 2 10" xfId="9975" xr:uid="{20C7A87B-B2ED-4712-B157-CB421CC3EBEF}"/>
    <cellStyle name="Normal 8 3 3 2 2" xfId="968" xr:uid="{00000000-0005-0000-0000-0000831D0000}"/>
    <cellStyle name="Normal 8 3 3 2 2 2" xfId="3202" xr:uid="{00000000-0005-0000-0000-0000841D0000}"/>
    <cellStyle name="Normal 8 3 3 2 2 2 2" xfId="7424" xr:uid="{00000000-0005-0000-0000-0000851D0000}"/>
    <cellStyle name="Normal 8 3 3 2 2 2 2 2" xfId="26049" xr:uid="{2DA723D0-1EB5-4773-A121-D4DABF70255E}"/>
    <cellStyle name="Normal 8 3 3 2 2 2 2 3" xfId="16750" xr:uid="{F6590C19-AB59-4E06-B5DD-C5527CD7E341}"/>
    <cellStyle name="Normal 8 3 3 2 2 2 3" xfId="21832" xr:uid="{98A468A1-4EBB-4E49-83D6-4B5D9181717F}"/>
    <cellStyle name="Normal 8 3 3 2 2 2 4" xfId="12533" xr:uid="{265227A4-B6AB-46B5-9667-F4E78B187BAE}"/>
    <cellStyle name="Normal 8 3 3 2 2 3" xfId="5279" xr:uid="{00000000-0005-0000-0000-0000861D0000}"/>
    <cellStyle name="Normal 8 3 3 2 2 3 2" xfId="23904" xr:uid="{A8F8E025-5447-4135-B037-8E0D61BE291A}"/>
    <cellStyle name="Normal 8 3 3 2 2 3 3" xfId="14605" xr:uid="{49976A69-BAE4-42CC-8E13-A44308254390}"/>
    <cellStyle name="Normal 8 3 3 2 2 4" xfId="9509" xr:uid="{3B4378D3-7C51-4B91-822B-758528BFF352}"/>
    <cellStyle name="Normal 8 3 3 2 2 4 2" xfId="28123" xr:uid="{EEDE34CA-492B-4CDF-9728-294163B08D62}"/>
    <cellStyle name="Normal 8 3 3 2 2 4 3" xfId="18824" xr:uid="{C96D6F83-C2B2-4BAE-807D-42ECB74100EB}"/>
    <cellStyle name="Normal 8 3 3 2 2 5" xfId="19687" xr:uid="{DE833861-5B53-4728-B789-B2393DB705BC}"/>
    <cellStyle name="Normal 8 3 3 2 2 6" xfId="10388" xr:uid="{F6EF4381-977A-4EC8-B3BD-782128C150D4}"/>
    <cellStyle name="Normal 8 3 3 2 3" xfId="1385" xr:uid="{00000000-0005-0000-0000-0000871D0000}"/>
    <cellStyle name="Normal 8 3 3 2 3 2" xfId="3615" xr:uid="{00000000-0005-0000-0000-0000881D0000}"/>
    <cellStyle name="Normal 8 3 3 2 3 2 2" xfId="7837" xr:uid="{00000000-0005-0000-0000-0000891D0000}"/>
    <cellStyle name="Normal 8 3 3 2 3 2 2 2" xfId="26462" xr:uid="{DF70C9B2-0A57-4707-9E8F-561EE2934F2D}"/>
    <cellStyle name="Normal 8 3 3 2 3 2 2 3" xfId="17163" xr:uid="{D5729067-808D-4290-B765-C542FF1077B9}"/>
    <cellStyle name="Normal 8 3 3 2 3 2 3" xfId="22245" xr:uid="{83B2AB71-8190-4E92-95A3-EC7202FA21B9}"/>
    <cellStyle name="Normal 8 3 3 2 3 2 4" xfId="12946" xr:uid="{8E268D6B-0B2E-499C-B0E6-60E7B6329A9A}"/>
    <cellStyle name="Normal 8 3 3 2 3 3" xfId="5692" xr:uid="{00000000-0005-0000-0000-00008A1D0000}"/>
    <cellStyle name="Normal 8 3 3 2 3 3 2" xfId="24317" xr:uid="{9D637D29-6817-49F4-9E08-53EA40E2DDF8}"/>
    <cellStyle name="Normal 8 3 3 2 3 3 3" xfId="15018" xr:uid="{F9CA250B-274F-4D05-A4A7-00C805035849}"/>
    <cellStyle name="Normal 8 3 3 2 3 4" xfId="20100" xr:uid="{ACFD020C-3D14-4318-8800-A520B0943FC6}"/>
    <cellStyle name="Normal 8 3 3 2 3 5" xfId="10801" xr:uid="{113CEC77-9060-4BBA-B81D-52AB826A3E46}"/>
    <cellStyle name="Normal 8 3 3 2 4" xfId="1798" xr:uid="{00000000-0005-0000-0000-00008B1D0000}"/>
    <cellStyle name="Normal 8 3 3 2 4 2" xfId="4028" xr:uid="{00000000-0005-0000-0000-00008C1D0000}"/>
    <cellStyle name="Normal 8 3 3 2 4 2 2" xfId="8250" xr:uid="{00000000-0005-0000-0000-00008D1D0000}"/>
    <cellStyle name="Normal 8 3 3 2 4 2 2 2" xfId="26875" xr:uid="{BDE922F5-44E6-4A0B-9592-3A2D726A8E7F}"/>
    <cellStyle name="Normal 8 3 3 2 4 2 2 3" xfId="17576" xr:uid="{933BEF47-141F-438C-867E-2798FFEE7675}"/>
    <cellStyle name="Normal 8 3 3 2 4 2 3" xfId="22658" xr:uid="{6E337A48-77BA-4FD1-8B04-FB44325C0DB0}"/>
    <cellStyle name="Normal 8 3 3 2 4 2 4" xfId="13359" xr:uid="{075D14E8-98ED-4399-954E-C2B6FCB96918}"/>
    <cellStyle name="Normal 8 3 3 2 4 3" xfId="6105" xr:uid="{00000000-0005-0000-0000-00008E1D0000}"/>
    <cellStyle name="Normal 8 3 3 2 4 3 2" xfId="24730" xr:uid="{1AEB3BFE-B006-4296-999D-D8D2543F8907}"/>
    <cellStyle name="Normal 8 3 3 2 4 3 3" xfId="15431" xr:uid="{115C4FC5-0196-46D3-8E3A-8343BC615468}"/>
    <cellStyle name="Normal 8 3 3 2 4 4" xfId="20513" xr:uid="{2334F847-D5B3-4550-A15C-BBAE727252B3}"/>
    <cellStyle name="Normal 8 3 3 2 4 5" xfId="11214" xr:uid="{ED835D7B-728A-42C1-AED9-0633469D08A6}"/>
    <cellStyle name="Normal 8 3 3 2 5" xfId="2212" xr:uid="{00000000-0005-0000-0000-00008F1D0000}"/>
    <cellStyle name="Normal 8 3 3 2 5 2" xfId="4441" xr:uid="{00000000-0005-0000-0000-0000901D0000}"/>
    <cellStyle name="Normal 8 3 3 2 5 2 2" xfId="8663" xr:uid="{00000000-0005-0000-0000-0000911D0000}"/>
    <cellStyle name="Normal 8 3 3 2 5 2 2 2" xfId="27288" xr:uid="{5A282F30-B690-4C48-9CEC-17B122754AC4}"/>
    <cellStyle name="Normal 8 3 3 2 5 2 2 3" xfId="17989" xr:uid="{12B30411-425E-4841-A184-D292DC2A36F4}"/>
    <cellStyle name="Normal 8 3 3 2 5 2 3" xfId="23071" xr:uid="{4E443A55-5E59-4422-8737-194A2531E704}"/>
    <cellStyle name="Normal 8 3 3 2 5 2 4" xfId="13772" xr:uid="{DE798661-B561-450B-B422-C8F4BBF13EE7}"/>
    <cellStyle name="Normal 8 3 3 2 5 3" xfId="6518" xr:uid="{00000000-0005-0000-0000-0000921D0000}"/>
    <cellStyle name="Normal 8 3 3 2 5 3 2" xfId="25143" xr:uid="{00898849-A55E-43E5-A6D8-3A342C908052}"/>
    <cellStyle name="Normal 8 3 3 2 5 3 3" xfId="15844" xr:uid="{6D625DF0-94DC-4C21-8EC0-BC84ADBADB3F}"/>
    <cellStyle name="Normal 8 3 3 2 5 4" xfId="20926" xr:uid="{BBCAF554-C9AA-4831-8F95-49994D85BE6A}"/>
    <cellStyle name="Normal 8 3 3 2 5 5" xfId="11627" xr:uid="{94658857-3AF4-47F2-9B7A-C42DFE2E3CB2}"/>
    <cellStyle name="Normal 8 3 3 2 6" xfId="2648" xr:uid="{00000000-0005-0000-0000-0000931D0000}"/>
    <cellStyle name="Normal 8 3 3 2 6 2" xfId="6931" xr:uid="{00000000-0005-0000-0000-0000941D0000}"/>
    <cellStyle name="Normal 8 3 3 2 6 2 2" xfId="25556" xr:uid="{DB9DB983-31DB-4778-9224-422E978210F1}"/>
    <cellStyle name="Normal 8 3 3 2 6 2 3" xfId="16257" xr:uid="{744707B2-6DE7-4CBE-B42F-3B9B41D5E599}"/>
    <cellStyle name="Normal 8 3 3 2 6 3" xfId="21339" xr:uid="{E83AAFBB-FDE3-4B6C-978A-D3270E9BCA74}"/>
    <cellStyle name="Normal 8 3 3 2 6 4" xfId="12040" xr:uid="{8A92DDDA-85FB-405F-A3C1-D62E811CFAA4}"/>
    <cellStyle name="Normal 8 3 3 2 7" xfId="4866" xr:uid="{00000000-0005-0000-0000-0000951D0000}"/>
    <cellStyle name="Normal 8 3 3 2 7 2" xfId="23491" xr:uid="{9410BBC1-36D7-43BA-B9C6-3A1A8816C9BB}"/>
    <cellStyle name="Normal 8 3 3 2 7 3" xfId="14192" xr:uid="{F2509FF6-468D-461C-A683-C6A96AD86DF3}"/>
    <cellStyle name="Normal 8 3 3 2 8" xfId="9084" xr:uid="{94243AB7-0454-4C95-8E94-054E46718167}"/>
    <cellStyle name="Normal 8 3 3 2 8 2" xfId="27707" xr:uid="{D8EEDD47-508F-41B7-A370-82AC9C4E93E8}"/>
    <cellStyle name="Normal 8 3 3 2 8 3" xfId="18408" xr:uid="{5F8C6AB0-8F24-4EAA-B730-5BA165DF7DE7}"/>
    <cellStyle name="Normal 8 3 3 2 9" xfId="19274" xr:uid="{9A88FA6E-AD34-48F6-9C48-2ED74767E545}"/>
    <cellStyle name="Normal 8 3 3 3" xfId="967" xr:uid="{00000000-0005-0000-0000-0000961D0000}"/>
    <cellStyle name="Normal 8 3 3 3 2" xfId="3201" xr:uid="{00000000-0005-0000-0000-0000971D0000}"/>
    <cellStyle name="Normal 8 3 3 3 2 2" xfId="7423" xr:uid="{00000000-0005-0000-0000-0000981D0000}"/>
    <cellStyle name="Normal 8 3 3 3 2 2 2" xfId="26048" xr:uid="{B4686E83-D26B-4A46-8A97-91E912BC2FE9}"/>
    <cellStyle name="Normal 8 3 3 3 2 2 3" xfId="16749" xr:uid="{9222F5D6-6541-44A1-B117-27ABA25A4AA1}"/>
    <cellStyle name="Normal 8 3 3 3 2 3" xfId="21831" xr:uid="{AABFB309-2715-4DC4-A5C6-2CB28F92AABB}"/>
    <cellStyle name="Normal 8 3 3 3 2 4" xfId="12532" xr:uid="{7958BBF4-1A88-498E-99F5-4F15870F507C}"/>
    <cellStyle name="Normal 8 3 3 3 3" xfId="5278" xr:uid="{00000000-0005-0000-0000-0000991D0000}"/>
    <cellStyle name="Normal 8 3 3 3 3 2" xfId="23903" xr:uid="{CDC8901E-8612-4B87-BBF8-0AA040CB1ADF}"/>
    <cellStyle name="Normal 8 3 3 3 3 3" xfId="14604" xr:uid="{00ABA25C-703C-4345-BDC7-D20DD3FE9CD5}"/>
    <cellStyle name="Normal 8 3 3 3 4" xfId="9302" xr:uid="{3985B908-2B56-4F9B-BEA3-8962926FD004}"/>
    <cellStyle name="Normal 8 3 3 3 4 2" xfId="27916" xr:uid="{DE8964ED-BCF7-4433-9B4E-62B657827F87}"/>
    <cellStyle name="Normal 8 3 3 3 4 3" xfId="18617" xr:uid="{A3CD6029-A7C5-421F-9E28-B47A13E7C627}"/>
    <cellStyle name="Normal 8 3 3 3 5" xfId="19686" xr:uid="{D68ED060-DBE3-474C-95E5-EFF1FBF3B39B}"/>
    <cellStyle name="Normal 8 3 3 3 6" xfId="10387" xr:uid="{FF61B670-4495-4A44-B617-6BBF5841E670}"/>
    <cellStyle name="Normal 8 3 3 4" xfId="1384" xr:uid="{00000000-0005-0000-0000-00009A1D0000}"/>
    <cellStyle name="Normal 8 3 3 4 2" xfId="3614" xr:uid="{00000000-0005-0000-0000-00009B1D0000}"/>
    <cellStyle name="Normal 8 3 3 4 2 2" xfId="7836" xr:uid="{00000000-0005-0000-0000-00009C1D0000}"/>
    <cellStyle name="Normal 8 3 3 4 2 2 2" xfId="26461" xr:uid="{3588970B-C6F0-4DDC-A351-18FB14A4DAFC}"/>
    <cellStyle name="Normal 8 3 3 4 2 2 3" xfId="17162" xr:uid="{E8FDD006-EBCD-4EA6-8DA1-7281DA66DFEF}"/>
    <cellStyle name="Normal 8 3 3 4 2 3" xfId="22244" xr:uid="{95C7D2BC-B829-45B6-9F94-E74D18552559}"/>
    <cellStyle name="Normal 8 3 3 4 2 4" xfId="12945" xr:uid="{1764126E-BC60-4FA1-A33A-401D4F7306FE}"/>
    <cellStyle name="Normal 8 3 3 4 3" xfId="5691" xr:uid="{00000000-0005-0000-0000-00009D1D0000}"/>
    <cellStyle name="Normal 8 3 3 4 3 2" xfId="24316" xr:uid="{261E9301-14AA-4832-8159-44B15838CE63}"/>
    <cellStyle name="Normal 8 3 3 4 3 3" xfId="15017" xr:uid="{F39697DF-A639-4E48-82AE-C016F3E73EB3}"/>
    <cellStyle name="Normal 8 3 3 4 4" xfId="20099" xr:uid="{8F9DA8E4-0489-4992-BF2D-460C644D0776}"/>
    <cellStyle name="Normal 8 3 3 4 5" xfId="10800" xr:uid="{3D7906AA-BDC7-4725-BFA5-66088F96F77E}"/>
    <cellStyle name="Normal 8 3 3 5" xfId="1797" xr:uid="{00000000-0005-0000-0000-00009E1D0000}"/>
    <cellStyle name="Normal 8 3 3 5 2" xfId="4027" xr:uid="{00000000-0005-0000-0000-00009F1D0000}"/>
    <cellStyle name="Normal 8 3 3 5 2 2" xfId="8249" xr:uid="{00000000-0005-0000-0000-0000A01D0000}"/>
    <cellStyle name="Normal 8 3 3 5 2 2 2" xfId="26874" xr:uid="{3325B367-D718-4354-AD31-B3C11FA7191B}"/>
    <cellStyle name="Normal 8 3 3 5 2 2 3" xfId="17575" xr:uid="{607B2869-6633-4983-94BA-CA5CB4B32251}"/>
    <cellStyle name="Normal 8 3 3 5 2 3" xfId="22657" xr:uid="{46F2EA9E-38BE-46C9-B66A-A2C11167E4E5}"/>
    <cellStyle name="Normal 8 3 3 5 2 4" xfId="13358" xr:uid="{D234E9B0-C3C5-41EA-B33A-5B6C2FB20264}"/>
    <cellStyle name="Normal 8 3 3 5 3" xfId="6104" xr:uid="{00000000-0005-0000-0000-0000A11D0000}"/>
    <cellStyle name="Normal 8 3 3 5 3 2" xfId="24729" xr:uid="{60E9DD3F-678D-4987-B572-6D87A22E2AD3}"/>
    <cellStyle name="Normal 8 3 3 5 3 3" xfId="15430" xr:uid="{8196B3BC-270C-4FCF-954C-C6B8FBFEACC4}"/>
    <cellStyle name="Normal 8 3 3 5 4" xfId="20512" xr:uid="{B5DF27DA-B364-41FE-ACFB-3463A599703E}"/>
    <cellStyle name="Normal 8 3 3 5 5" xfId="11213" xr:uid="{68B0319A-A630-4F0B-80A0-A2CBB7DFBB8E}"/>
    <cellStyle name="Normal 8 3 3 6" xfId="2211" xr:uid="{00000000-0005-0000-0000-0000A21D0000}"/>
    <cellStyle name="Normal 8 3 3 6 2" xfId="4440" xr:uid="{00000000-0005-0000-0000-0000A31D0000}"/>
    <cellStyle name="Normal 8 3 3 6 2 2" xfId="8662" xr:uid="{00000000-0005-0000-0000-0000A41D0000}"/>
    <cellStyle name="Normal 8 3 3 6 2 2 2" xfId="27287" xr:uid="{815C0523-C2D2-49E2-BA88-DC6CC914F747}"/>
    <cellStyle name="Normal 8 3 3 6 2 2 3" xfId="17988" xr:uid="{1B78247D-F1A5-4B45-913F-A04BEA865218}"/>
    <cellStyle name="Normal 8 3 3 6 2 3" xfId="23070" xr:uid="{4E8547FC-922D-4FA2-8454-3D72850EA90F}"/>
    <cellStyle name="Normal 8 3 3 6 2 4" xfId="13771" xr:uid="{0506ADF4-B303-4E32-9BE7-CE784E671C91}"/>
    <cellStyle name="Normal 8 3 3 6 3" xfId="6517" xr:uid="{00000000-0005-0000-0000-0000A51D0000}"/>
    <cellStyle name="Normal 8 3 3 6 3 2" xfId="25142" xr:uid="{DF5CE465-082A-4E9A-A342-45EF48A71D38}"/>
    <cellStyle name="Normal 8 3 3 6 3 3" xfId="15843" xr:uid="{4877CD4D-14D4-4892-BDD8-5BFF2545FCEF}"/>
    <cellStyle name="Normal 8 3 3 6 4" xfId="20925" xr:uid="{1C3527CB-C719-4FF6-81F4-62DE7BA1A1DB}"/>
    <cellStyle name="Normal 8 3 3 6 5" xfId="11626" xr:uid="{E46DB78F-9CED-48F4-97A5-DB3290602A97}"/>
    <cellStyle name="Normal 8 3 3 7" xfId="2647" xr:uid="{00000000-0005-0000-0000-0000A61D0000}"/>
    <cellStyle name="Normal 8 3 3 7 2" xfId="6930" xr:uid="{00000000-0005-0000-0000-0000A71D0000}"/>
    <cellStyle name="Normal 8 3 3 7 2 2" xfId="25555" xr:uid="{9C8E46B2-CFA1-42F1-98CD-96A841E56D9C}"/>
    <cellStyle name="Normal 8 3 3 7 2 3" xfId="16256" xr:uid="{8E9C636D-8941-45BA-90E4-681FB3200783}"/>
    <cellStyle name="Normal 8 3 3 7 3" xfId="21338" xr:uid="{62AD3B7B-6E48-4DF0-97D6-09ADAEF3271A}"/>
    <cellStyle name="Normal 8 3 3 7 4" xfId="12039" xr:uid="{EB4C57B9-CFCC-4E53-A368-BAB2E93ED685}"/>
    <cellStyle name="Normal 8 3 3 8" xfId="4865" xr:uid="{00000000-0005-0000-0000-0000A81D0000}"/>
    <cellStyle name="Normal 8 3 3 8 2" xfId="23490" xr:uid="{6FC8DA48-78A0-4CA3-AC4F-BCF7A0FF59A3}"/>
    <cellStyle name="Normal 8 3 3 8 3" xfId="14191" xr:uid="{ECCA4B34-EA95-4E72-A0B6-AF5F5EC4E4D5}"/>
    <cellStyle name="Normal 8 3 3 9" xfId="8877" xr:uid="{4F8231E3-800E-43E7-B1B6-9633EBFFFFE1}"/>
    <cellStyle name="Normal 8 3 3 9 2" xfId="27500" xr:uid="{5C0325B9-237D-4732-9E42-E397C33D6EC9}"/>
    <cellStyle name="Normal 8 3 3 9 3" xfId="18201" xr:uid="{3DF77F6C-FC6A-47EB-8357-6313357537F5}"/>
    <cellStyle name="Normal 8 3 4" xfId="502" xr:uid="{00000000-0005-0000-0000-0000A91D0000}"/>
    <cellStyle name="Normal 8 3 4 10" xfId="9976" xr:uid="{4223BA6A-36CC-4601-9DAF-4D5FF8B590F4}"/>
    <cellStyle name="Normal 8 3 4 2" xfId="969" xr:uid="{00000000-0005-0000-0000-0000AA1D0000}"/>
    <cellStyle name="Normal 8 3 4 2 2" xfId="3203" xr:uid="{00000000-0005-0000-0000-0000AB1D0000}"/>
    <cellStyle name="Normal 8 3 4 2 2 2" xfId="7425" xr:uid="{00000000-0005-0000-0000-0000AC1D0000}"/>
    <cellStyle name="Normal 8 3 4 2 2 2 2" xfId="26050" xr:uid="{326E56CA-8686-42EB-ACF1-C3071D1F62DA}"/>
    <cellStyle name="Normal 8 3 4 2 2 2 3" xfId="16751" xr:uid="{E00F477D-5A28-49E0-A078-864DF6F01C0E}"/>
    <cellStyle name="Normal 8 3 4 2 2 3" xfId="21833" xr:uid="{4B0F2608-3DD4-43D4-97AD-BF679BF518AA}"/>
    <cellStyle name="Normal 8 3 4 2 2 4" xfId="12534" xr:uid="{DA19D61C-9D5F-4E73-8464-C0E5FB350046}"/>
    <cellStyle name="Normal 8 3 4 2 3" xfId="5280" xr:uid="{00000000-0005-0000-0000-0000AD1D0000}"/>
    <cellStyle name="Normal 8 3 4 2 3 2" xfId="23905" xr:uid="{CD2BD041-2AC4-43F1-9E49-B952082AEA0B}"/>
    <cellStyle name="Normal 8 3 4 2 3 3" xfId="14606" xr:uid="{0F65EE11-14D2-4EFF-897F-A80F0FE7DD15}"/>
    <cellStyle name="Normal 8 3 4 2 4" xfId="9406" xr:uid="{8751BE45-E47B-4A0A-B0DE-04C14FAEA88D}"/>
    <cellStyle name="Normal 8 3 4 2 4 2" xfId="28020" xr:uid="{83C2D06D-6A57-412A-B206-43972FA4DC08}"/>
    <cellStyle name="Normal 8 3 4 2 4 3" xfId="18721" xr:uid="{E16E0AC4-78B6-41B8-9A57-B07BD32C5708}"/>
    <cellStyle name="Normal 8 3 4 2 5" xfId="19688" xr:uid="{1970AD59-36A9-4096-A9EA-21F4873DC506}"/>
    <cellStyle name="Normal 8 3 4 2 6" xfId="10389" xr:uid="{A25734BF-C93D-41AC-9711-D16180106CCE}"/>
    <cellStyle name="Normal 8 3 4 3" xfId="1386" xr:uid="{00000000-0005-0000-0000-0000AE1D0000}"/>
    <cellStyle name="Normal 8 3 4 3 2" xfId="3616" xr:uid="{00000000-0005-0000-0000-0000AF1D0000}"/>
    <cellStyle name="Normal 8 3 4 3 2 2" xfId="7838" xr:uid="{00000000-0005-0000-0000-0000B01D0000}"/>
    <cellStyle name="Normal 8 3 4 3 2 2 2" xfId="26463" xr:uid="{E5152A92-236B-4D91-B70E-527983F0F3E7}"/>
    <cellStyle name="Normal 8 3 4 3 2 2 3" xfId="17164" xr:uid="{990D4A33-828A-4F15-BA78-ACBD4BBDBDE1}"/>
    <cellStyle name="Normal 8 3 4 3 2 3" xfId="22246" xr:uid="{78D16C15-0A88-4B9D-9EE4-F64ED9B1423D}"/>
    <cellStyle name="Normal 8 3 4 3 2 4" xfId="12947" xr:uid="{0CF5911B-09E7-4895-8856-EB6375A696E5}"/>
    <cellStyle name="Normal 8 3 4 3 3" xfId="5693" xr:uid="{00000000-0005-0000-0000-0000B11D0000}"/>
    <cellStyle name="Normal 8 3 4 3 3 2" xfId="24318" xr:uid="{D5292344-864B-4778-B9C4-7F7DC23FB933}"/>
    <cellStyle name="Normal 8 3 4 3 3 3" xfId="15019" xr:uid="{7DF9D48A-B009-4F31-BABD-B51DDCFA0C79}"/>
    <cellStyle name="Normal 8 3 4 3 4" xfId="20101" xr:uid="{4881942E-DCE4-4286-8B03-984D50645A52}"/>
    <cellStyle name="Normal 8 3 4 3 5" xfId="10802" xr:uid="{815A525F-CC33-4BCC-B873-638D9CC72E92}"/>
    <cellStyle name="Normal 8 3 4 4" xfId="1799" xr:uid="{00000000-0005-0000-0000-0000B21D0000}"/>
    <cellStyle name="Normal 8 3 4 4 2" xfId="4029" xr:uid="{00000000-0005-0000-0000-0000B31D0000}"/>
    <cellStyle name="Normal 8 3 4 4 2 2" xfId="8251" xr:uid="{00000000-0005-0000-0000-0000B41D0000}"/>
    <cellStyle name="Normal 8 3 4 4 2 2 2" xfId="26876" xr:uid="{D94CBA67-14EA-493D-8B20-ACC47F90D4FC}"/>
    <cellStyle name="Normal 8 3 4 4 2 2 3" xfId="17577" xr:uid="{B86CC415-8FCB-4CC1-B501-E4A75EA27F2E}"/>
    <cellStyle name="Normal 8 3 4 4 2 3" xfId="22659" xr:uid="{FE68D8E5-7678-4D18-8F24-CC1BE930EDA4}"/>
    <cellStyle name="Normal 8 3 4 4 2 4" xfId="13360" xr:uid="{1BA0D01B-C883-4D38-9348-86B43E740378}"/>
    <cellStyle name="Normal 8 3 4 4 3" xfId="6106" xr:uid="{00000000-0005-0000-0000-0000B51D0000}"/>
    <cellStyle name="Normal 8 3 4 4 3 2" xfId="24731" xr:uid="{D76D70BE-AF90-4C38-AA6A-E745CED76E42}"/>
    <cellStyle name="Normal 8 3 4 4 3 3" xfId="15432" xr:uid="{E75990A2-BA70-4432-805E-3800B1834EBA}"/>
    <cellStyle name="Normal 8 3 4 4 4" xfId="20514" xr:uid="{CA9DF42C-2AEE-4F2A-8288-ECBA2B9C5A3E}"/>
    <cellStyle name="Normal 8 3 4 4 5" xfId="11215" xr:uid="{0026B21B-0FAC-44CD-81C7-E6B455677577}"/>
    <cellStyle name="Normal 8 3 4 5" xfId="2213" xr:uid="{00000000-0005-0000-0000-0000B61D0000}"/>
    <cellStyle name="Normal 8 3 4 5 2" xfId="4442" xr:uid="{00000000-0005-0000-0000-0000B71D0000}"/>
    <cellStyle name="Normal 8 3 4 5 2 2" xfId="8664" xr:uid="{00000000-0005-0000-0000-0000B81D0000}"/>
    <cellStyle name="Normal 8 3 4 5 2 2 2" xfId="27289" xr:uid="{E9A4CD9E-2E99-4250-AEA3-13E58ED0D40C}"/>
    <cellStyle name="Normal 8 3 4 5 2 2 3" xfId="17990" xr:uid="{C40F2591-D441-42AE-8DD7-2AB635377C32}"/>
    <cellStyle name="Normal 8 3 4 5 2 3" xfId="23072" xr:uid="{8AA681EC-0C6C-4DDA-B8DB-C8ED1703E70A}"/>
    <cellStyle name="Normal 8 3 4 5 2 4" xfId="13773" xr:uid="{7F8D06B7-F207-4C54-A8BB-0C9F048842D8}"/>
    <cellStyle name="Normal 8 3 4 5 3" xfId="6519" xr:uid="{00000000-0005-0000-0000-0000B91D0000}"/>
    <cellStyle name="Normal 8 3 4 5 3 2" xfId="25144" xr:uid="{C934C38F-B91D-41C7-96BC-5EF9709FDB02}"/>
    <cellStyle name="Normal 8 3 4 5 3 3" xfId="15845" xr:uid="{78800A8A-FE7C-412C-89A7-7FD8262FCC67}"/>
    <cellStyle name="Normal 8 3 4 5 4" xfId="20927" xr:uid="{C78729B1-B37B-472A-8336-70771539EF3D}"/>
    <cellStyle name="Normal 8 3 4 5 5" xfId="11628" xr:uid="{59167EF2-5803-495D-893D-251A6B696481}"/>
    <cellStyle name="Normal 8 3 4 6" xfId="2649" xr:uid="{00000000-0005-0000-0000-0000BA1D0000}"/>
    <cellStyle name="Normal 8 3 4 6 2" xfId="6932" xr:uid="{00000000-0005-0000-0000-0000BB1D0000}"/>
    <cellStyle name="Normal 8 3 4 6 2 2" xfId="25557" xr:uid="{97BAD034-1D02-44C8-A3C4-940C93B65E22}"/>
    <cellStyle name="Normal 8 3 4 6 2 3" xfId="16258" xr:uid="{307CD5A8-1BB7-4290-99D9-14E331A46EB1}"/>
    <cellStyle name="Normal 8 3 4 6 3" xfId="21340" xr:uid="{A4A45D02-9827-451D-BB21-4B31F6B17CA6}"/>
    <cellStyle name="Normal 8 3 4 6 4" xfId="12041" xr:uid="{93B58375-82A5-4858-9197-412A1AC3E4D8}"/>
    <cellStyle name="Normal 8 3 4 7" xfId="4867" xr:uid="{00000000-0005-0000-0000-0000BC1D0000}"/>
    <cellStyle name="Normal 8 3 4 7 2" xfId="23492" xr:uid="{8D656845-7584-401F-A5AA-E3BB7C6DF4BC}"/>
    <cellStyle name="Normal 8 3 4 7 3" xfId="14193" xr:uid="{640FCE7F-ACE7-4B89-8087-D0A40BB01677}"/>
    <cellStyle name="Normal 8 3 4 8" xfId="8981" xr:uid="{BEE184E9-ECE6-4107-B29A-CC8BC7F28FA3}"/>
    <cellStyle name="Normal 8 3 4 8 2" xfId="27604" xr:uid="{3EDE0488-FEDD-43D0-BB56-5969AE2FF87A}"/>
    <cellStyle name="Normal 8 3 4 8 3" xfId="18305" xr:uid="{5BC785C4-2DA4-41E7-8453-F189971BCF22}"/>
    <cellStyle name="Normal 8 3 4 9" xfId="19275" xr:uid="{FCB7F875-1B3F-4337-A1DE-5C50E6DD8102}"/>
    <cellStyle name="Normal 8 3 5" xfId="962" xr:uid="{00000000-0005-0000-0000-0000BD1D0000}"/>
    <cellStyle name="Normal 8 3 5 2" xfId="3196" xr:uid="{00000000-0005-0000-0000-0000BE1D0000}"/>
    <cellStyle name="Normal 8 3 5 2 2" xfId="7418" xr:uid="{00000000-0005-0000-0000-0000BF1D0000}"/>
    <cellStyle name="Normal 8 3 5 2 2 2" xfId="26043" xr:uid="{70FABD4A-0B16-4A8E-9512-3381B4C5A63C}"/>
    <cellStyle name="Normal 8 3 5 2 2 3" xfId="16744" xr:uid="{1B47B680-3DB3-48B8-AF62-2BC618072725}"/>
    <cellStyle name="Normal 8 3 5 2 3" xfId="21826" xr:uid="{0FE30C62-3CCC-4574-9F42-48209C8D74E4}"/>
    <cellStyle name="Normal 8 3 5 2 4" xfId="12527" xr:uid="{DDF1B483-6C61-4DFD-92CC-D90713FB4559}"/>
    <cellStyle name="Normal 8 3 5 3" xfId="5273" xr:uid="{00000000-0005-0000-0000-0000C01D0000}"/>
    <cellStyle name="Normal 8 3 5 3 2" xfId="23898" xr:uid="{FC6853D0-0723-43E4-93B6-2074D0EAFD66}"/>
    <cellStyle name="Normal 8 3 5 3 3" xfId="14599" xr:uid="{5941BB3C-3E4F-468C-AF65-E1BCF9D0F1CF}"/>
    <cellStyle name="Normal 8 3 5 4" xfId="9198" xr:uid="{FA5A5C79-C3AC-4E17-9344-90C4E411EE0B}"/>
    <cellStyle name="Normal 8 3 5 4 2" xfId="27813" xr:uid="{22C17A5D-640D-4CB3-BAAA-819D1F0758D9}"/>
    <cellStyle name="Normal 8 3 5 4 3" xfId="18514" xr:uid="{A757D007-5108-4F7A-AD28-41730B8D52E4}"/>
    <cellStyle name="Normal 8 3 5 5" xfId="19681" xr:uid="{A665C2CE-E828-41EE-9DFC-7433A5026FC0}"/>
    <cellStyle name="Normal 8 3 5 6" xfId="10382" xr:uid="{A67FD36D-A7E5-4A72-B576-B1B63153B5F5}"/>
    <cellStyle name="Normal 8 3 6" xfId="1379" xr:uid="{00000000-0005-0000-0000-0000C11D0000}"/>
    <cellStyle name="Normal 8 3 6 2" xfId="3609" xr:uid="{00000000-0005-0000-0000-0000C21D0000}"/>
    <cellStyle name="Normal 8 3 6 2 2" xfId="7831" xr:uid="{00000000-0005-0000-0000-0000C31D0000}"/>
    <cellStyle name="Normal 8 3 6 2 2 2" xfId="26456" xr:uid="{4966AB3F-2CD5-498F-84AA-64E70061C657}"/>
    <cellStyle name="Normal 8 3 6 2 2 3" xfId="17157" xr:uid="{725E2DB9-51E1-4BED-A08D-7397C822D399}"/>
    <cellStyle name="Normal 8 3 6 2 3" xfId="22239" xr:uid="{76829733-11EB-4EC7-8AE0-458E1977979B}"/>
    <cellStyle name="Normal 8 3 6 2 4" xfId="12940" xr:uid="{E9CB0BD8-51D2-47C1-BA9F-EE1275166F0B}"/>
    <cellStyle name="Normal 8 3 6 3" xfId="5686" xr:uid="{00000000-0005-0000-0000-0000C41D0000}"/>
    <cellStyle name="Normal 8 3 6 3 2" xfId="24311" xr:uid="{3DDBAC19-B3F0-4AD7-890C-7E43D376FD02}"/>
    <cellStyle name="Normal 8 3 6 3 3" xfId="15012" xr:uid="{62A2A287-1DE5-401A-B93D-EF701BB8C33A}"/>
    <cellStyle name="Normal 8 3 6 4" xfId="20094" xr:uid="{6C189671-0E4C-4C3B-9425-E20F4232B4C8}"/>
    <cellStyle name="Normal 8 3 6 5" xfId="10795" xr:uid="{5B9DE569-FF63-457C-BBC4-46C8F8BA67CF}"/>
    <cellStyle name="Normal 8 3 7" xfId="1792" xr:uid="{00000000-0005-0000-0000-0000C51D0000}"/>
    <cellStyle name="Normal 8 3 7 2" xfId="4022" xr:uid="{00000000-0005-0000-0000-0000C61D0000}"/>
    <cellStyle name="Normal 8 3 7 2 2" xfId="8244" xr:uid="{00000000-0005-0000-0000-0000C71D0000}"/>
    <cellStyle name="Normal 8 3 7 2 2 2" xfId="26869" xr:uid="{ED8BF7E0-B440-42A2-9B2A-B126D832C371}"/>
    <cellStyle name="Normal 8 3 7 2 2 3" xfId="17570" xr:uid="{54C302B6-FFDE-4E4E-AB03-E0E22B77772F}"/>
    <cellStyle name="Normal 8 3 7 2 3" xfId="22652" xr:uid="{F1AA5235-B3EE-4762-B624-CDBBA975CB1C}"/>
    <cellStyle name="Normal 8 3 7 2 4" xfId="13353" xr:uid="{0A822BED-0C6A-46BC-A9F2-34E148AFBB35}"/>
    <cellStyle name="Normal 8 3 7 3" xfId="6099" xr:uid="{00000000-0005-0000-0000-0000C81D0000}"/>
    <cellStyle name="Normal 8 3 7 3 2" xfId="24724" xr:uid="{C1609199-6B59-4685-B6AE-B0C942683B8E}"/>
    <cellStyle name="Normal 8 3 7 3 3" xfId="15425" xr:uid="{56FF1F46-5CD6-4D2B-BDA4-DEB046634767}"/>
    <cellStyle name="Normal 8 3 7 4" xfId="20507" xr:uid="{DEEE89C8-23E7-4013-BEBB-2F5B260FC964}"/>
    <cellStyle name="Normal 8 3 7 5" xfId="11208" xr:uid="{214526E1-5607-4FD7-8F92-F69B9D46CE24}"/>
    <cellStyle name="Normal 8 3 8" xfId="2206" xr:uid="{00000000-0005-0000-0000-0000C91D0000}"/>
    <cellStyle name="Normal 8 3 8 2" xfId="4435" xr:uid="{00000000-0005-0000-0000-0000CA1D0000}"/>
    <cellStyle name="Normal 8 3 8 2 2" xfId="8657" xr:uid="{00000000-0005-0000-0000-0000CB1D0000}"/>
    <cellStyle name="Normal 8 3 8 2 2 2" xfId="27282" xr:uid="{B9099F43-6FA6-4593-BCE2-AEE58D0F3CD4}"/>
    <cellStyle name="Normal 8 3 8 2 2 3" xfId="17983" xr:uid="{405A1654-A866-4994-B22C-86CB2B1A79DD}"/>
    <cellStyle name="Normal 8 3 8 2 3" xfId="23065" xr:uid="{9C1B733D-5EBB-458E-9908-A092FA00972C}"/>
    <cellStyle name="Normal 8 3 8 2 4" xfId="13766" xr:uid="{E435CDC4-3634-481C-8BCC-2B83BC193294}"/>
    <cellStyle name="Normal 8 3 8 3" xfId="6512" xr:uid="{00000000-0005-0000-0000-0000CC1D0000}"/>
    <cellStyle name="Normal 8 3 8 3 2" xfId="25137" xr:uid="{F5FEDEB2-1AFD-4455-906F-9010632E59B8}"/>
    <cellStyle name="Normal 8 3 8 3 3" xfId="15838" xr:uid="{2CC94166-BF1F-4AFA-87F5-BD9BEA909FD4}"/>
    <cellStyle name="Normal 8 3 8 4" xfId="20920" xr:uid="{CEF47427-6A79-4354-AC67-F9E4E6B12B34}"/>
    <cellStyle name="Normal 8 3 8 5" xfId="11621" xr:uid="{7E310A04-BE5E-4D02-AF4F-94E3CDE2EFC4}"/>
    <cellStyle name="Normal 8 3 9" xfId="2642" xr:uid="{00000000-0005-0000-0000-0000CD1D0000}"/>
    <cellStyle name="Normal 8 3 9 2" xfId="6925" xr:uid="{00000000-0005-0000-0000-0000CE1D0000}"/>
    <cellStyle name="Normal 8 3 9 2 2" xfId="25550" xr:uid="{E094CEE1-95A6-4D06-B13F-32B8CC9FD970}"/>
    <cellStyle name="Normal 8 3 9 2 3" xfId="16251" xr:uid="{736E2F7C-88C0-4CD1-89FA-DFC120A5FAE3}"/>
    <cellStyle name="Normal 8 3 9 3" xfId="21333" xr:uid="{05B68BEF-82C8-41B2-9BDB-B993A8FF7664}"/>
    <cellStyle name="Normal 8 3 9 4" xfId="12034" xr:uid="{2356B619-E583-48C5-9383-528AEC2F9103}"/>
    <cellStyle name="Normal 8 4" xfId="503" xr:uid="{00000000-0005-0000-0000-0000CF1D0000}"/>
    <cellStyle name="Normal 8 4 10" xfId="8834" xr:uid="{78848A4E-06FA-4050-B553-A3A7DEA1B047}"/>
    <cellStyle name="Normal 8 4 10 2" xfId="27457" xr:uid="{B8665302-307A-47C0-B2A2-8D6569486D93}"/>
    <cellStyle name="Normal 8 4 10 3" xfId="18158" xr:uid="{90ACCB0E-4F80-4933-B1E8-7F2825774105}"/>
    <cellStyle name="Normal 8 4 11" xfId="19276" xr:uid="{1CB3E298-F665-4DF0-8C0D-A8EDD3DF1772}"/>
    <cellStyle name="Normal 8 4 12" xfId="9977" xr:uid="{5E5CF8FD-41AE-48D3-8FBE-7CA3EB5199B2}"/>
    <cellStyle name="Normal 8 4 2" xfId="504" xr:uid="{00000000-0005-0000-0000-0000D01D0000}"/>
    <cellStyle name="Normal 8 4 2 10" xfId="19277" xr:uid="{68A56536-E986-4BA5-B00A-DD9E5FD4F4B2}"/>
    <cellStyle name="Normal 8 4 2 11" xfId="9978" xr:uid="{581741B9-9BCF-4AFE-95D1-D58D52EC480F}"/>
    <cellStyle name="Normal 8 4 2 2" xfId="505" xr:uid="{00000000-0005-0000-0000-0000D11D0000}"/>
    <cellStyle name="Normal 8 4 2 2 10" xfId="9979" xr:uid="{BA7F11A1-DE98-4C50-B672-9009DBE8BB68}"/>
    <cellStyle name="Normal 8 4 2 2 2" xfId="972" xr:uid="{00000000-0005-0000-0000-0000D21D0000}"/>
    <cellStyle name="Normal 8 4 2 2 2 2" xfId="3206" xr:uid="{00000000-0005-0000-0000-0000D31D0000}"/>
    <cellStyle name="Normal 8 4 2 2 2 2 2" xfId="7428" xr:uid="{00000000-0005-0000-0000-0000D41D0000}"/>
    <cellStyle name="Normal 8 4 2 2 2 2 2 2" xfId="26053" xr:uid="{A8B74E8C-1061-4DB1-92BC-9B944A958BE8}"/>
    <cellStyle name="Normal 8 4 2 2 2 2 2 3" xfId="16754" xr:uid="{8972E2BD-59D0-4CC6-8B92-36430C0593B1}"/>
    <cellStyle name="Normal 8 4 2 2 2 2 3" xfId="21836" xr:uid="{0CA3C22C-A8D5-49DF-B858-5FFB02F7BC70}"/>
    <cellStyle name="Normal 8 4 2 2 2 2 4" xfId="12537" xr:uid="{96188E7D-D205-4E80-AFF4-6E9E38D70BE8}"/>
    <cellStyle name="Normal 8 4 2 2 2 3" xfId="5283" xr:uid="{00000000-0005-0000-0000-0000D51D0000}"/>
    <cellStyle name="Normal 8 4 2 2 2 3 2" xfId="23908" xr:uid="{438831B2-DB27-4650-9F2A-A5103B3B69E2}"/>
    <cellStyle name="Normal 8 4 2 2 2 3 3" xfId="14609" xr:uid="{226CE891-B334-4EF0-A338-FC2FE5C6F11D}"/>
    <cellStyle name="Normal 8 4 2 2 2 4" xfId="9569" xr:uid="{F21122F8-27BB-4D46-891E-281F736F5353}"/>
    <cellStyle name="Normal 8 4 2 2 2 4 2" xfId="28183" xr:uid="{13DCB402-6B8E-4DB0-9D9F-A0A07C4F76BE}"/>
    <cellStyle name="Normal 8 4 2 2 2 4 3" xfId="18884" xr:uid="{2A0B699E-3C44-4637-A60F-FC1F31C3A262}"/>
    <cellStyle name="Normal 8 4 2 2 2 5" xfId="19691" xr:uid="{0145FEE8-BE42-4CD6-9786-04AD3037ABA1}"/>
    <cellStyle name="Normal 8 4 2 2 2 6" xfId="10392" xr:uid="{152AC43B-BEAE-432C-84FB-2C6A178BDBE9}"/>
    <cellStyle name="Normal 8 4 2 2 3" xfId="1389" xr:uid="{00000000-0005-0000-0000-0000D61D0000}"/>
    <cellStyle name="Normal 8 4 2 2 3 2" xfId="3619" xr:uid="{00000000-0005-0000-0000-0000D71D0000}"/>
    <cellStyle name="Normal 8 4 2 2 3 2 2" xfId="7841" xr:uid="{00000000-0005-0000-0000-0000D81D0000}"/>
    <cellStyle name="Normal 8 4 2 2 3 2 2 2" xfId="26466" xr:uid="{7F192E32-B52F-48DF-B628-358884F5ACF2}"/>
    <cellStyle name="Normal 8 4 2 2 3 2 2 3" xfId="17167" xr:uid="{83BDA32A-42DC-48AC-A10D-7CC687DAB6B8}"/>
    <cellStyle name="Normal 8 4 2 2 3 2 3" xfId="22249" xr:uid="{415506EE-D0F9-43C1-A309-AEED03CB2B10}"/>
    <cellStyle name="Normal 8 4 2 2 3 2 4" xfId="12950" xr:uid="{E9DFA612-6F57-40AB-9A75-2A9F1CBABAA4}"/>
    <cellStyle name="Normal 8 4 2 2 3 3" xfId="5696" xr:uid="{00000000-0005-0000-0000-0000D91D0000}"/>
    <cellStyle name="Normal 8 4 2 2 3 3 2" xfId="24321" xr:uid="{251961B3-240B-4BAB-ADD5-4657D0814FF2}"/>
    <cellStyle name="Normal 8 4 2 2 3 3 3" xfId="15022" xr:uid="{CA1D8C09-A2F9-4231-A9C2-859CE352B20B}"/>
    <cellStyle name="Normal 8 4 2 2 3 4" xfId="20104" xr:uid="{4B04A476-AB87-4A87-B1A0-279EF9D6ED9C}"/>
    <cellStyle name="Normal 8 4 2 2 3 5" xfId="10805" xr:uid="{B08BA8EB-C6FD-48F7-BD8C-694216A7D4A2}"/>
    <cellStyle name="Normal 8 4 2 2 4" xfId="1802" xr:uid="{00000000-0005-0000-0000-0000DA1D0000}"/>
    <cellStyle name="Normal 8 4 2 2 4 2" xfId="4032" xr:uid="{00000000-0005-0000-0000-0000DB1D0000}"/>
    <cellStyle name="Normal 8 4 2 2 4 2 2" xfId="8254" xr:uid="{00000000-0005-0000-0000-0000DC1D0000}"/>
    <cellStyle name="Normal 8 4 2 2 4 2 2 2" xfId="26879" xr:uid="{234F48AF-BBD5-41D3-BF0E-FEF413B2F035}"/>
    <cellStyle name="Normal 8 4 2 2 4 2 2 3" xfId="17580" xr:uid="{823275F4-7C16-42AE-A3B0-22CDC3C218FE}"/>
    <cellStyle name="Normal 8 4 2 2 4 2 3" xfId="22662" xr:uid="{AA4BA82D-DE95-441F-BBFC-0A359603A08A}"/>
    <cellStyle name="Normal 8 4 2 2 4 2 4" xfId="13363" xr:uid="{E41B68DD-F73E-4E38-8C49-41999FCFB2DC}"/>
    <cellStyle name="Normal 8 4 2 2 4 3" xfId="6109" xr:uid="{00000000-0005-0000-0000-0000DD1D0000}"/>
    <cellStyle name="Normal 8 4 2 2 4 3 2" xfId="24734" xr:uid="{BCB23E54-9AAD-4A2B-8E5B-C7E323E08425}"/>
    <cellStyle name="Normal 8 4 2 2 4 3 3" xfId="15435" xr:uid="{FE27229D-B7E8-4D09-8D5B-F2BDBC291C6B}"/>
    <cellStyle name="Normal 8 4 2 2 4 4" xfId="20517" xr:uid="{2F26DA7B-0C73-41E5-B3A1-C316718124D8}"/>
    <cellStyle name="Normal 8 4 2 2 4 5" xfId="11218" xr:uid="{38FBF275-0B62-4E89-B1CA-1B5D39501786}"/>
    <cellStyle name="Normal 8 4 2 2 5" xfId="2216" xr:uid="{00000000-0005-0000-0000-0000DE1D0000}"/>
    <cellStyle name="Normal 8 4 2 2 5 2" xfId="4445" xr:uid="{00000000-0005-0000-0000-0000DF1D0000}"/>
    <cellStyle name="Normal 8 4 2 2 5 2 2" xfId="8667" xr:uid="{00000000-0005-0000-0000-0000E01D0000}"/>
    <cellStyle name="Normal 8 4 2 2 5 2 2 2" xfId="27292" xr:uid="{40B6E132-0E2C-4170-AD8F-70F7A7BEBDE1}"/>
    <cellStyle name="Normal 8 4 2 2 5 2 2 3" xfId="17993" xr:uid="{6531C26E-C009-4D7E-B82A-E95844C77B97}"/>
    <cellStyle name="Normal 8 4 2 2 5 2 3" xfId="23075" xr:uid="{95D66F89-9161-4B1E-BF4F-096B84D08F4F}"/>
    <cellStyle name="Normal 8 4 2 2 5 2 4" xfId="13776" xr:uid="{5088EAD8-EA6D-41D2-AF0A-589D6907EEAD}"/>
    <cellStyle name="Normal 8 4 2 2 5 3" xfId="6522" xr:uid="{00000000-0005-0000-0000-0000E11D0000}"/>
    <cellStyle name="Normal 8 4 2 2 5 3 2" xfId="25147" xr:uid="{7083173C-6DFD-476B-AB06-FEBFB62FD32B}"/>
    <cellStyle name="Normal 8 4 2 2 5 3 3" xfId="15848" xr:uid="{B49FE9FE-C1DE-42F1-96AA-73708669E924}"/>
    <cellStyle name="Normal 8 4 2 2 5 4" xfId="20930" xr:uid="{01D5F014-F603-4FAA-824C-71AEAAE59747}"/>
    <cellStyle name="Normal 8 4 2 2 5 5" xfId="11631" xr:uid="{942157AD-6EBA-499F-9823-ABE6BEF2B69D}"/>
    <cellStyle name="Normal 8 4 2 2 6" xfId="2652" xr:uid="{00000000-0005-0000-0000-0000E21D0000}"/>
    <cellStyle name="Normal 8 4 2 2 6 2" xfId="6935" xr:uid="{00000000-0005-0000-0000-0000E31D0000}"/>
    <cellStyle name="Normal 8 4 2 2 6 2 2" xfId="25560" xr:uid="{D8AC4AF8-213A-491F-882A-1A031D5B18E6}"/>
    <cellStyle name="Normal 8 4 2 2 6 2 3" xfId="16261" xr:uid="{EF1D1E21-A962-4B87-AA28-34EB005D8FD7}"/>
    <cellStyle name="Normal 8 4 2 2 6 3" xfId="21343" xr:uid="{448CC676-33FE-4CFB-A395-095F93263E66}"/>
    <cellStyle name="Normal 8 4 2 2 6 4" xfId="12044" xr:uid="{2AE06B06-54B7-4F48-A5D7-F55E49EE1D82}"/>
    <cellStyle name="Normal 8 4 2 2 7" xfId="4870" xr:uid="{00000000-0005-0000-0000-0000E41D0000}"/>
    <cellStyle name="Normal 8 4 2 2 7 2" xfId="23495" xr:uid="{53006EDA-AD7A-41AA-9511-80F3F05E16DF}"/>
    <cellStyle name="Normal 8 4 2 2 7 3" xfId="14196" xr:uid="{A6073B20-E838-4ABD-A575-0CD970901849}"/>
    <cellStyle name="Normal 8 4 2 2 8" xfId="9144" xr:uid="{EF6B0978-3DE8-47DC-990C-0B47AAC8F1DC}"/>
    <cellStyle name="Normal 8 4 2 2 8 2" xfId="27767" xr:uid="{57A67450-B816-48BD-A42D-4CFE6E7D87C9}"/>
    <cellStyle name="Normal 8 4 2 2 8 3" xfId="18468" xr:uid="{A6633088-4E49-4141-8023-761316314495}"/>
    <cellStyle name="Normal 8 4 2 2 9" xfId="19278" xr:uid="{CB1511BD-76F0-4BC4-AE2F-0D9DCDC51572}"/>
    <cellStyle name="Normal 8 4 2 3" xfId="971" xr:uid="{00000000-0005-0000-0000-0000E51D0000}"/>
    <cellStyle name="Normal 8 4 2 3 2" xfId="3205" xr:uid="{00000000-0005-0000-0000-0000E61D0000}"/>
    <cellStyle name="Normal 8 4 2 3 2 2" xfId="7427" xr:uid="{00000000-0005-0000-0000-0000E71D0000}"/>
    <cellStyle name="Normal 8 4 2 3 2 2 2" xfId="26052" xr:uid="{F17A59D9-EB4A-4F4D-9BFA-85F9EBF04255}"/>
    <cellStyle name="Normal 8 4 2 3 2 2 3" xfId="16753" xr:uid="{CD0DDD57-8FD6-491A-9B39-0D748E545853}"/>
    <cellStyle name="Normal 8 4 2 3 2 3" xfId="21835" xr:uid="{72C96181-8288-42DE-A4FD-D5D3FA5AFFA0}"/>
    <cellStyle name="Normal 8 4 2 3 2 4" xfId="12536" xr:uid="{C8761EAD-9647-49FB-96DB-2BA91000608F}"/>
    <cellStyle name="Normal 8 4 2 3 3" xfId="5282" xr:uid="{00000000-0005-0000-0000-0000E81D0000}"/>
    <cellStyle name="Normal 8 4 2 3 3 2" xfId="23907" xr:uid="{644D4892-4A62-47A9-8F2E-7C70D52C28BD}"/>
    <cellStyle name="Normal 8 4 2 3 3 3" xfId="14608" xr:uid="{B775662D-A64E-4804-91F2-D89DF6F4A94E}"/>
    <cellStyle name="Normal 8 4 2 3 4" xfId="9362" xr:uid="{206856BB-FDDB-4012-ABFE-5E991E477A14}"/>
    <cellStyle name="Normal 8 4 2 3 4 2" xfId="27976" xr:uid="{AEEACE04-4591-4AB9-8001-3072BDA58601}"/>
    <cellStyle name="Normal 8 4 2 3 4 3" xfId="18677" xr:uid="{BBF414FC-741C-452F-9B11-400F434D2B4D}"/>
    <cellStyle name="Normal 8 4 2 3 5" xfId="19690" xr:uid="{AB840DD4-5243-4374-B90F-478E4F9528D2}"/>
    <cellStyle name="Normal 8 4 2 3 6" xfId="10391" xr:uid="{5EEB7809-60A8-4272-8A54-E9000FA7C0D5}"/>
    <cellStyle name="Normal 8 4 2 4" xfId="1388" xr:uid="{00000000-0005-0000-0000-0000E91D0000}"/>
    <cellStyle name="Normal 8 4 2 4 2" xfId="3618" xr:uid="{00000000-0005-0000-0000-0000EA1D0000}"/>
    <cellStyle name="Normal 8 4 2 4 2 2" xfId="7840" xr:uid="{00000000-0005-0000-0000-0000EB1D0000}"/>
    <cellStyle name="Normal 8 4 2 4 2 2 2" xfId="26465" xr:uid="{6AA09BAA-BAC7-4BBE-86FF-13F78904D9A1}"/>
    <cellStyle name="Normal 8 4 2 4 2 2 3" xfId="17166" xr:uid="{51095C2B-D6BE-4865-9FB9-DE367D6B6EDA}"/>
    <cellStyle name="Normal 8 4 2 4 2 3" xfId="22248" xr:uid="{E7495573-F288-4F2B-B728-E9904DD889E8}"/>
    <cellStyle name="Normal 8 4 2 4 2 4" xfId="12949" xr:uid="{B600B6AC-8868-4536-B1B4-440ECE42292F}"/>
    <cellStyle name="Normal 8 4 2 4 3" xfId="5695" xr:uid="{00000000-0005-0000-0000-0000EC1D0000}"/>
    <cellStyle name="Normal 8 4 2 4 3 2" xfId="24320" xr:uid="{EB573326-BFAF-438E-825E-07C766E3526F}"/>
    <cellStyle name="Normal 8 4 2 4 3 3" xfId="15021" xr:uid="{16C9301D-FCE6-4732-A115-09405E7CBDA0}"/>
    <cellStyle name="Normal 8 4 2 4 4" xfId="20103" xr:uid="{F60B7C46-F1D9-4BEB-B989-0D36E252D835}"/>
    <cellStyle name="Normal 8 4 2 4 5" xfId="10804" xr:uid="{5123258F-0A92-4092-9119-63EB695C041A}"/>
    <cellStyle name="Normal 8 4 2 5" xfId="1801" xr:uid="{00000000-0005-0000-0000-0000ED1D0000}"/>
    <cellStyle name="Normal 8 4 2 5 2" xfId="4031" xr:uid="{00000000-0005-0000-0000-0000EE1D0000}"/>
    <cellStyle name="Normal 8 4 2 5 2 2" xfId="8253" xr:uid="{00000000-0005-0000-0000-0000EF1D0000}"/>
    <cellStyle name="Normal 8 4 2 5 2 2 2" xfId="26878" xr:uid="{13413000-91DE-46E7-B72C-33775766B996}"/>
    <cellStyle name="Normal 8 4 2 5 2 2 3" xfId="17579" xr:uid="{33A816A9-BAA7-48D7-B1E9-3B3FFB09BED5}"/>
    <cellStyle name="Normal 8 4 2 5 2 3" xfId="22661" xr:uid="{C42206D9-9161-4C99-9350-B33BCECB2057}"/>
    <cellStyle name="Normal 8 4 2 5 2 4" xfId="13362" xr:uid="{0CF4274C-6962-49C2-8D67-14AD8351AF76}"/>
    <cellStyle name="Normal 8 4 2 5 3" xfId="6108" xr:uid="{00000000-0005-0000-0000-0000F01D0000}"/>
    <cellStyle name="Normal 8 4 2 5 3 2" xfId="24733" xr:uid="{0D61DC0B-03CC-4237-822A-10D85AFFBA3A}"/>
    <cellStyle name="Normal 8 4 2 5 3 3" xfId="15434" xr:uid="{6341A901-C213-4259-A9F8-9A3E2789B5DE}"/>
    <cellStyle name="Normal 8 4 2 5 4" xfId="20516" xr:uid="{C7BD2053-F95F-4318-B7BD-A236D242F4A0}"/>
    <cellStyle name="Normal 8 4 2 5 5" xfId="11217" xr:uid="{A3706F88-0D1D-48ED-A737-2F6D890FD1F1}"/>
    <cellStyle name="Normal 8 4 2 6" xfId="2215" xr:uid="{00000000-0005-0000-0000-0000F11D0000}"/>
    <cellStyle name="Normal 8 4 2 6 2" xfId="4444" xr:uid="{00000000-0005-0000-0000-0000F21D0000}"/>
    <cellStyle name="Normal 8 4 2 6 2 2" xfId="8666" xr:uid="{00000000-0005-0000-0000-0000F31D0000}"/>
    <cellStyle name="Normal 8 4 2 6 2 2 2" xfId="27291" xr:uid="{42671E89-B6D5-4369-9662-8957AD5D003A}"/>
    <cellStyle name="Normal 8 4 2 6 2 2 3" xfId="17992" xr:uid="{24DD0DA1-AB79-4602-ACFB-84398FE846C6}"/>
    <cellStyle name="Normal 8 4 2 6 2 3" xfId="23074" xr:uid="{BB1DBC53-FEAD-49FC-9378-6D760E357881}"/>
    <cellStyle name="Normal 8 4 2 6 2 4" xfId="13775" xr:uid="{B95B25EC-7F23-4E0D-8F6F-CCF17A744609}"/>
    <cellStyle name="Normal 8 4 2 6 3" xfId="6521" xr:uid="{00000000-0005-0000-0000-0000F41D0000}"/>
    <cellStyle name="Normal 8 4 2 6 3 2" xfId="25146" xr:uid="{BCF8C14B-D60B-4AF5-9EC0-9AFA12630AA7}"/>
    <cellStyle name="Normal 8 4 2 6 3 3" xfId="15847" xr:uid="{35CB4CB2-6BE5-4E4B-890E-1C79E9B2F613}"/>
    <cellStyle name="Normal 8 4 2 6 4" xfId="20929" xr:uid="{3E0E8B74-9A28-45F9-99C9-43042C41F1B8}"/>
    <cellStyle name="Normal 8 4 2 6 5" xfId="11630" xr:uid="{3D4BF061-8E34-4190-AE03-38B5A0DEF0C4}"/>
    <cellStyle name="Normal 8 4 2 7" xfId="2651" xr:uid="{00000000-0005-0000-0000-0000F51D0000}"/>
    <cellStyle name="Normal 8 4 2 7 2" xfId="6934" xr:uid="{00000000-0005-0000-0000-0000F61D0000}"/>
    <cellStyle name="Normal 8 4 2 7 2 2" xfId="25559" xr:uid="{A5FB4843-89CD-4CBA-9A4E-4891610A5A69}"/>
    <cellStyle name="Normal 8 4 2 7 2 3" xfId="16260" xr:uid="{CE3C940E-A014-4E32-B524-845099C7A036}"/>
    <cellStyle name="Normal 8 4 2 7 3" xfId="21342" xr:uid="{E10C9BC9-9AF6-40E3-BD86-270A7C9ACF3D}"/>
    <cellStyle name="Normal 8 4 2 7 4" xfId="12043" xr:uid="{2B9ACF50-B743-4A5A-AEB0-6A8198C6CC1A}"/>
    <cellStyle name="Normal 8 4 2 8" xfId="4869" xr:uid="{00000000-0005-0000-0000-0000F71D0000}"/>
    <cellStyle name="Normal 8 4 2 8 2" xfId="23494" xr:uid="{3936146C-6E45-41D2-AD0B-7B64245F7947}"/>
    <cellStyle name="Normal 8 4 2 8 3" xfId="14195" xr:uid="{02EF34CD-9AFF-45C9-B329-19E1FEDF58B8}"/>
    <cellStyle name="Normal 8 4 2 9" xfId="8937" xr:uid="{B425CDA4-C1C1-4A6C-AB85-CE28E324A88F}"/>
    <cellStyle name="Normal 8 4 2 9 2" xfId="27560" xr:uid="{A4980DC0-1F0B-4540-BF2F-AF644A038EE6}"/>
    <cellStyle name="Normal 8 4 2 9 3" xfId="18261" xr:uid="{EC6259F3-5E5D-45AE-860A-BAE334464DF1}"/>
    <cellStyle name="Normal 8 4 3" xfId="506" xr:uid="{00000000-0005-0000-0000-0000F81D0000}"/>
    <cellStyle name="Normal 8 4 3 10" xfId="9980" xr:uid="{A31FEEE8-2711-4B7D-94AD-DDE7CE8AA187}"/>
    <cellStyle name="Normal 8 4 3 2" xfId="973" xr:uid="{00000000-0005-0000-0000-0000F91D0000}"/>
    <cellStyle name="Normal 8 4 3 2 2" xfId="3207" xr:uid="{00000000-0005-0000-0000-0000FA1D0000}"/>
    <cellStyle name="Normal 8 4 3 2 2 2" xfId="7429" xr:uid="{00000000-0005-0000-0000-0000FB1D0000}"/>
    <cellStyle name="Normal 8 4 3 2 2 2 2" xfId="26054" xr:uid="{30119772-C1DB-4D07-B45E-813B7DA1596F}"/>
    <cellStyle name="Normal 8 4 3 2 2 2 3" xfId="16755" xr:uid="{D178DE08-18EA-43B5-B369-2BDEFD59CFC1}"/>
    <cellStyle name="Normal 8 4 3 2 2 3" xfId="21837" xr:uid="{BD813864-35FE-4C29-AB7D-0ED4FBD41D60}"/>
    <cellStyle name="Normal 8 4 3 2 2 4" xfId="12538" xr:uid="{492F77C2-F3F4-4B54-AC8F-A85BC9867D6D}"/>
    <cellStyle name="Normal 8 4 3 2 3" xfId="5284" xr:uid="{00000000-0005-0000-0000-0000FC1D0000}"/>
    <cellStyle name="Normal 8 4 3 2 3 2" xfId="23909" xr:uid="{81941366-6847-4FB8-87CA-95ABC8C149E2}"/>
    <cellStyle name="Normal 8 4 3 2 3 3" xfId="14610" xr:uid="{2C753FE0-7FA1-4781-A565-1A34F99D87AF}"/>
    <cellStyle name="Normal 8 4 3 2 4" xfId="9466" xr:uid="{4C42748F-6D34-4D0D-8AE2-FFD5C0CBE26F}"/>
    <cellStyle name="Normal 8 4 3 2 4 2" xfId="28080" xr:uid="{7A2BABFB-EA53-4B7E-9F2C-2D82EBE6959C}"/>
    <cellStyle name="Normal 8 4 3 2 4 3" xfId="18781" xr:uid="{A2872BD3-CBB5-4748-BE43-B897F91DBDA5}"/>
    <cellStyle name="Normal 8 4 3 2 5" xfId="19692" xr:uid="{ACA2E690-D367-486B-98A7-05481C254BD8}"/>
    <cellStyle name="Normal 8 4 3 2 6" xfId="10393" xr:uid="{F3605C12-E39B-4FA9-942A-F790C23BC96B}"/>
    <cellStyle name="Normal 8 4 3 3" xfId="1390" xr:uid="{00000000-0005-0000-0000-0000FD1D0000}"/>
    <cellStyle name="Normal 8 4 3 3 2" xfId="3620" xr:uid="{00000000-0005-0000-0000-0000FE1D0000}"/>
    <cellStyle name="Normal 8 4 3 3 2 2" xfId="7842" xr:uid="{00000000-0005-0000-0000-0000FF1D0000}"/>
    <cellStyle name="Normal 8 4 3 3 2 2 2" xfId="26467" xr:uid="{5617070F-FA34-4E46-A46D-D3679723D345}"/>
    <cellStyle name="Normal 8 4 3 3 2 2 3" xfId="17168" xr:uid="{109EC33E-1896-4E2D-A9FE-1C54C4A8258F}"/>
    <cellStyle name="Normal 8 4 3 3 2 3" xfId="22250" xr:uid="{A1981647-519F-43BA-9522-983AA50D2ADE}"/>
    <cellStyle name="Normal 8 4 3 3 2 4" xfId="12951" xr:uid="{AF3C2AFB-A83F-4261-A88C-61724017CF81}"/>
    <cellStyle name="Normal 8 4 3 3 3" xfId="5697" xr:uid="{00000000-0005-0000-0000-0000001E0000}"/>
    <cellStyle name="Normal 8 4 3 3 3 2" xfId="24322" xr:uid="{C5259525-810B-43F7-963D-A9CFB6AF4A45}"/>
    <cellStyle name="Normal 8 4 3 3 3 3" xfId="15023" xr:uid="{2E0126BE-7799-45E4-87DE-7038C133D424}"/>
    <cellStyle name="Normal 8 4 3 3 4" xfId="20105" xr:uid="{31E6E86F-F046-4D8E-A5CB-9FC1CE141C3F}"/>
    <cellStyle name="Normal 8 4 3 3 5" xfId="10806" xr:uid="{C1249588-8B42-45B8-BA98-3CAECB011894}"/>
    <cellStyle name="Normal 8 4 3 4" xfId="1803" xr:uid="{00000000-0005-0000-0000-0000011E0000}"/>
    <cellStyle name="Normal 8 4 3 4 2" xfId="4033" xr:uid="{00000000-0005-0000-0000-0000021E0000}"/>
    <cellStyle name="Normal 8 4 3 4 2 2" xfId="8255" xr:uid="{00000000-0005-0000-0000-0000031E0000}"/>
    <cellStyle name="Normal 8 4 3 4 2 2 2" xfId="26880" xr:uid="{2F640EB8-2C98-4F67-AE28-0FE03379BBA5}"/>
    <cellStyle name="Normal 8 4 3 4 2 2 3" xfId="17581" xr:uid="{FEBF9F9A-BB09-4969-8371-93E339D5C35E}"/>
    <cellStyle name="Normal 8 4 3 4 2 3" xfId="22663" xr:uid="{FA39D5C4-E632-44F8-8E31-3E78B4FB7DF8}"/>
    <cellStyle name="Normal 8 4 3 4 2 4" xfId="13364" xr:uid="{E6E912A9-5CE1-4138-8FC6-BAFC1361D7CB}"/>
    <cellStyle name="Normal 8 4 3 4 3" xfId="6110" xr:uid="{00000000-0005-0000-0000-0000041E0000}"/>
    <cellStyle name="Normal 8 4 3 4 3 2" xfId="24735" xr:uid="{FED6A91D-691F-4774-B370-2EA9CC11327A}"/>
    <cellStyle name="Normal 8 4 3 4 3 3" xfId="15436" xr:uid="{786222CA-EEA4-461F-87B8-39772B94553A}"/>
    <cellStyle name="Normal 8 4 3 4 4" xfId="20518" xr:uid="{DA68220E-2DAF-477D-95C2-1A5DE9710C49}"/>
    <cellStyle name="Normal 8 4 3 4 5" xfId="11219" xr:uid="{DB295FFF-5196-4FD0-A3AC-3A64A31D8C4C}"/>
    <cellStyle name="Normal 8 4 3 5" xfId="2217" xr:uid="{00000000-0005-0000-0000-0000051E0000}"/>
    <cellStyle name="Normal 8 4 3 5 2" xfId="4446" xr:uid="{00000000-0005-0000-0000-0000061E0000}"/>
    <cellStyle name="Normal 8 4 3 5 2 2" xfId="8668" xr:uid="{00000000-0005-0000-0000-0000071E0000}"/>
    <cellStyle name="Normal 8 4 3 5 2 2 2" xfId="27293" xr:uid="{887AE73F-9D3F-4EDD-8162-217F25E6D916}"/>
    <cellStyle name="Normal 8 4 3 5 2 2 3" xfId="17994" xr:uid="{9FED7A2A-62D8-44DD-ADD4-4E19F5FB52C2}"/>
    <cellStyle name="Normal 8 4 3 5 2 3" xfId="23076" xr:uid="{E040F5D2-51E6-4E71-A1DF-0BDD4F0447AA}"/>
    <cellStyle name="Normal 8 4 3 5 2 4" xfId="13777" xr:uid="{D18EECC6-75A1-4757-9632-6966A1656553}"/>
    <cellStyle name="Normal 8 4 3 5 3" xfId="6523" xr:uid="{00000000-0005-0000-0000-0000081E0000}"/>
    <cellStyle name="Normal 8 4 3 5 3 2" xfId="25148" xr:uid="{D97D7E5B-8D4C-4999-88E3-3FDE04478060}"/>
    <cellStyle name="Normal 8 4 3 5 3 3" xfId="15849" xr:uid="{B1496FE6-9144-46EA-A831-93509BEC38BC}"/>
    <cellStyle name="Normal 8 4 3 5 4" xfId="20931" xr:uid="{F548699D-CD57-49CE-8BED-C51F15166FBA}"/>
    <cellStyle name="Normal 8 4 3 5 5" xfId="11632" xr:uid="{36293AB2-21E7-46F8-8F1A-B8F973C200B1}"/>
    <cellStyle name="Normal 8 4 3 6" xfId="2653" xr:uid="{00000000-0005-0000-0000-0000091E0000}"/>
    <cellStyle name="Normal 8 4 3 6 2" xfId="6936" xr:uid="{00000000-0005-0000-0000-00000A1E0000}"/>
    <cellStyle name="Normal 8 4 3 6 2 2" xfId="25561" xr:uid="{395354FC-DA21-4A39-B220-3470218DD1DB}"/>
    <cellStyle name="Normal 8 4 3 6 2 3" xfId="16262" xr:uid="{DCD6B121-5470-4995-8236-514F19BD600A}"/>
    <cellStyle name="Normal 8 4 3 6 3" xfId="21344" xr:uid="{BBC0A135-F61F-4C1B-88F1-57DF377E79B5}"/>
    <cellStyle name="Normal 8 4 3 6 4" xfId="12045" xr:uid="{4DDEE7D1-312C-46C6-8A4D-ADFB80CCB76C}"/>
    <cellStyle name="Normal 8 4 3 7" xfId="4871" xr:uid="{00000000-0005-0000-0000-00000B1E0000}"/>
    <cellStyle name="Normal 8 4 3 7 2" xfId="23496" xr:uid="{8A8944F6-3F96-4D7E-9585-FC952B2F5AB7}"/>
    <cellStyle name="Normal 8 4 3 7 3" xfId="14197" xr:uid="{70B86BAC-F57F-4661-AC6D-BB546F1F4CA3}"/>
    <cellStyle name="Normal 8 4 3 8" xfId="9041" xr:uid="{3EA15F1E-D38A-4BB8-BEC6-98D9A94BB79B}"/>
    <cellStyle name="Normal 8 4 3 8 2" xfId="27664" xr:uid="{4BAF8988-334B-4294-A18A-63F8D0B025D0}"/>
    <cellStyle name="Normal 8 4 3 8 3" xfId="18365" xr:uid="{D61B1DBD-7C84-49DA-A4D9-3A1E2DF1CC8C}"/>
    <cellStyle name="Normal 8 4 3 9" xfId="19279" xr:uid="{F1AF65E6-AEB5-416E-B89F-7650A615E1B6}"/>
    <cellStyle name="Normal 8 4 4" xfId="970" xr:uid="{00000000-0005-0000-0000-00000C1E0000}"/>
    <cellStyle name="Normal 8 4 4 2" xfId="3204" xr:uid="{00000000-0005-0000-0000-00000D1E0000}"/>
    <cellStyle name="Normal 8 4 4 2 2" xfId="7426" xr:uid="{00000000-0005-0000-0000-00000E1E0000}"/>
    <cellStyle name="Normal 8 4 4 2 2 2" xfId="26051" xr:uid="{0F6551CE-6C60-4484-80E7-8875F0CE9AEA}"/>
    <cellStyle name="Normal 8 4 4 2 2 3" xfId="16752" xr:uid="{CE4D40D5-6070-4152-ABC9-155276900D6F}"/>
    <cellStyle name="Normal 8 4 4 2 3" xfId="21834" xr:uid="{9A273D41-E465-4F39-8D3C-A1236B8DAD3F}"/>
    <cellStyle name="Normal 8 4 4 2 4" xfId="12535" xr:uid="{F4A9C4F9-7026-47B1-B943-46FA7B0EB389}"/>
    <cellStyle name="Normal 8 4 4 3" xfId="5281" xr:uid="{00000000-0005-0000-0000-00000F1E0000}"/>
    <cellStyle name="Normal 8 4 4 3 2" xfId="23906" xr:uid="{066E42C2-441B-45D8-8BDD-CCD8A86AE85B}"/>
    <cellStyle name="Normal 8 4 4 3 3" xfId="14607" xr:uid="{89F803E2-22E5-4BA5-95A8-36BDFE4DD772}"/>
    <cellStyle name="Normal 8 4 4 4" xfId="9259" xr:uid="{45904BAA-3C39-482B-A2B6-0FB84C0B889C}"/>
    <cellStyle name="Normal 8 4 4 4 2" xfId="27873" xr:uid="{7D7A5E43-10F8-4F73-AC29-533FA964E4E4}"/>
    <cellStyle name="Normal 8 4 4 4 3" xfId="18574" xr:uid="{6BA97BFD-5A80-4D2E-99D7-AE46B8ACBA36}"/>
    <cellStyle name="Normal 8 4 4 5" xfId="19689" xr:uid="{41A24037-4223-4D35-96D9-0514625F8E64}"/>
    <cellStyle name="Normal 8 4 4 6" xfId="10390" xr:uid="{A191F075-9C3A-46B2-AAEC-18165D076797}"/>
    <cellStyle name="Normal 8 4 5" xfId="1387" xr:uid="{00000000-0005-0000-0000-0000101E0000}"/>
    <cellStyle name="Normal 8 4 5 2" xfId="3617" xr:uid="{00000000-0005-0000-0000-0000111E0000}"/>
    <cellStyle name="Normal 8 4 5 2 2" xfId="7839" xr:uid="{00000000-0005-0000-0000-0000121E0000}"/>
    <cellStyle name="Normal 8 4 5 2 2 2" xfId="26464" xr:uid="{8BA2CF7A-822D-436E-934F-FB7C0B60518B}"/>
    <cellStyle name="Normal 8 4 5 2 2 3" xfId="17165" xr:uid="{9A2F6BA0-25BA-44CB-934A-EFA5B61FE2EF}"/>
    <cellStyle name="Normal 8 4 5 2 3" xfId="22247" xr:uid="{3D3067E5-BC36-4C1B-89BF-AE145EFED6EA}"/>
    <cellStyle name="Normal 8 4 5 2 4" xfId="12948" xr:uid="{FD1160F7-F079-46FC-B7D8-B42F30EC7697}"/>
    <cellStyle name="Normal 8 4 5 3" xfId="5694" xr:uid="{00000000-0005-0000-0000-0000131E0000}"/>
    <cellStyle name="Normal 8 4 5 3 2" xfId="24319" xr:uid="{FADB69DB-5A32-49C2-AD0C-45091E4EDF69}"/>
    <cellStyle name="Normal 8 4 5 3 3" xfId="15020" xr:uid="{5AB23D85-14D0-4907-ABA8-763452BC13B6}"/>
    <cellStyle name="Normal 8 4 5 4" xfId="20102" xr:uid="{9A508936-1472-477F-B36D-891B8CFF47A2}"/>
    <cellStyle name="Normal 8 4 5 5" xfId="10803" xr:uid="{31195606-A381-4D17-9FE5-16DBFDB33B71}"/>
    <cellStyle name="Normal 8 4 6" xfId="1800" xr:uid="{00000000-0005-0000-0000-0000141E0000}"/>
    <cellStyle name="Normal 8 4 6 2" xfId="4030" xr:uid="{00000000-0005-0000-0000-0000151E0000}"/>
    <cellStyle name="Normal 8 4 6 2 2" xfId="8252" xr:uid="{00000000-0005-0000-0000-0000161E0000}"/>
    <cellStyle name="Normal 8 4 6 2 2 2" xfId="26877" xr:uid="{45EE5C7F-3055-4F85-BE8F-A4C387309CD9}"/>
    <cellStyle name="Normal 8 4 6 2 2 3" xfId="17578" xr:uid="{0D8AD800-CEB8-49BF-AF52-FCD7E5947FC1}"/>
    <cellStyle name="Normal 8 4 6 2 3" xfId="22660" xr:uid="{376DCC1C-E2C2-4239-8CBA-96FC8AE3E6CC}"/>
    <cellStyle name="Normal 8 4 6 2 4" xfId="13361" xr:uid="{6ADE5CEB-5F42-41E5-9678-A5010EE9FB30}"/>
    <cellStyle name="Normal 8 4 6 3" xfId="6107" xr:uid="{00000000-0005-0000-0000-0000171E0000}"/>
    <cellStyle name="Normal 8 4 6 3 2" xfId="24732" xr:uid="{7F6EF8FD-A26B-4EE6-AE51-D88AF3688738}"/>
    <cellStyle name="Normal 8 4 6 3 3" xfId="15433" xr:uid="{3873C60C-E37F-442B-9BED-70B8E23355CF}"/>
    <cellStyle name="Normal 8 4 6 4" xfId="20515" xr:uid="{A9427CEC-D541-4680-BA08-0B30EA7EE776}"/>
    <cellStyle name="Normal 8 4 6 5" xfId="11216" xr:uid="{288973CF-6631-46B9-B782-4E7757F880E8}"/>
    <cellStyle name="Normal 8 4 7" xfId="2214" xr:uid="{00000000-0005-0000-0000-0000181E0000}"/>
    <cellStyle name="Normal 8 4 7 2" xfId="4443" xr:uid="{00000000-0005-0000-0000-0000191E0000}"/>
    <cellStyle name="Normal 8 4 7 2 2" xfId="8665" xr:uid="{00000000-0005-0000-0000-00001A1E0000}"/>
    <cellStyle name="Normal 8 4 7 2 2 2" xfId="27290" xr:uid="{0B32B343-6DBF-4119-AF20-07B8A9388BDC}"/>
    <cellStyle name="Normal 8 4 7 2 2 3" xfId="17991" xr:uid="{12857387-0D28-4371-A0D3-EDC0C86F7548}"/>
    <cellStyle name="Normal 8 4 7 2 3" xfId="23073" xr:uid="{7EF2FEA0-B8CE-422C-A7ED-4F4A735AEC39}"/>
    <cellStyle name="Normal 8 4 7 2 4" xfId="13774" xr:uid="{70934E7A-E077-401B-B09F-9F520BDA7757}"/>
    <cellStyle name="Normal 8 4 7 3" xfId="6520" xr:uid="{00000000-0005-0000-0000-00001B1E0000}"/>
    <cellStyle name="Normal 8 4 7 3 2" xfId="25145" xr:uid="{5BA940B8-C53D-41A1-B99E-701238B43CEC}"/>
    <cellStyle name="Normal 8 4 7 3 3" xfId="15846" xr:uid="{7F2A07F2-DAC4-4E10-8E73-03BB8DCCA820}"/>
    <cellStyle name="Normal 8 4 7 4" xfId="20928" xr:uid="{123DCD1B-029D-4438-BDA7-2AC581DE9404}"/>
    <cellStyle name="Normal 8 4 7 5" xfId="11629" xr:uid="{72722ED5-2F64-477E-BA6D-BF85DE688E07}"/>
    <cellStyle name="Normal 8 4 8" xfId="2650" xr:uid="{00000000-0005-0000-0000-00001C1E0000}"/>
    <cellStyle name="Normal 8 4 8 2" xfId="6933" xr:uid="{00000000-0005-0000-0000-00001D1E0000}"/>
    <cellStyle name="Normal 8 4 8 2 2" xfId="25558" xr:uid="{1E286674-1A1B-4D20-AC03-C912488E4526}"/>
    <cellStyle name="Normal 8 4 8 2 3" xfId="16259" xr:uid="{4AAC73A6-4E0A-4A46-A799-3E3038429E08}"/>
    <cellStyle name="Normal 8 4 8 3" xfId="21341" xr:uid="{A9CFCD2C-7A0A-449B-AA0F-BDF7B2C0736A}"/>
    <cellStyle name="Normal 8 4 8 4" xfId="12042" xr:uid="{80FEA4E7-CCC9-4AA1-8A72-3993DC04C500}"/>
    <cellStyle name="Normal 8 4 9" xfId="4868" xr:uid="{00000000-0005-0000-0000-00001E1E0000}"/>
    <cellStyle name="Normal 8 4 9 2" xfId="23493" xr:uid="{449402C8-1B64-486A-BBEC-C6A252AB1E9B}"/>
    <cellStyle name="Normal 8 4 9 3" xfId="14194" xr:uid="{2F2778E3-CD96-4E22-A0BF-FC9FFFF53A88}"/>
    <cellStyle name="Normal 8 5" xfId="507" xr:uid="{00000000-0005-0000-0000-00001F1E0000}"/>
    <cellStyle name="Normal 8 5 10" xfId="19280" xr:uid="{817E6016-2D44-49C4-9A24-745F809BF662}"/>
    <cellStyle name="Normal 8 5 11" xfId="9981" xr:uid="{15F6B524-D41E-44EE-BB6E-3DA916B5A2E3}"/>
    <cellStyle name="Normal 8 5 2" xfId="508" xr:uid="{00000000-0005-0000-0000-0000201E0000}"/>
    <cellStyle name="Normal 8 5 2 10" xfId="9982" xr:uid="{68A9E5B0-7CAF-478E-BAB2-8ECF6D063614}"/>
    <cellStyle name="Normal 8 5 2 2" xfId="975" xr:uid="{00000000-0005-0000-0000-0000211E0000}"/>
    <cellStyle name="Normal 8 5 2 2 2" xfId="3209" xr:uid="{00000000-0005-0000-0000-0000221E0000}"/>
    <cellStyle name="Normal 8 5 2 2 2 2" xfId="7431" xr:uid="{00000000-0005-0000-0000-0000231E0000}"/>
    <cellStyle name="Normal 8 5 2 2 2 2 2" xfId="26056" xr:uid="{0D4A0649-0282-4C5E-BC9B-CC1D0CE9BB09}"/>
    <cellStyle name="Normal 8 5 2 2 2 2 3" xfId="16757" xr:uid="{D4753806-C530-408B-9C59-0FC173351BF5}"/>
    <cellStyle name="Normal 8 5 2 2 2 3" xfId="21839" xr:uid="{B0E34570-0B13-456C-AD2E-C24B666F4C04}"/>
    <cellStyle name="Normal 8 5 2 2 2 4" xfId="12540" xr:uid="{595B8185-AEBC-4F16-975F-83154B62D477}"/>
    <cellStyle name="Normal 8 5 2 2 3" xfId="5286" xr:uid="{00000000-0005-0000-0000-0000241E0000}"/>
    <cellStyle name="Normal 8 5 2 2 3 2" xfId="23911" xr:uid="{DD86F502-2D20-447A-855A-60080BB22825}"/>
    <cellStyle name="Normal 8 5 2 2 3 3" xfId="14612" xr:uid="{395C0A32-D241-4B25-BC32-A6A357DFD6F7}"/>
    <cellStyle name="Normal 8 5 2 2 4" xfId="9477" xr:uid="{62ED1F43-6081-4B0B-94C3-5999D37D11C7}"/>
    <cellStyle name="Normal 8 5 2 2 4 2" xfId="28091" xr:uid="{D84E772A-3BA6-4760-8A9F-7ED6AC6DF813}"/>
    <cellStyle name="Normal 8 5 2 2 4 3" xfId="18792" xr:uid="{628D2CF0-E71B-4C15-A254-462DA832BF4B}"/>
    <cellStyle name="Normal 8 5 2 2 5" xfId="19694" xr:uid="{A52591D1-AD66-4BDF-A8DD-2B301378D4AB}"/>
    <cellStyle name="Normal 8 5 2 2 6" xfId="10395" xr:uid="{47D06DE8-7D29-44A7-9FA7-A71AFF1F5032}"/>
    <cellStyle name="Normal 8 5 2 3" xfId="1392" xr:uid="{00000000-0005-0000-0000-0000251E0000}"/>
    <cellStyle name="Normal 8 5 2 3 2" xfId="3622" xr:uid="{00000000-0005-0000-0000-0000261E0000}"/>
    <cellStyle name="Normal 8 5 2 3 2 2" xfId="7844" xr:uid="{00000000-0005-0000-0000-0000271E0000}"/>
    <cellStyle name="Normal 8 5 2 3 2 2 2" xfId="26469" xr:uid="{CAC1BB44-5AEE-4EE3-992C-23FDF2CB348B}"/>
    <cellStyle name="Normal 8 5 2 3 2 2 3" xfId="17170" xr:uid="{C58C8CA1-058F-4F21-9613-485E5DCEDCBC}"/>
    <cellStyle name="Normal 8 5 2 3 2 3" xfId="22252" xr:uid="{CAF75E6A-E88A-453E-8595-110EAA025D1B}"/>
    <cellStyle name="Normal 8 5 2 3 2 4" xfId="12953" xr:uid="{D89A1707-8B6D-4FA6-AD50-2A64F982C0E1}"/>
    <cellStyle name="Normal 8 5 2 3 3" xfId="5699" xr:uid="{00000000-0005-0000-0000-0000281E0000}"/>
    <cellStyle name="Normal 8 5 2 3 3 2" xfId="24324" xr:uid="{4A1A6072-6754-4704-A9A0-BAD88B0F3DCA}"/>
    <cellStyle name="Normal 8 5 2 3 3 3" xfId="15025" xr:uid="{4ACE4031-2768-4D97-B177-ED5E9B4978CE}"/>
    <cellStyle name="Normal 8 5 2 3 4" xfId="20107" xr:uid="{C33DE303-85C0-423F-93EF-DB6F4BAF0E44}"/>
    <cellStyle name="Normal 8 5 2 3 5" xfId="10808" xr:uid="{9A33643D-DF60-4321-87A5-8198349DF314}"/>
    <cellStyle name="Normal 8 5 2 4" xfId="1805" xr:uid="{00000000-0005-0000-0000-0000291E0000}"/>
    <cellStyle name="Normal 8 5 2 4 2" xfId="4035" xr:uid="{00000000-0005-0000-0000-00002A1E0000}"/>
    <cellStyle name="Normal 8 5 2 4 2 2" xfId="8257" xr:uid="{00000000-0005-0000-0000-00002B1E0000}"/>
    <cellStyle name="Normal 8 5 2 4 2 2 2" xfId="26882" xr:uid="{D02800C2-52E8-48CD-81C2-36327D22FCA0}"/>
    <cellStyle name="Normal 8 5 2 4 2 2 3" xfId="17583" xr:uid="{84B7C528-67C5-41A8-AC9D-7F57893F6900}"/>
    <cellStyle name="Normal 8 5 2 4 2 3" xfId="22665" xr:uid="{C1B24D51-F0E9-479B-9E1D-61E41CBF362A}"/>
    <cellStyle name="Normal 8 5 2 4 2 4" xfId="13366" xr:uid="{7F333E92-9CDF-49FB-956A-C07D4B90D62B}"/>
    <cellStyle name="Normal 8 5 2 4 3" xfId="6112" xr:uid="{00000000-0005-0000-0000-00002C1E0000}"/>
    <cellStyle name="Normal 8 5 2 4 3 2" xfId="24737" xr:uid="{EFFA30D9-F638-4F47-B5D4-3E553C195A74}"/>
    <cellStyle name="Normal 8 5 2 4 3 3" xfId="15438" xr:uid="{CF212736-0F23-4DF3-8FE8-F1BD401A4C84}"/>
    <cellStyle name="Normal 8 5 2 4 4" xfId="20520" xr:uid="{6D6A1CD3-7738-4E47-9066-5802A3420017}"/>
    <cellStyle name="Normal 8 5 2 4 5" xfId="11221" xr:uid="{417C15A6-186E-4A21-A77F-9AC0EA648460}"/>
    <cellStyle name="Normal 8 5 2 5" xfId="2219" xr:uid="{00000000-0005-0000-0000-00002D1E0000}"/>
    <cellStyle name="Normal 8 5 2 5 2" xfId="4448" xr:uid="{00000000-0005-0000-0000-00002E1E0000}"/>
    <cellStyle name="Normal 8 5 2 5 2 2" xfId="8670" xr:uid="{00000000-0005-0000-0000-00002F1E0000}"/>
    <cellStyle name="Normal 8 5 2 5 2 2 2" xfId="27295" xr:uid="{177DB517-6C5C-45E8-953A-E90A37A088C6}"/>
    <cellStyle name="Normal 8 5 2 5 2 2 3" xfId="17996" xr:uid="{BCE0724D-A43A-4D3E-B9A7-4956A3B09146}"/>
    <cellStyle name="Normal 8 5 2 5 2 3" xfId="23078" xr:uid="{0770E4B8-33EA-4D04-9129-4E3C5E557AFF}"/>
    <cellStyle name="Normal 8 5 2 5 2 4" xfId="13779" xr:uid="{8F09AD5E-238E-4AC1-9BD2-B4B9616E1B92}"/>
    <cellStyle name="Normal 8 5 2 5 3" xfId="6525" xr:uid="{00000000-0005-0000-0000-0000301E0000}"/>
    <cellStyle name="Normal 8 5 2 5 3 2" xfId="25150" xr:uid="{6435AE48-CF3F-4172-98E6-28411ACE8212}"/>
    <cellStyle name="Normal 8 5 2 5 3 3" xfId="15851" xr:uid="{4971B0E2-51B8-4F9C-9811-E8720ED194B7}"/>
    <cellStyle name="Normal 8 5 2 5 4" xfId="20933" xr:uid="{459F3B89-4A6A-45AD-A3FC-701927F2FE85}"/>
    <cellStyle name="Normal 8 5 2 5 5" xfId="11634" xr:uid="{410C49E0-A031-43B2-B5A5-8140820EFA1F}"/>
    <cellStyle name="Normal 8 5 2 6" xfId="2655" xr:uid="{00000000-0005-0000-0000-0000311E0000}"/>
    <cellStyle name="Normal 8 5 2 6 2" xfId="6938" xr:uid="{00000000-0005-0000-0000-0000321E0000}"/>
    <cellStyle name="Normal 8 5 2 6 2 2" xfId="25563" xr:uid="{C9A1591F-6269-4042-B293-B273BD03D828}"/>
    <cellStyle name="Normal 8 5 2 6 2 3" xfId="16264" xr:uid="{AF890F38-E9A6-49AA-A552-02CE63DBF366}"/>
    <cellStyle name="Normal 8 5 2 6 3" xfId="21346" xr:uid="{3315F812-2A91-4140-996D-20F45C7DBC9D}"/>
    <cellStyle name="Normal 8 5 2 6 4" xfId="12047" xr:uid="{AFB4A2AD-EEF5-4F84-B3C9-EAABC18A1651}"/>
    <cellStyle name="Normal 8 5 2 7" xfId="4873" xr:uid="{00000000-0005-0000-0000-0000331E0000}"/>
    <cellStyle name="Normal 8 5 2 7 2" xfId="23498" xr:uid="{EAB34EB7-70E3-4B91-B98F-D18A1E34C2FD}"/>
    <cellStyle name="Normal 8 5 2 7 3" xfId="14199" xr:uid="{9116FBC2-149C-413C-94C7-252696EC4888}"/>
    <cellStyle name="Normal 8 5 2 8" xfId="9052" xr:uid="{D754D15A-EECE-4975-9542-AF3C340304E3}"/>
    <cellStyle name="Normal 8 5 2 8 2" xfId="27675" xr:uid="{F3569506-10C9-46CA-AC28-68FE6011CD4B}"/>
    <cellStyle name="Normal 8 5 2 8 3" xfId="18376" xr:uid="{FCC17D9F-0F49-431B-906C-FEE491E186CA}"/>
    <cellStyle name="Normal 8 5 2 9" xfId="19281" xr:uid="{5CF1B783-D006-4A3A-8BE2-E58E259D8123}"/>
    <cellStyle name="Normal 8 5 3" xfId="974" xr:uid="{00000000-0005-0000-0000-0000341E0000}"/>
    <cellStyle name="Normal 8 5 3 2" xfId="3208" xr:uid="{00000000-0005-0000-0000-0000351E0000}"/>
    <cellStyle name="Normal 8 5 3 2 2" xfId="7430" xr:uid="{00000000-0005-0000-0000-0000361E0000}"/>
    <cellStyle name="Normal 8 5 3 2 2 2" xfId="26055" xr:uid="{EEE992E7-060D-4294-B62C-8D0F589D4343}"/>
    <cellStyle name="Normal 8 5 3 2 2 3" xfId="16756" xr:uid="{9563FEE0-D7DE-4C51-B69C-0C67A48A0F2E}"/>
    <cellStyle name="Normal 8 5 3 2 3" xfId="21838" xr:uid="{3799D3C5-3123-49DF-B70B-3A8B5FC7E315}"/>
    <cellStyle name="Normal 8 5 3 2 4" xfId="12539" xr:uid="{71E91B7A-2A21-4E40-97DF-9B170FE3483E}"/>
    <cellStyle name="Normal 8 5 3 3" xfId="5285" xr:uid="{00000000-0005-0000-0000-0000371E0000}"/>
    <cellStyle name="Normal 8 5 3 3 2" xfId="23910" xr:uid="{DCC0CEEA-7382-469D-8B08-CCBB7C11DBAB}"/>
    <cellStyle name="Normal 8 5 3 3 3" xfId="14611" xr:uid="{AB0CAFBC-7B08-4298-B61A-F43FB0549EB6}"/>
    <cellStyle name="Normal 8 5 3 4" xfId="9270" xr:uid="{88F9D262-71F2-4DD2-A7F6-B0DCE74ABD45}"/>
    <cellStyle name="Normal 8 5 3 4 2" xfId="27884" xr:uid="{502D6D0A-E32E-4BEC-AE5A-3F7ABF850FAB}"/>
    <cellStyle name="Normal 8 5 3 4 3" xfId="18585" xr:uid="{D198972D-286A-4A1C-8F85-A029AACE9391}"/>
    <cellStyle name="Normal 8 5 3 5" xfId="19693" xr:uid="{06F3DADE-5BD2-4150-917F-31271AE3DFA0}"/>
    <cellStyle name="Normal 8 5 3 6" xfId="10394" xr:uid="{47D9502F-75E8-4D86-BBF6-2DA9A6258891}"/>
    <cellStyle name="Normal 8 5 4" xfId="1391" xr:uid="{00000000-0005-0000-0000-0000381E0000}"/>
    <cellStyle name="Normal 8 5 4 2" xfId="3621" xr:uid="{00000000-0005-0000-0000-0000391E0000}"/>
    <cellStyle name="Normal 8 5 4 2 2" xfId="7843" xr:uid="{00000000-0005-0000-0000-00003A1E0000}"/>
    <cellStyle name="Normal 8 5 4 2 2 2" xfId="26468" xr:uid="{D655E019-AC4D-491F-8528-933A563B6548}"/>
    <cellStyle name="Normal 8 5 4 2 2 3" xfId="17169" xr:uid="{2E68E324-B6F7-4EF6-927D-7F68A05359A6}"/>
    <cellStyle name="Normal 8 5 4 2 3" xfId="22251" xr:uid="{C91C6B88-A003-4047-955D-21995BE26BF3}"/>
    <cellStyle name="Normal 8 5 4 2 4" xfId="12952" xr:uid="{99275E04-68FF-4A03-96F7-5CA029B22FB3}"/>
    <cellStyle name="Normal 8 5 4 3" xfId="5698" xr:uid="{00000000-0005-0000-0000-00003B1E0000}"/>
    <cellStyle name="Normal 8 5 4 3 2" xfId="24323" xr:uid="{B394A9BF-A8DE-452F-89E3-12A066D18B56}"/>
    <cellStyle name="Normal 8 5 4 3 3" xfId="15024" xr:uid="{8A950766-094C-41AA-9014-823641DD7735}"/>
    <cellStyle name="Normal 8 5 4 4" xfId="20106" xr:uid="{2E1F8334-DEF2-4120-A5C3-E7B0D708CF39}"/>
    <cellStyle name="Normal 8 5 4 5" xfId="10807" xr:uid="{DC9E8259-3744-4963-9DE6-770ABB00C6C1}"/>
    <cellStyle name="Normal 8 5 5" xfId="1804" xr:uid="{00000000-0005-0000-0000-00003C1E0000}"/>
    <cellStyle name="Normal 8 5 5 2" xfId="4034" xr:uid="{00000000-0005-0000-0000-00003D1E0000}"/>
    <cellStyle name="Normal 8 5 5 2 2" xfId="8256" xr:uid="{00000000-0005-0000-0000-00003E1E0000}"/>
    <cellStyle name="Normal 8 5 5 2 2 2" xfId="26881" xr:uid="{DBB90C64-F909-4086-B405-80D83534E396}"/>
    <cellStyle name="Normal 8 5 5 2 2 3" xfId="17582" xr:uid="{B50FE67B-3DBF-402B-908D-EC022213E39A}"/>
    <cellStyle name="Normal 8 5 5 2 3" xfId="22664" xr:uid="{C8E1CE9D-431B-4AD5-A791-05EFBF176733}"/>
    <cellStyle name="Normal 8 5 5 2 4" xfId="13365" xr:uid="{C8BF01AA-498D-4FAA-8253-F1CF3244E39A}"/>
    <cellStyle name="Normal 8 5 5 3" xfId="6111" xr:uid="{00000000-0005-0000-0000-00003F1E0000}"/>
    <cellStyle name="Normal 8 5 5 3 2" xfId="24736" xr:uid="{1D639786-7CF3-4C85-8B06-BFA93F20013E}"/>
    <cellStyle name="Normal 8 5 5 3 3" xfId="15437" xr:uid="{C9E12C56-7DE0-4D58-B285-A625DA1DCE9F}"/>
    <cellStyle name="Normal 8 5 5 4" xfId="20519" xr:uid="{4066D1F2-DFD3-4ED8-AC62-E80686236A76}"/>
    <cellStyle name="Normal 8 5 5 5" xfId="11220" xr:uid="{0ECAF27C-8444-4957-8392-E8A3E2AFC4BD}"/>
    <cellStyle name="Normal 8 5 6" xfId="2218" xr:uid="{00000000-0005-0000-0000-0000401E0000}"/>
    <cellStyle name="Normal 8 5 6 2" xfId="4447" xr:uid="{00000000-0005-0000-0000-0000411E0000}"/>
    <cellStyle name="Normal 8 5 6 2 2" xfId="8669" xr:uid="{00000000-0005-0000-0000-0000421E0000}"/>
    <cellStyle name="Normal 8 5 6 2 2 2" xfId="27294" xr:uid="{21E3E17D-8949-46BC-8331-2A992EBB2793}"/>
    <cellStyle name="Normal 8 5 6 2 2 3" xfId="17995" xr:uid="{D720AC22-08B3-43CD-8493-7AE9B8663C18}"/>
    <cellStyle name="Normal 8 5 6 2 3" xfId="23077" xr:uid="{290D6DF6-605F-41D0-8A5B-55BB363D1580}"/>
    <cellStyle name="Normal 8 5 6 2 4" xfId="13778" xr:uid="{53802DC1-5BB8-416C-822C-F5A57E808132}"/>
    <cellStyle name="Normal 8 5 6 3" xfId="6524" xr:uid="{00000000-0005-0000-0000-0000431E0000}"/>
    <cellStyle name="Normal 8 5 6 3 2" xfId="25149" xr:uid="{96F8A04C-0AE7-4A4E-B1E3-C8887E9B66F1}"/>
    <cellStyle name="Normal 8 5 6 3 3" xfId="15850" xr:uid="{91E0E698-FB4B-46DA-890A-43C8FF098B9F}"/>
    <cellStyle name="Normal 8 5 6 4" xfId="20932" xr:uid="{0D0C850E-F69D-45EB-93C0-F2BA985D1F67}"/>
    <cellStyle name="Normal 8 5 6 5" xfId="11633" xr:uid="{79016632-49C3-47C1-853B-6484CF323807}"/>
    <cellStyle name="Normal 8 5 7" xfId="2654" xr:uid="{00000000-0005-0000-0000-0000441E0000}"/>
    <cellStyle name="Normal 8 5 7 2" xfId="6937" xr:uid="{00000000-0005-0000-0000-0000451E0000}"/>
    <cellStyle name="Normal 8 5 7 2 2" xfId="25562" xr:uid="{D9A5FA6A-472C-49CB-ACFE-74ECD50C0160}"/>
    <cellStyle name="Normal 8 5 7 2 3" xfId="16263" xr:uid="{5FF01B44-F757-4992-AEBB-F10F907AB787}"/>
    <cellStyle name="Normal 8 5 7 3" xfId="21345" xr:uid="{5A4D7351-FECB-4156-98D6-C486022AAD62}"/>
    <cellStyle name="Normal 8 5 7 4" xfId="12046" xr:uid="{A08FEF2B-8032-4335-8FD4-9B997A71C5AB}"/>
    <cellStyle name="Normal 8 5 8" xfId="4872" xr:uid="{00000000-0005-0000-0000-0000461E0000}"/>
    <cellStyle name="Normal 8 5 8 2" xfId="23497" xr:uid="{D2D0BBFF-3A8C-407C-BB3B-8279291564FB}"/>
    <cellStyle name="Normal 8 5 8 3" xfId="14198" xr:uid="{B7F9A148-CD69-46A7-8C64-C611EF326591}"/>
    <cellStyle name="Normal 8 5 9" xfId="8845" xr:uid="{C8167C67-59BC-42DE-816D-718433EFB28C}"/>
    <cellStyle name="Normal 8 5 9 2" xfId="27468" xr:uid="{4905AF1D-54E8-47E5-94A2-A78A7522BFCD}"/>
    <cellStyle name="Normal 8 5 9 3" xfId="18169" xr:uid="{7FB2729D-60BC-4142-955B-C18D1CC31BC6}"/>
    <cellStyle name="Normal 8 6" xfId="509" xr:uid="{00000000-0005-0000-0000-0000471E0000}"/>
    <cellStyle name="Normal 8 6 10" xfId="9983" xr:uid="{D298A8A6-6F96-4AB7-90BD-CF7A2946DED7}"/>
    <cellStyle name="Normal 8 6 2" xfId="976" xr:uid="{00000000-0005-0000-0000-0000481E0000}"/>
    <cellStyle name="Normal 8 6 2 2" xfId="3210" xr:uid="{00000000-0005-0000-0000-0000491E0000}"/>
    <cellStyle name="Normal 8 6 2 2 2" xfId="7432" xr:uid="{00000000-0005-0000-0000-00004A1E0000}"/>
    <cellStyle name="Normal 8 6 2 2 2 2" xfId="26057" xr:uid="{8D9ADCA5-BBCE-47DD-80AC-7B45A32FF270}"/>
    <cellStyle name="Normal 8 6 2 2 2 3" xfId="16758" xr:uid="{CED06411-466D-4266-A774-59D9B1A36CE3}"/>
    <cellStyle name="Normal 8 6 2 2 3" xfId="21840" xr:uid="{8F547B7B-D6EE-4203-AAD5-6AAEE5AE58B6}"/>
    <cellStyle name="Normal 8 6 2 2 4" xfId="12541" xr:uid="{36023709-2F67-422F-8210-4202BAAEC55E}"/>
    <cellStyle name="Normal 8 6 2 3" xfId="5287" xr:uid="{00000000-0005-0000-0000-00004B1E0000}"/>
    <cellStyle name="Normal 8 6 2 3 2" xfId="23912" xr:uid="{24D40A22-229A-495C-9C89-277CC098C8C2}"/>
    <cellStyle name="Normal 8 6 2 3 3" xfId="14613" xr:uid="{807EE3E5-54F5-4BBD-B3EA-8427C612E70C}"/>
    <cellStyle name="Normal 8 6 2 4" xfId="9386" xr:uid="{45A5CE0D-B006-45BB-A53E-22B23F4367E3}"/>
    <cellStyle name="Normal 8 6 2 4 2" xfId="28000" xr:uid="{85B9AC91-9A85-4A70-8D62-299A3B584A67}"/>
    <cellStyle name="Normal 8 6 2 4 3" xfId="18701" xr:uid="{18183BB9-B675-4831-9BEB-321D488A2AE0}"/>
    <cellStyle name="Normal 8 6 2 5" xfId="19695" xr:uid="{09F277B0-C615-4986-8CCF-8A4116FC23EF}"/>
    <cellStyle name="Normal 8 6 2 6" xfId="10396" xr:uid="{BEE98381-1E1E-4798-80B1-950F0CD70CE6}"/>
    <cellStyle name="Normal 8 6 3" xfId="1393" xr:uid="{00000000-0005-0000-0000-00004C1E0000}"/>
    <cellStyle name="Normal 8 6 3 2" xfId="3623" xr:uid="{00000000-0005-0000-0000-00004D1E0000}"/>
    <cellStyle name="Normal 8 6 3 2 2" xfId="7845" xr:uid="{00000000-0005-0000-0000-00004E1E0000}"/>
    <cellStyle name="Normal 8 6 3 2 2 2" xfId="26470" xr:uid="{7DAD2EB6-12F7-4EFE-8E35-DC3DEC363CF0}"/>
    <cellStyle name="Normal 8 6 3 2 2 3" xfId="17171" xr:uid="{04BE385C-6D35-4D10-A041-3545060CA3E3}"/>
    <cellStyle name="Normal 8 6 3 2 3" xfId="22253" xr:uid="{D47AEC71-4B75-4444-B282-5EB7BC3604C4}"/>
    <cellStyle name="Normal 8 6 3 2 4" xfId="12954" xr:uid="{93A6B247-D921-4C05-8612-CF9E3412479E}"/>
    <cellStyle name="Normal 8 6 3 3" xfId="5700" xr:uid="{00000000-0005-0000-0000-00004F1E0000}"/>
    <cellStyle name="Normal 8 6 3 3 2" xfId="24325" xr:uid="{7A481038-E3F5-4EBD-B341-11E76BF61F5C}"/>
    <cellStyle name="Normal 8 6 3 3 3" xfId="15026" xr:uid="{BFB32336-0E7B-47AA-8B69-3A613F1B3731}"/>
    <cellStyle name="Normal 8 6 3 4" xfId="20108" xr:uid="{20F10168-3C63-4CA1-AB35-AD6E8F9B5F86}"/>
    <cellStyle name="Normal 8 6 3 5" xfId="10809" xr:uid="{098424A5-EDFA-4DCD-95F6-C0E7BA4BA4DC}"/>
    <cellStyle name="Normal 8 6 4" xfId="1806" xr:uid="{00000000-0005-0000-0000-0000501E0000}"/>
    <cellStyle name="Normal 8 6 4 2" xfId="4036" xr:uid="{00000000-0005-0000-0000-0000511E0000}"/>
    <cellStyle name="Normal 8 6 4 2 2" xfId="8258" xr:uid="{00000000-0005-0000-0000-0000521E0000}"/>
    <cellStyle name="Normal 8 6 4 2 2 2" xfId="26883" xr:uid="{37419EB7-C6D1-4F5A-992F-906284FECE6E}"/>
    <cellStyle name="Normal 8 6 4 2 2 3" xfId="17584" xr:uid="{C4BCA3DA-2D0A-4CD2-A914-A43AF8D84A81}"/>
    <cellStyle name="Normal 8 6 4 2 3" xfId="22666" xr:uid="{86EB5221-EA73-4A6D-94BE-CCA5D06E2A13}"/>
    <cellStyle name="Normal 8 6 4 2 4" xfId="13367" xr:uid="{CBA485E2-606F-47CB-8C3C-4B70AA3C8630}"/>
    <cellStyle name="Normal 8 6 4 3" xfId="6113" xr:uid="{00000000-0005-0000-0000-0000531E0000}"/>
    <cellStyle name="Normal 8 6 4 3 2" xfId="24738" xr:uid="{31C28114-16D5-4DA0-A4F7-C9C086409BDA}"/>
    <cellStyle name="Normal 8 6 4 3 3" xfId="15439" xr:uid="{59246C11-54E0-4318-949E-6F7E6A133D4B}"/>
    <cellStyle name="Normal 8 6 4 4" xfId="20521" xr:uid="{D4BEB2F5-DC9C-4225-9647-A3642FCC2DFF}"/>
    <cellStyle name="Normal 8 6 4 5" xfId="11222" xr:uid="{07B57436-2BE1-40B2-A51E-F50991C55D85}"/>
    <cellStyle name="Normal 8 6 5" xfId="2220" xr:uid="{00000000-0005-0000-0000-0000541E0000}"/>
    <cellStyle name="Normal 8 6 5 2" xfId="4449" xr:uid="{00000000-0005-0000-0000-0000551E0000}"/>
    <cellStyle name="Normal 8 6 5 2 2" xfId="8671" xr:uid="{00000000-0005-0000-0000-0000561E0000}"/>
    <cellStyle name="Normal 8 6 5 2 2 2" xfId="27296" xr:uid="{FEA32953-61B4-413B-B8E9-BE4D71949EBE}"/>
    <cellStyle name="Normal 8 6 5 2 2 3" xfId="17997" xr:uid="{927FF007-F931-449A-8FF8-EBD13785AEB2}"/>
    <cellStyle name="Normal 8 6 5 2 3" xfId="23079" xr:uid="{257FD2EF-4F84-4846-A623-B373DE2560F5}"/>
    <cellStyle name="Normal 8 6 5 2 4" xfId="13780" xr:uid="{DBFA51BF-AD4B-4438-8FB2-4E2CA96554B2}"/>
    <cellStyle name="Normal 8 6 5 3" xfId="6526" xr:uid="{00000000-0005-0000-0000-0000571E0000}"/>
    <cellStyle name="Normal 8 6 5 3 2" xfId="25151" xr:uid="{FFCD44D0-7BA6-4D79-B977-EBE6150ACC8F}"/>
    <cellStyle name="Normal 8 6 5 3 3" xfId="15852" xr:uid="{C21199B3-3FED-4A81-A218-9CCE16623937}"/>
    <cellStyle name="Normal 8 6 5 4" xfId="20934" xr:uid="{B757BF17-15E1-451E-91A7-30CBA11D3ECB}"/>
    <cellStyle name="Normal 8 6 5 5" xfId="11635" xr:uid="{0EAE33B1-CD48-4B3F-B466-E237083763CB}"/>
    <cellStyle name="Normal 8 6 6" xfId="2656" xr:uid="{00000000-0005-0000-0000-0000581E0000}"/>
    <cellStyle name="Normal 8 6 6 2" xfId="6939" xr:uid="{00000000-0005-0000-0000-0000591E0000}"/>
    <cellStyle name="Normal 8 6 6 2 2" xfId="25564" xr:uid="{1C506018-1A8F-4EA4-983F-E3B920092604}"/>
    <cellStyle name="Normal 8 6 6 2 3" xfId="16265" xr:uid="{79CE1C42-0EA1-4505-8FA8-9CBC3D77B8AD}"/>
    <cellStyle name="Normal 8 6 6 3" xfId="21347" xr:uid="{DFD90E6E-2DF3-4216-B543-88444A83DF70}"/>
    <cellStyle name="Normal 8 6 6 4" xfId="12048" xr:uid="{C8C4A840-AF87-4085-B753-D71F1B4CE8EA}"/>
    <cellStyle name="Normal 8 6 7" xfId="4874" xr:uid="{00000000-0005-0000-0000-00005A1E0000}"/>
    <cellStyle name="Normal 8 6 7 2" xfId="23499" xr:uid="{77666614-8C70-4105-8863-3B5B4B7F595B}"/>
    <cellStyle name="Normal 8 6 7 3" xfId="14200" xr:uid="{073095A0-F852-454D-A120-22024377E5FB}"/>
    <cellStyle name="Normal 8 6 8" xfId="8961" xr:uid="{36060843-7B38-46C3-B2F1-7172ECB11EEE}"/>
    <cellStyle name="Normal 8 6 8 2" xfId="27584" xr:uid="{8558CAE3-A5CA-4974-8E01-D3D05843B5CE}"/>
    <cellStyle name="Normal 8 6 8 3" xfId="18285" xr:uid="{FF2557DB-EA6E-4EE0-A467-2CF0066B7752}"/>
    <cellStyle name="Normal 8 6 9" xfId="19282" xr:uid="{CEF54D58-5588-40F5-98CA-838AEBBCAF27}"/>
    <cellStyle name="Normal 8 7" xfId="945" xr:uid="{00000000-0005-0000-0000-00005B1E0000}"/>
    <cellStyle name="Normal 8 7 2" xfId="3179" xr:uid="{00000000-0005-0000-0000-00005C1E0000}"/>
    <cellStyle name="Normal 8 7 2 2" xfId="7401" xr:uid="{00000000-0005-0000-0000-00005D1E0000}"/>
    <cellStyle name="Normal 8 7 2 2 2" xfId="26026" xr:uid="{41FC71CD-A6A0-4CCE-AF7A-09ED372B3C86}"/>
    <cellStyle name="Normal 8 7 2 2 3" xfId="16727" xr:uid="{0C8AA7A0-E6BF-4255-97FD-7F983133D858}"/>
    <cellStyle name="Normal 8 7 2 3" xfId="21809" xr:uid="{72E011E6-C176-4BB1-85BA-D7C5E132071B}"/>
    <cellStyle name="Normal 8 7 2 4" xfId="12510" xr:uid="{1302FAC8-0440-4741-9D3C-AADEE9EC4CB2}"/>
    <cellStyle name="Normal 8 7 3" xfId="5256" xr:uid="{00000000-0005-0000-0000-00005E1E0000}"/>
    <cellStyle name="Normal 8 7 3 2" xfId="23881" xr:uid="{A227C655-49BF-4922-A955-DEA469241807}"/>
    <cellStyle name="Normal 8 7 3 3" xfId="14582" xr:uid="{BC8960AD-A458-40BD-8FB1-DE7ACB458EF8}"/>
    <cellStyle name="Normal 8 7 4" xfId="9164" xr:uid="{EA2ADDDA-E9AC-4FF8-B08B-61B1D6489A46}"/>
    <cellStyle name="Normal 8 7 4 2" xfId="27781" xr:uid="{924511DC-C2A7-4028-A89E-2E4F309E7274}"/>
    <cellStyle name="Normal 8 7 4 3" xfId="18482" xr:uid="{0E51D2ED-872D-49B3-8FCF-399F714A3E96}"/>
    <cellStyle name="Normal 8 7 5" xfId="19664" xr:uid="{C356274C-03B4-4C8A-A62F-A9B96896048F}"/>
    <cellStyle name="Normal 8 7 6" xfId="10365" xr:uid="{1E6B2C5D-B196-4CE1-8508-0BBD86EC7B0D}"/>
    <cellStyle name="Normal 8 8" xfId="1362" xr:uid="{00000000-0005-0000-0000-00005F1E0000}"/>
    <cellStyle name="Normal 8 8 2" xfId="3592" xr:uid="{00000000-0005-0000-0000-0000601E0000}"/>
    <cellStyle name="Normal 8 8 2 2" xfId="7814" xr:uid="{00000000-0005-0000-0000-0000611E0000}"/>
    <cellStyle name="Normal 8 8 2 2 2" xfId="26439" xr:uid="{BE9762B4-CE71-44AE-967D-DA50667E0B87}"/>
    <cellStyle name="Normal 8 8 2 2 3" xfId="17140" xr:uid="{144C8002-3FC9-4288-BDBE-FF3B7544DC42}"/>
    <cellStyle name="Normal 8 8 2 3" xfId="22222" xr:uid="{028C0D14-E8D2-4536-93AF-18C26415E8B5}"/>
    <cellStyle name="Normal 8 8 2 4" xfId="12923" xr:uid="{B2657338-D74B-4065-A914-F417DBEC4E2B}"/>
    <cellStyle name="Normal 8 8 3" xfId="5669" xr:uid="{00000000-0005-0000-0000-0000621E0000}"/>
    <cellStyle name="Normal 8 8 3 2" xfId="24294" xr:uid="{58C68EA8-7CD0-4E49-BA81-8A9D79239B5C}"/>
    <cellStyle name="Normal 8 8 3 3" xfId="14995" xr:uid="{D19AFAED-3ADC-4337-BC99-D80BAEAB5F6A}"/>
    <cellStyle name="Normal 8 8 4" xfId="20077" xr:uid="{2422C3BF-D00A-4FAD-9861-6E4E8008DA33}"/>
    <cellStyle name="Normal 8 8 5" xfId="10778" xr:uid="{4BC930D8-389C-4CBF-80D9-9D87F9674FD9}"/>
    <cellStyle name="Normal 8 9" xfId="1775" xr:uid="{00000000-0005-0000-0000-0000631E0000}"/>
    <cellStyle name="Normal 8 9 2" xfId="4005" xr:uid="{00000000-0005-0000-0000-0000641E0000}"/>
    <cellStyle name="Normal 8 9 2 2" xfId="8227" xr:uid="{00000000-0005-0000-0000-0000651E0000}"/>
    <cellStyle name="Normal 8 9 2 2 2" xfId="26852" xr:uid="{9A41578A-E734-4A7F-9D87-1F1859772449}"/>
    <cellStyle name="Normal 8 9 2 2 3" xfId="17553" xr:uid="{2388C76D-9EF7-441E-A1DC-B781EFA01186}"/>
    <cellStyle name="Normal 8 9 2 3" xfId="22635" xr:uid="{D88B7AE6-D2CE-4918-890A-583F6A4C2FEF}"/>
    <cellStyle name="Normal 8 9 2 4" xfId="13336" xr:uid="{7E767D0C-FC4A-435C-BA9C-C4332FB01340}"/>
    <cellStyle name="Normal 8 9 3" xfId="6082" xr:uid="{00000000-0005-0000-0000-0000661E0000}"/>
    <cellStyle name="Normal 8 9 3 2" xfId="24707" xr:uid="{17A2C2E7-233E-4360-909A-C4603ED2D560}"/>
    <cellStyle name="Normal 8 9 3 3" xfId="15408" xr:uid="{7843370F-50A9-48B0-B61C-D99E633FACDA}"/>
    <cellStyle name="Normal 8 9 4" xfId="20490" xr:uid="{13A98569-3D92-4D36-A5D7-EFA0F9FE0C7B}"/>
    <cellStyle name="Normal 8 9 5" xfId="11191" xr:uid="{81ED551E-1015-4B03-89DA-B8A4148254FF}"/>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0 2 2" xfId="25565" xr:uid="{6F591762-BFB4-4780-962D-A78C8DE2BF5E}"/>
    <cellStyle name="Normal 9 2 10 2 3" xfId="16266" xr:uid="{4C074D97-77C1-469B-9DAD-AC3AD2258BCF}"/>
    <cellStyle name="Normal 9 2 10 3" xfId="21348" xr:uid="{93F3F135-59A8-4472-9344-B80A9AD4F92B}"/>
    <cellStyle name="Normal 9 2 10 4" xfId="12049" xr:uid="{D140B5B6-CAC1-4087-81AC-AEE1537F3C05}"/>
    <cellStyle name="Normal 9 2 11" xfId="4875" xr:uid="{00000000-0005-0000-0000-00006B1E0000}"/>
    <cellStyle name="Normal 9 2 11 2" xfId="23500" xr:uid="{233FCFEB-9ECE-4A09-98D3-A07907C5888A}"/>
    <cellStyle name="Normal 9 2 11 3" xfId="14201" xr:uid="{35F5226D-3CA9-4182-96C1-5C927D50A868}"/>
    <cellStyle name="Normal 9 2 12" xfId="8754" xr:uid="{9024D06A-4C5F-4C89-BCDB-29B8C924FF52}"/>
    <cellStyle name="Normal 9 2 12 2" xfId="27377" xr:uid="{43B56144-BF25-4826-B2AC-B7F4409A2CCF}"/>
    <cellStyle name="Normal 9 2 12 3" xfId="18078" xr:uid="{BC91231B-99F5-460E-8B42-2720E8AA62BC}"/>
    <cellStyle name="Normal 9 2 13" xfId="19283" xr:uid="{21761151-8E9C-4394-B563-270E64B47151}"/>
    <cellStyle name="Normal 9 2 14" xfId="9984" xr:uid="{D356E235-79DC-43DE-8754-4E96D2052850}"/>
    <cellStyle name="Normal 9 2 2" xfId="512" xr:uid="{00000000-0005-0000-0000-00006C1E0000}"/>
    <cellStyle name="Normal 9 2 2 10" xfId="4876" xr:uid="{00000000-0005-0000-0000-00006D1E0000}"/>
    <cellStyle name="Normal 9 2 2 10 2" xfId="23501" xr:uid="{DC8E2141-305F-412D-BD4E-348D8495289A}"/>
    <cellStyle name="Normal 9 2 2 10 3" xfId="14202" xr:uid="{658FE057-B930-47C2-BBC1-B36D609111AD}"/>
    <cellStyle name="Normal 9 2 2 11" xfId="8785" xr:uid="{3048542E-ED39-45ED-9C91-0140D2CF60D9}"/>
    <cellStyle name="Normal 9 2 2 11 2" xfId="27408" xr:uid="{03535653-3B99-40ED-BE13-183D7A517727}"/>
    <cellStyle name="Normal 9 2 2 11 3" xfId="18109" xr:uid="{B9FD2DB8-E5C3-4DF5-A27D-57E4DEEF8AC7}"/>
    <cellStyle name="Normal 9 2 2 12" xfId="19284" xr:uid="{A0F2E353-29DE-4F28-9B88-4DEB13955666}"/>
    <cellStyle name="Normal 9 2 2 13" xfId="9985" xr:uid="{4594E45D-0F47-4733-9527-1FB1B172B576}"/>
    <cellStyle name="Normal 9 2 2 2" xfId="513" xr:uid="{00000000-0005-0000-0000-00006E1E0000}"/>
    <cellStyle name="Normal 9 2 2 2 10" xfId="8839" xr:uid="{3B2DC7F4-4F49-4AE2-9279-EFD4857A149B}"/>
    <cellStyle name="Normal 9 2 2 2 10 2" xfId="27462" xr:uid="{E24C538D-8284-4E83-BAB1-827EB2A4BD4E}"/>
    <cellStyle name="Normal 9 2 2 2 10 3" xfId="18163" xr:uid="{CB3761AE-6EA2-46A8-A8AB-E6A93D5BBAD9}"/>
    <cellStyle name="Normal 9 2 2 2 11" xfId="19285" xr:uid="{520E83EA-7BFC-4CDC-842D-B69FDFBDC916}"/>
    <cellStyle name="Normal 9 2 2 2 12" xfId="9986" xr:uid="{527475B1-A3BB-4690-85F2-88B10C5D436B}"/>
    <cellStyle name="Normal 9 2 2 2 2" xfId="514" xr:uid="{00000000-0005-0000-0000-00006F1E0000}"/>
    <cellStyle name="Normal 9 2 2 2 2 10" xfId="19286" xr:uid="{7D1A8D7C-210D-4C8B-BC72-396779240E15}"/>
    <cellStyle name="Normal 9 2 2 2 2 11" xfId="9987" xr:uid="{1A5E0C8C-BF23-4CBD-B670-9598B25C402D}"/>
    <cellStyle name="Normal 9 2 2 2 2 2" xfId="515" xr:uid="{00000000-0005-0000-0000-0000701E0000}"/>
    <cellStyle name="Normal 9 2 2 2 2 2 10" xfId="9988" xr:uid="{0365FC79-F7B2-4203-BC2E-A4F649C59B31}"/>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2 2 2" xfId="26062" xr:uid="{1AEE9FBE-AA30-4935-AD73-07366EF87C04}"/>
    <cellStyle name="Normal 9 2 2 2 2 2 2 2 2 3" xfId="16763" xr:uid="{C317B9F1-17F8-4D96-8FA3-92674773BE37}"/>
    <cellStyle name="Normal 9 2 2 2 2 2 2 2 3" xfId="21845" xr:uid="{C34355DB-6189-4F10-B7E4-1E343032C77D}"/>
    <cellStyle name="Normal 9 2 2 2 2 2 2 2 4" xfId="12546" xr:uid="{91EC75A0-A2D4-4864-8894-49FDD7198767}"/>
    <cellStyle name="Normal 9 2 2 2 2 2 2 3" xfId="5292" xr:uid="{00000000-0005-0000-0000-0000741E0000}"/>
    <cellStyle name="Normal 9 2 2 2 2 2 2 3 2" xfId="23917" xr:uid="{8311E61E-A4E4-46D0-BB2C-6AE1050CA3B4}"/>
    <cellStyle name="Normal 9 2 2 2 2 2 2 3 3" xfId="14618" xr:uid="{D9B51A31-5D35-49D8-8DC4-ABC4329B8DEB}"/>
    <cellStyle name="Normal 9 2 2 2 2 2 2 4" xfId="9574" xr:uid="{00EB170D-8A20-4280-B781-E452C3590555}"/>
    <cellStyle name="Normal 9 2 2 2 2 2 2 4 2" xfId="28188" xr:uid="{6E13318E-7775-41C1-B9D9-DDEB639C17B4}"/>
    <cellStyle name="Normal 9 2 2 2 2 2 2 4 3" xfId="18889" xr:uid="{0A134779-9527-4EB4-9385-C6CB936E56C1}"/>
    <cellStyle name="Normal 9 2 2 2 2 2 2 5" xfId="19700" xr:uid="{661E9B0B-3471-4590-A62C-3B867441930C}"/>
    <cellStyle name="Normal 9 2 2 2 2 2 2 6" xfId="10401" xr:uid="{D5AD1CEA-D9F7-4016-B335-0884B9276631}"/>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2 2 2" xfId="26475" xr:uid="{0E56D3BB-BF13-4A0E-88A2-15652FA018D8}"/>
    <cellStyle name="Normal 9 2 2 2 2 2 3 2 2 3" xfId="17176" xr:uid="{59F0F4E0-BA38-4B44-91AB-3BC713FD4107}"/>
    <cellStyle name="Normal 9 2 2 2 2 2 3 2 3" xfId="22258" xr:uid="{3EEA1812-9070-47D8-AFAD-5A265987BC50}"/>
    <cellStyle name="Normal 9 2 2 2 2 2 3 2 4" xfId="12959" xr:uid="{E2539E04-B7C9-4C66-A837-79DA07B4C768}"/>
    <cellStyle name="Normal 9 2 2 2 2 2 3 3" xfId="5705" xr:uid="{00000000-0005-0000-0000-0000781E0000}"/>
    <cellStyle name="Normal 9 2 2 2 2 2 3 3 2" xfId="24330" xr:uid="{9D7A6279-7CEA-448B-ABA5-1C2C3ADA6CA4}"/>
    <cellStyle name="Normal 9 2 2 2 2 2 3 3 3" xfId="15031" xr:uid="{2E0B3814-3FB1-40CE-87B0-5C6C8B809FDA}"/>
    <cellStyle name="Normal 9 2 2 2 2 2 3 4" xfId="20113" xr:uid="{E58EC8AC-DC55-4B61-90B9-F7A3654BA3BF}"/>
    <cellStyle name="Normal 9 2 2 2 2 2 3 5" xfId="10814" xr:uid="{A2CA930E-7995-4EA1-A446-718052D59BD7}"/>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2 2 2" xfId="26888" xr:uid="{6168A42E-63D9-4437-AF18-ADC88F7BE1DA}"/>
    <cellStyle name="Normal 9 2 2 2 2 2 4 2 2 3" xfId="17589" xr:uid="{853639F9-B65D-4AEF-8124-E6D240BC85C7}"/>
    <cellStyle name="Normal 9 2 2 2 2 2 4 2 3" xfId="22671" xr:uid="{27D4D63E-6E4A-46C5-9B04-159E51456951}"/>
    <cellStyle name="Normal 9 2 2 2 2 2 4 2 4" xfId="13372" xr:uid="{A3BA9629-6DF9-4AA6-A1B5-4A8FAE06D67D}"/>
    <cellStyle name="Normal 9 2 2 2 2 2 4 3" xfId="6118" xr:uid="{00000000-0005-0000-0000-00007C1E0000}"/>
    <cellStyle name="Normal 9 2 2 2 2 2 4 3 2" xfId="24743" xr:uid="{E3039354-682F-438D-B753-9E05668E99F9}"/>
    <cellStyle name="Normal 9 2 2 2 2 2 4 3 3" xfId="15444" xr:uid="{ABA0C7D0-5E00-4CF8-AEBE-6F496BED1E2F}"/>
    <cellStyle name="Normal 9 2 2 2 2 2 4 4" xfId="20526" xr:uid="{F76BFDB0-23C8-4121-AE75-AE8CDCFBEFF4}"/>
    <cellStyle name="Normal 9 2 2 2 2 2 4 5" xfId="11227" xr:uid="{07C91F53-2768-4BE7-93BE-F5AC73ED353C}"/>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2 2 2" xfId="27301" xr:uid="{6AB00D14-78E3-4E28-BD45-D6159AEFDE23}"/>
    <cellStyle name="Normal 9 2 2 2 2 2 5 2 2 3" xfId="18002" xr:uid="{2FFCE0F9-0A01-431C-A5CC-7FC24E99C447}"/>
    <cellStyle name="Normal 9 2 2 2 2 2 5 2 3" xfId="23084" xr:uid="{C054992C-A7FA-4F9D-9805-99DE2E6A3854}"/>
    <cellStyle name="Normal 9 2 2 2 2 2 5 2 4" xfId="13785" xr:uid="{23CC91FD-9935-4CD4-98EB-BA992A4B779B}"/>
    <cellStyle name="Normal 9 2 2 2 2 2 5 3" xfId="6531" xr:uid="{00000000-0005-0000-0000-0000801E0000}"/>
    <cellStyle name="Normal 9 2 2 2 2 2 5 3 2" xfId="25156" xr:uid="{DE375EC6-4F20-4136-9FE4-C53484E67D93}"/>
    <cellStyle name="Normal 9 2 2 2 2 2 5 3 3" xfId="15857" xr:uid="{771A9D58-E992-45A0-8A5C-FAC257E0D23B}"/>
    <cellStyle name="Normal 9 2 2 2 2 2 5 4" xfId="20939" xr:uid="{CEF48329-9652-4F62-9C61-5DBF99A9F7AB}"/>
    <cellStyle name="Normal 9 2 2 2 2 2 5 5" xfId="11640" xr:uid="{EEEDE23B-4E7D-4A48-A68C-DDE481B6C64F}"/>
    <cellStyle name="Normal 9 2 2 2 2 2 6" xfId="2661" xr:uid="{00000000-0005-0000-0000-0000811E0000}"/>
    <cellStyle name="Normal 9 2 2 2 2 2 6 2" xfId="6944" xr:uid="{00000000-0005-0000-0000-0000821E0000}"/>
    <cellStyle name="Normal 9 2 2 2 2 2 6 2 2" xfId="25569" xr:uid="{08701418-83E3-4FFA-AB0A-BB70B007FE9B}"/>
    <cellStyle name="Normal 9 2 2 2 2 2 6 2 3" xfId="16270" xr:uid="{489076A4-9B34-44D2-A47C-C7FA89B1888C}"/>
    <cellStyle name="Normal 9 2 2 2 2 2 6 3" xfId="21352" xr:uid="{B28E6C66-10AC-423C-8DC1-7944E2D58C5B}"/>
    <cellStyle name="Normal 9 2 2 2 2 2 6 4" xfId="12053" xr:uid="{51E46F82-14A4-4AEE-807E-B27AC9E5FBAD}"/>
    <cellStyle name="Normal 9 2 2 2 2 2 7" xfId="4879" xr:uid="{00000000-0005-0000-0000-0000831E0000}"/>
    <cellStyle name="Normal 9 2 2 2 2 2 7 2" xfId="23504" xr:uid="{D418DCCA-C5E3-481D-AC91-EAB6E3D97C89}"/>
    <cellStyle name="Normal 9 2 2 2 2 2 7 3" xfId="14205" xr:uid="{6EBB8D7C-D9F3-487F-A668-4161746EA7A7}"/>
    <cellStyle name="Normal 9 2 2 2 2 2 8" xfId="9149" xr:uid="{6C0BEC1E-EE3B-4956-830C-8775C93DB46A}"/>
    <cellStyle name="Normal 9 2 2 2 2 2 8 2" xfId="27772" xr:uid="{57356868-01A3-40C3-8FB4-352A8C85C572}"/>
    <cellStyle name="Normal 9 2 2 2 2 2 8 3" xfId="18473" xr:uid="{A612916B-59DF-461A-BB90-AB0807B1EE8B}"/>
    <cellStyle name="Normal 9 2 2 2 2 2 9" xfId="19287" xr:uid="{2EB016A4-A3FA-415A-B130-D794D8382B53}"/>
    <cellStyle name="Normal 9 2 2 2 2 3" xfId="981" xr:uid="{00000000-0005-0000-0000-0000841E0000}"/>
    <cellStyle name="Normal 9 2 2 2 2 3 2" xfId="3214" xr:uid="{00000000-0005-0000-0000-0000851E0000}"/>
    <cellStyle name="Normal 9 2 2 2 2 3 2 2" xfId="7436" xr:uid="{00000000-0005-0000-0000-0000861E0000}"/>
    <cellStyle name="Normal 9 2 2 2 2 3 2 2 2" xfId="26061" xr:uid="{795D2E5D-CF21-465A-84B0-4F52FA320C62}"/>
    <cellStyle name="Normal 9 2 2 2 2 3 2 2 3" xfId="16762" xr:uid="{2EE73686-44B2-4DBB-907C-BA3F26ED9559}"/>
    <cellStyle name="Normal 9 2 2 2 2 3 2 3" xfId="21844" xr:uid="{56279769-BAC0-4CD5-8BDC-F30AD89FA3E6}"/>
    <cellStyle name="Normal 9 2 2 2 2 3 2 4" xfId="12545" xr:uid="{F70158CE-1BAB-40F7-B5BD-36996659003E}"/>
    <cellStyle name="Normal 9 2 2 2 2 3 3" xfId="5291" xr:uid="{00000000-0005-0000-0000-0000871E0000}"/>
    <cellStyle name="Normal 9 2 2 2 2 3 3 2" xfId="23916" xr:uid="{D9A9E47E-DCC2-4F55-A8CE-1AAA60AA62F8}"/>
    <cellStyle name="Normal 9 2 2 2 2 3 3 3" xfId="14617" xr:uid="{80050A05-6F29-4F0B-AF68-279B5199060D}"/>
    <cellStyle name="Normal 9 2 2 2 2 3 4" xfId="9367" xr:uid="{4A654E22-020A-4B0F-8753-639C44EA908A}"/>
    <cellStyle name="Normal 9 2 2 2 2 3 4 2" xfId="27981" xr:uid="{D8F51035-D286-4E6B-8396-772FE9E8908E}"/>
    <cellStyle name="Normal 9 2 2 2 2 3 4 3" xfId="18682" xr:uid="{24CF95F0-9EC8-46D9-A0E5-7427C20C5ABB}"/>
    <cellStyle name="Normal 9 2 2 2 2 3 5" xfId="19699" xr:uid="{4D55FCF8-4E40-477A-B044-C6A8ACA4F19D}"/>
    <cellStyle name="Normal 9 2 2 2 2 3 6" xfId="10400" xr:uid="{03FB8B61-342D-4128-993B-E16F78346008}"/>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2 2 2" xfId="26474" xr:uid="{78C5D0CF-1067-4C15-8511-371932F2D697}"/>
    <cellStyle name="Normal 9 2 2 2 2 4 2 2 3" xfId="17175" xr:uid="{7EB4DAFE-EEC6-4DDA-841C-12758C7B8789}"/>
    <cellStyle name="Normal 9 2 2 2 2 4 2 3" xfId="22257" xr:uid="{9D7AFFC8-F040-4982-9520-C18959838DA9}"/>
    <cellStyle name="Normal 9 2 2 2 2 4 2 4" xfId="12958" xr:uid="{4E44E2F1-0FD0-4911-87AD-19AD9A3C71BE}"/>
    <cellStyle name="Normal 9 2 2 2 2 4 3" xfId="5704" xr:uid="{00000000-0005-0000-0000-00008B1E0000}"/>
    <cellStyle name="Normal 9 2 2 2 2 4 3 2" xfId="24329" xr:uid="{4574A9D1-201D-458A-9CFE-623E122EDF63}"/>
    <cellStyle name="Normal 9 2 2 2 2 4 3 3" xfId="15030" xr:uid="{2628A8B9-E34F-48BE-98AD-3F43010CA97D}"/>
    <cellStyle name="Normal 9 2 2 2 2 4 4" xfId="20112" xr:uid="{D8244A1B-6A38-4620-ABEE-6687E7385B9F}"/>
    <cellStyle name="Normal 9 2 2 2 2 4 5" xfId="10813" xr:uid="{C8057C7E-C175-46A7-9434-90771748A548}"/>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2 2 2" xfId="26887" xr:uid="{BBF5C09D-E160-4E49-9917-9AF4E9FAD7F0}"/>
    <cellStyle name="Normal 9 2 2 2 2 5 2 2 3" xfId="17588" xr:uid="{F129F074-8C4C-4287-9C1F-CCC991755CC4}"/>
    <cellStyle name="Normal 9 2 2 2 2 5 2 3" xfId="22670" xr:uid="{813388F9-B6E7-4D8E-93D8-874A46BE1CDB}"/>
    <cellStyle name="Normal 9 2 2 2 2 5 2 4" xfId="13371" xr:uid="{980A3CBA-2DF5-4A67-A026-CF35E5D71E1E}"/>
    <cellStyle name="Normal 9 2 2 2 2 5 3" xfId="6117" xr:uid="{00000000-0005-0000-0000-00008F1E0000}"/>
    <cellStyle name="Normal 9 2 2 2 2 5 3 2" xfId="24742" xr:uid="{43F39C69-8070-4400-8B50-FA18241BFF7F}"/>
    <cellStyle name="Normal 9 2 2 2 2 5 3 3" xfId="15443" xr:uid="{98C3A6D2-AF3C-4447-812D-787102134023}"/>
    <cellStyle name="Normal 9 2 2 2 2 5 4" xfId="20525" xr:uid="{91FC028B-AB73-4923-8C93-5E204ACDBD03}"/>
    <cellStyle name="Normal 9 2 2 2 2 5 5" xfId="11226" xr:uid="{73D6DD0E-F942-4AEB-A794-926EBFE43762}"/>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2 2 2" xfId="27300" xr:uid="{10AA677B-EC79-4C7A-B519-4DEA0AF39833}"/>
    <cellStyle name="Normal 9 2 2 2 2 6 2 2 3" xfId="18001" xr:uid="{9E9CF6A6-FEBB-4E00-B52E-6EDE018959DE}"/>
    <cellStyle name="Normal 9 2 2 2 2 6 2 3" xfId="23083" xr:uid="{7DCD4A49-8681-4AD6-872E-10AE502B3726}"/>
    <cellStyle name="Normal 9 2 2 2 2 6 2 4" xfId="13784" xr:uid="{335B77E3-611A-4B4E-B58E-4EC5ECFE4760}"/>
    <cellStyle name="Normal 9 2 2 2 2 6 3" xfId="6530" xr:uid="{00000000-0005-0000-0000-0000931E0000}"/>
    <cellStyle name="Normal 9 2 2 2 2 6 3 2" xfId="25155" xr:uid="{EE9CD7A6-8ACD-4119-89E0-659C3E2C3BDE}"/>
    <cellStyle name="Normal 9 2 2 2 2 6 3 3" xfId="15856" xr:uid="{4717F25F-69DA-4A93-8C2F-16D1D5292F1A}"/>
    <cellStyle name="Normal 9 2 2 2 2 6 4" xfId="20938" xr:uid="{B98E004C-AD7B-4396-B79B-F10BDBE22434}"/>
    <cellStyle name="Normal 9 2 2 2 2 6 5" xfId="11639" xr:uid="{7AF983A4-576D-434D-96F2-0CC493B4AED8}"/>
    <cellStyle name="Normal 9 2 2 2 2 7" xfId="2660" xr:uid="{00000000-0005-0000-0000-0000941E0000}"/>
    <cellStyle name="Normal 9 2 2 2 2 7 2" xfId="6943" xr:uid="{00000000-0005-0000-0000-0000951E0000}"/>
    <cellStyle name="Normal 9 2 2 2 2 7 2 2" xfId="25568" xr:uid="{512C3A23-3835-4E11-B80D-50094B5D6A1D}"/>
    <cellStyle name="Normal 9 2 2 2 2 7 2 3" xfId="16269" xr:uid="{B3E349C8-D71D-42D0-B85A-910119CA3DBB}"/>
    <cellStyle name="Normal 9 2 2 2 2 7 3" xfId="21351" xr:uid="{F8F0374D-2860-4690-BD9C-170789476DC5}"/>
    <cellStyle name="Normal 9 2 2 2 2 7 4" xfId="12052" xr:uid="{CCBFB717-2829-453B-B3DE-7736D92B95AA}"/>
    <cellStyle name="Normal 9 2 2 2 2 8" xfId="4878" xr:uid="{00000000-0005-0000-0000-0000961E0000}"/>
    <cellStyle name="Normal 9 2 2 2 2 8 2" xfId="23503" xr:uid="{9CEEFCE0-92D9-479D-8B5C-74DABB3E9258}"/>
    <cellStyle name="Normal 9 2 2 2 2 8 3" xfId="14204" xr:uid="{D466FBD2-80FB-49EC-BA3E-B96E5E061FA9}"/>
    <cellStyle name="Normal 9 2 2 2 2 9" xfId="8942" xr:uid="{0DE8A022-819C-4D6A-B102-31C1C7F429A5}"/>
    <cellStyle name="Normal 9 2 2 2 2 9 2" xfId="27565" xr:uid="{6A076C4B-E2F3-453A-A8E4-E424865CC1DB}"/>
    <cellStyle name="Normal 9 2 2 2 2 9 3" xfId="18266" xr:uid="{323425BC-B884-47E7-B4B6-767E6FC3ABF3}"/>
    <cellStyle name="Normal 9 2 2 2 3" xfId="516" xr:uid="{00000000-0005-0000-0000-0000971E0000}"/>
    <cellStyle name="Normal 9 2 2 2 3 10" xfId="9989" xr:uid="{A7708184-2B5E-4091-89EE-BB2A7A22B413}"/>
    <cellStyle name="Normal 9 2 2 2 3 2" xfId="983" xr:uid="{00000000-0005-0000-0000-0000981E0000}"/>
    <cellStyle name="Normal 9 2 2 2 3 2 2" xfId="3216" xr:uid="{00000000-0005-0000-0000-0000991E0000}"/>
    <cellStyle name="Normal 9 2 2 2 3 2 2 2" xfId="7438" xr:uid="{00000000-0005-0000-0000-00009A1E0000}"/>
    <cellStyle name="Normal 9 2 2 2 3 2 2 2 2" xfId="26063" xr:uid="{E47AEA36-3E0F-4A79-B485-D30C73B6EC0B}"/>
    <cellStyle name="Normal 9 2 2 2 3 2 2 2 3" xfId="16764" xr:uid="{CF90E67E-4DEB-425A-9AE0-CECD3DD1D19C}"/>
    <cellStyle name="Normal 9 2 2 2 3 2 2 3" xfId="21846" xr:uid="{141624F5-06F6-452F-8840-8E345C762A5B}"/>
    <cellStyle name="Normal 9 2 2 2 3 2 2 4" xfId="12547" xr:uid="{61D08A35-27E6-4475-AD11-24B04B663F5E}"/>
    <cellStyle name="Normal 9 2 2 2 3 2 3" xfId="5293" xr:uid="{00000000-0005-0000-0000-00009B1E0000}"/>
    <cellStyle name="Normal 9 2 2 2 3 2 3 2" xfId="23918" xr:uid="{D5B5221A-94A7-4661-B535-CDC45A3B3ADB}"/>
    <cellStyle name="Normal 9 2 2 2 3 2 3 3" xfId="14619" xr:uid="{9E8ACA59-34A4-4EF6-BF24-CA204B1C7961}"/>
    <cellStyle name="Normal 9 2 2 2 3 2 4" xfId="9471" xr:uid="{E472D827-532E-42C0-B781-9E63FEBCFCF5}"/>
    <cellStyle name="Normal 9 2 2 2 3 2 4 2" xfId="28085" xr:uid="{CCC0CDB9-C67C-419A-96F6-ACB958AB0FF1}"/>
    <cellStyle name="Normal 9 2 2 2 3 2 4 3" xfId="18786" xr:uid="{A9849123-C439-4711-9A3F-1890AE203321}"/>
    <cellStyle name="Normal 9 2 2 2 3 2 5" xfId="19701" xr:uid="{CB3FC313-AA0F-4636-B6DE-36E9E3560095}"/>
    <cellStyle name="Normal 9 2 2 2 3 2 6" xfId="10402" xr:uid="{6ADD3F33-E6D0-487D-979E-B22768AB8B44}"/>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2 2 2" xfId="26476" xr:uid="{92B17D67-3324-4872-8F47-6342A047E8A9}"/>
    <cellStyle name="Normal 9 2 2 2 3 3 2 2 3" xfId="17177" xr:uid="{67F47B68-E69F-4D37-BD2E-E0B76043C0E7}"/>
    <cellStyle name="Normal 9 2 2 2 3 3 2 3" xfId="22259" xr:uid="{790F68AF-B61E-4D4F-B060-BF5D2CEEE1B9}"/>
    <cellStyle name="Normal 9 2 2 2 3 3 2 4" xfId="12960" xr:uid="{FBAB1C64-D939-4B79-B55C-EF928FE2967B}"/>
    <cellStyle name="Normal 9 2 2 2 3 3 3" xfId="5706" xr:uid="{00000000-0005-0000-0000-00009F1E0000}"/>
    <cellStyle name="Normal 9 2 2 2 3 3 3 2" xfId="24331" xr:uid="{144F4FF5-AEF2-4B31-92CC-A548C93E828A}"/>
    <cellStyle name="Normal 9 2 2 2 3 3 3 3" xfId="15032" xr:uid="{D115AD79-6C72-41B8-84C9-312CC7A63801}"/>
    <cellStyle name="Normal 9 2 2 2 3 3 4" xfId="20114" xr:uid="{0652FDB2-DBF7-44C1-9BCB-4605891CC055}"/>
    <cellStyle name="Normal 9 2 2 2 3 3 5" xfId="10815" xr:uid="{F59DE5B6-A3E8-4574-ADB7-812644C4986F}"/>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2 2 2" xfId="26889" xr:uid="{85A030A8-BD90-408A-A453-8237F71B54D4}"/>
    <cellStyle name="Normal 9 2 2 2 3 4 2 2 3" xfId="17590" xr:uid="{1810A51D-84D8-4CA1-87A3-7A814DD8DF31}"/>
    <cellStyle name="Normal 9 2 2 2 3 4 2 3" xfId="22672" xr:uid="{C04E71E1-86CE-4599-A89F-5A1190B641B1}"/>
    <cellStyle name="Normal 9 2 2 2 3 4 2 4" xfId="13373" xr:uid="{BC0D6C7B-B3FD-409D-822A-7212C7D80D1C}"/>
    <cellStyle name="Normal 9 2 2 2 3 4 3" xfId="6119" xr:uid="{00000000-0005-0000-0000-0000A31E0000}"/>
    <cellStyle name="Normal 9 2 2 2 3 4 3 2" xfId="24744" xr:uid="{4A8E4B1D-8CD0-4D98-B686-A0F75BC05C66}"/>
    <cellStyle name="Normal 9 2 2 2 3 4 3 3" xfId="15445" xr:uid="{C39C2422-2E54-4849-8880-B20C31955F70}"/>
    <cellStyle name="Normal 9 2 2 2 3 4 4" xfId="20527" xr:uid="{F0FB5621-8F20-4FD1-B26B-0CF18F245CA5}"/>
    <cellStyle name="Normal 9 2 2 2 3 4 5" xfId="11228" xr:uid="{4A86E85B-D0C6-4EFD-9322-A8FA276016FE}"/>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2 2 2" xfId="27302" xr:uid="{422EB3AD-85AE-4A40-AED1-C70ECE1366A6}"/>
    <cellStyle name="Normal 9 2 2 2 3 5 2 2 3" xfId="18003" xr:uid="{83F85926-9817-4CB0-99BC-2CAE3A372929}"/>
    <cellStyle name="Normal 9 2 2 2 3 5 2 3" xfId="23085" xr:uid="{041E839B-852E-4B0F-B409-83A7B518E2DD}"/>
    <cellStyle name="Normal 9 2 2 2 3 5 2 4" xfId="13786" xr:uid="{F675CE48-654E-431A-90C4-78655CE187BC}"/>
    <cellStyle name="Normal 9 2 2 2 3 5 3" xfId="6532" xr:uid="{00000000-0005-0000-0000-0000A71E0000}"/>
    <cellStyle name="Normal 9 2 2 2 3 5 3 2" xfId="25157" xr:uid="{93920F58-A546-4389-848F-819ADB9CD2E1}"/>
    <cellStyle name="Normal 9 2 2 2 3 5 3 3" xfId="15858" xr:uid="{D5BF7526-E6C3-4520-A1FE-1DAF6DA0C3C4}"/>
    <cellStyle name="Normal 9 2 2 2 3 5 4" xfId="20940" xr:uid="{E658F0E7-0BC1-4669-957F-328E2F798321}"/>
    <cellStyle name="Normal 9 2 2 2 3 5 5" xfId="11641" xr:uid="{7D1D8710-F793-4E3A-95ED-5A4E2518FEA0}"/>
    <cellStyle name="Normal 9 2 2 2 3 6" xfId="2662" xr:uid="{00000000-0005-0000-0000-0000A81E0000}"/>
    <cellStyle name="Normal 9 2 2 2 3 6 2" xfId="6945" xr:uid="{00000000-0005-0000-0000-0000A91E0000}"/>
    <cellStyle name="Normal 9 2 2 2 3 6 2 2" xfId="25570" xr:uid="{58A05BF3-1ED4-4E68-8210-464D7E4DCF3C}"/>
    <cellStyle name="Normal 9 2 2 2 3 6 2 3" xfId="16271" xr:uid="{ACE3B18B-1938-4F56-932B-845C218EA468}"/>
    <cellStyle name="Normal 9 2 2 2 3 6 3" xfId="21353" xr:uid="{82603B5C-83D6-4952-926B-FE5A0BB31EC5}"/>
    <cellStyle name="Normal 9 2 2 2 3 6 4" xfId="12054" xr:uid="{91561B77-E509-4898-A5CF-ADBB1DF267FA}"/>
    <cellStyle name="Normal 9 2 2 2 3 7" xfId="4880" xr:uid="{00000000-0005-0000-0000-0000AA1E0000}"/>
    <cellStyle name="Normal 9 2 2 2 3 7 2" xfId="23505" xr:uid="{288F4249-3D53-41CD-A657-2EA3A2A8C8B4}"/>
    <cellStyle name="Normal 9 2 2 2 3 7 3" xfId="14206" xr:uid="{3B45959E-6435-4110-BB7B-B55A11BD4FA5}"/>
    <cellStyle name="Normal 9 2 2 2 3 8" xfId="9046" xr:uid="{6B7E07C7-E90B-4AE9-8FE8-76EF28E8FC85}"/>
    <cellStyle name="Normal 9 2 2 2 3 8 2" xfId="27669" xr:uid="{181B1B6E-160A-4533-BE1A-3C4DC998A760}"/>
    <cellStyle name="Normal 9 2 2 2 3 8 3" xfId="18370" xr:uid="{67669153-379F-40FE-88B7-DE3451546171}"/>
    <cellStyle name="Normal 9 2 2 2 3 9" xfId="19288" xr:uid="{2C1E94C8-634B-428F-BB87-F2F571B901F0}"/>
    <cellStyle name="Normal 9 2 2 2 4" xfId="980" xr:uid="{00000000-0005-0000-0000-0000AB1E0000}"/>
    <cellStyle name="Normal 9 2 2 2 4 2" xfId="3213" xr:uid="{00000000-0005-0000-0000-0000AC1E0000}"/>
    <cellStyle name="Normal 9 2 2 2 4 2 2" xfId="7435" xr:uid="{00000000-0005-0000-0000-0000AD1E0000}"/>
    <cellStyle name="Normal 9 2 2 2 4 2 2 2" xfId="26060" xr:uid="{1F044578-F239-489F-A3EB-ABCB28F4040F}"/>
    <cellStyle name="Normal 9 2 2 2 4 2 2 3" xfId="16761" xr:uid="{B2C5E44C-E8C0-4701-9C58-C9B2669655F7}"/>
    <cellStyle name="Normal 9 2 2 2 4 2 3" xfId="21843" xr:uid="{20AC7F67-724D-4D56-B3DD-17B825ECFF86}"/>
    <cellStyle name="Normal 9 2 2 2 4 2 4" xfId="12544" xr:uid="{B97B939B-4E53-458C-8F6D-B6C4B495AFBC}"/>
    <cellStyle name="Normal 9 2 2 2 4 3" xfId="5290" xr:uid="{00000000-0005-0000-0000-0000AE1E0000}"/>
    <cellStyle name="Normal 9 2 2 2 4 3 2" xfId="23915" xr:uid="{74F9250C-5771-4CE8-8BF2-F45EC8EF1CD8}"/>
    <cellStyle name="Normal 9 2 2 2 4 3 3" xfId="14616" xr:uid="{E958FCDF-CD4D-4C61-81AA-F58E50A7E74F}"/>
    <cellStyle name="Normal 9 2 2 2 4 4" xfId="9264" xr:uid="{0137E036-48D9-4B3B-9B73-0002A19DDE9E}"/>
    <cellStyle name="Normal 9 2 2 2 4 4 2" xfId="27878" xr:uid="{EA6CFB36-0144-46E9-9498-86248C9DC70B}"/>
    <cellStyle name="Normal 9 2 2 2 4 4 3" xfId="18579" xr:uid="{C0A7938C-906C-447D-88E4-B9DA4D718855}"/>
    <cellStyle name="Normal 9 2 2 2 4 5" xfId="19698" xr:uid="{80163DB6-E2FC-41BB-9BF7-0079309380AD}"/>
    <cellStyle name="Normal 9 2 2 2 4 6" xfId="10399" xr:uid="{99A587BC-A7F1-43D6-A19E-374C69EF8431}"/>
    <cellStyle name="Normal 9 2 2 2 5" xfId="1396" xr:uid="{00000000-0005-0000-0000-0000AF1E0000}"/>
    <cellStyle name="Normal 9 2 2 2 5 2" xfId="3626" xr:uid="{00000000-0005-0000-0000-0000B01E0000}"/>
    <cellStyle name="Normal 9 2 2 2 5 2 2" xfId="7848" xr:uid="{00000000-0005-0000-0000-0000B11E0000}"/>
    <cellStyle name="Normal 9 2 2 2 5 2 2 2" xfId="26473" xr:uid="{60E25E43-51A4-4F12-8F97-C5EE2EE9DD9A}"/>
    <cellStyle name="Normal 9 2 2 2 5 2 2 3" xfId="17174" xr:uid="{93934252-2083-4E26-871B-A219B929B128}"/>
    <cellStyle name="Normal 9 2 2 2 5 2 3" xfId="22256" xr:uid="{70B219A3-52FB-4AE8-870E-490A1308A238}"/>
    <cellStyle name="Normal 9 2 2 2 5 2 4" xfId="12957" xr:uid="{5E08E472-3CFB-4827-88DA-1124127AFDA3}"/>
    <cellStyle name="Normal 9 2 2 2 5 3" xfId="5703" xr:uid="{00000000-0005-0000-0000-0000B21E0000}"/>
    <cellStyle name="Normal 9 2 2 2 5 3 2" xfId="24328" xr:uid="{2F6AC6ED-14E3-4714-AD6A-00BE22B649C3}"/>
    <cellStyle name="Normal 9 2 2 2 5 3 3" xfId="15029" xr:uid="{7A9691BB-6FC9-4FB8-8E0C-41F93DE03CF0}"/>
    <cellStyle name="Normal 9 2 2 2 5 4" xfId="20111" xr:uid="{F26E999A-3E5E-4874-9D07-F99274DB00B1}"/>
    <cellStyle name="Normal 9 2 2 2 5 5" xfId="10812" xr:uid="{0E12563F-8366-457F-AAD2-1E2B54E29F06}"/>
    <cellStyle name="Normal 9 2 2 2 6" xfId="1809" xr:uid="{00000000-0005-0000-0000-0000B31E0000}"/>
    <cellStyle name="Normal 9 2 2 2 6 2" xfId="4039" xr:uid="{00000000-0005-0000-0000-0000B41E0000}"/>
    <cellStyle name="Normal 9 2 2 2 6 2 2" xfId="8261" xr:uid="{00000000-0005-0000-0000-0000B51E0000}"/>
    <cellStyle name="Normal 9 2 2 2 6 2 2 2" xfId="26886" xr:uid="{08CA885B-31BC-4812-9407-B299A0FEFE15}"/>
    <cellStyle name="Normal 9 2 2 2 6 2 2 3" xfId="17587" xr:uid="{0A4CC1FC-CDEE-4201-92BA-2FABDF54FC15}"/>
    <cellStyle name="Normal 9 2 2 2 6 2 3" xfId="22669" xr:uid="{71C48431-5333-47FC-914B-56B16F6423EA}"/>
    <cellStyle name="Normal 9 2 2 2 6 2 4" xfId="13370" xr:uid="{FAE722DC-3D9D-4B58-A927-EE752519F696}"/>
    <cellStyle name="Normal 9 2 2 2 6 3" xfId="6116" xr:uid="{00000000-0005-0000-0000-0000B61E0000}"/>
    <cellStyle name="Normal 9 2 2 2 6 3 2" xfId="24741" xr:uid="{D8E3BA30-645C-441F-B1B7-56E23FA8CA61}"/>
    <cellStyle name="Normal 9 2 2 2 6 3 3" xfId="15442" xr:uid="{96269283-56D8-4714-9A63-D7DBED2F036D}"/>
    <cellStyle name="Normal 9 2 2 2 6 4" xfId="20524" xr:uid="{55D48D45-5769-4B5F-83A7-A2D5A9E0425C}"/>
    <cellStyle name="Normal 9 2 2 2 6 5" xfId="11225" xr:uid="{62A41B8F-0CEE-4F26-AEAE-4DDFA21AAEDA}"/>
    <cellStyle name="Normal 9 2 2 2 7" xfId="2223" xr:uid="{00000000-0005-0000-0000-0000B71E0000}"/>
    <cellStyle name="Normal 9 2 2 2 7 2" xfId="4452" xr:uid="{00000000-0005-0000-0000-0000B81E0000}"/>
    <cellStyle name="Normal 9 2 2 2 7 2 2" xfId="8674" xr:uid="{00000000-0005-0000-0000-0000B91E0000}"/>
    <cellStyle name="Normal 9 2 2 2 7 2 2 2" xfId="27299" xr:uid="{5F9BE84B-04DD-4EB0-81FD-C04F30E3535D}"/>
    <cellStyle name="Normal 9 2 2 2 7 2 2 3" xfId="18000" xr:uid="{574B0E14-F4C3-414A-93C6-A2078C52A260}"/>
    <cellStyle name="Normal 9 2 2 2 7 2 3" xfId="23082" xr:uid="{FEC5B52C-9265-4413-AA88-DADF7FAAD660}"/>
    <cellStyle name="Normal 9 2 2 2 7 2 4" xfId="13783" xr:uid="{BAB3FC2E-DF24-4419-9F1F-C13A8BE378C0}"/>
    <cellStyle name="Normal 9 2 2 2 7 3" xfId="6529" xr:uid="{00000000-0005-0000-0000-0000BA1E0000}"/>
    <cellStyle name="Normal 9 2 2 2 7 3 2" xfId="25154" xr:uid="{FB26C2B3-05CF-49D6-AE5D-BC731D2E7E25}"/>
    <cellStyle name="Normal 9 2 2 2 7 3 3" xfId="15855" xr:uid="{B0C0983B-14DF-4B61-8840-636208E35A35}"/>
    <cellStyle name="Normal 9 2 2 2 7 4" xfId="20937" xr:uid="{EFACEE47-ED5F-4771-80D9-503535ABFA23}"/>
    <cellStyle name="Normal 9 2 2 2 7 5" xfId="11638" xr:uid="{9077EFD8-E30E-4B3B-8611-65133CA51DEB}"/>
    <cellStyle name="Normal 9 2 2 2 8" xfId="2659" xr:uid="{00000000-0005-0000-0000-0000BB1E0000}"/>
    <cellStyle name="Normal 9 2 2 2 8 2" xfId="6942" xr:uid="{00000000-0005-0000-0000-0000BC1E0000}"/>
    <cellStyle name="Normal 9 2 2 2 8 2 2" xfId="25567" xr:uid="{584A3460-D381-4468-B1A6-B58139FE7A3D}"/>
    <cellStyle name="Normal 9 2 2 2 8 2 3" xfId="16268" xr:uid="{A4646481-6BC8-4224-B224-14A501FB513D}"/>
    <cellStyle name="Normal 9 2 2 2 8 3" xfId="21350" xr:uid="{114BE862-0053-412C-8EFD-D1BE3154B09A}"/>
    <cellStyle name="Normal 9 2 2 2 8 4" xfId="12051" xr:uid="{18179073-78F1-4C0C-9298-5209E983211D}"/>
    <cellStyle name="Normal 9 2 2 2 9" xfId="4877" xr:uid="{00000000-0005-0000-0000-0000BD1E0000}"/>
    <cellStyle name="Normal 9 2 2 2 9 2" xfId="23502" xr:uid="{52CB3B25-6748-4F57-AA3B-DAF24F05B14D}"/>
    <cellStyle name="Normal 9 2 2 2 9 3" xfId="14203" xr:uid="{C60E0878-EB3C-421B-8134-D6C029F77781}"/>
    <cellStyle name="Normal 9 2 2 3" xfId="517" xr:uid="{00000000-0005-0000-0000-0000BE1E0000}"/>
    <cellStyle name="Normal 9 2 2 3 10" xfId="19289" xr:uid="{1CDE9FCC-7557-4234-AF48-3349C8E2F5E5}"/>
    <cellStyle name="Normal 9 2 2 3 11" xfId="9990" xr:uid="{9143BE90-F2D6-4ADA-B25A-585D448AB2C1}"/>
    <cellStyle name="Normal 9 2 2 3 2" xfId="518" xr:uid="{00000000-0005-0000-0000-0000BF1E0000}"/>
    <cellStyle name="Normal 9 2 2 3 2 10" xfId="9991" xr:uid="{AF34EC19-1B12-4EAD-B591-F098FC9A50DC}"/>
    <cellStyle name="Normal 9 2 2 3 2 2" xfId="985" xr:uid="{00000000-0005-0000-0000-0000C01E0000}"/>
    <cellStyle name="Normal 9 2 2 3 2 2 2" xfId="3218" xr:uid="{00000000-0005-0000-0000-0000C11E0000}"/>
    <cellStyle name="Normal 9 2 2 3 2 2 2 2" xfId="7440" xr:uid="{00000000-0005-0000-0000-0000C21E0000}"/>
    <cellStyle name="Normal 9 2 2 3 2 2 2 2 2" xfId="26065" xr:uid="{A893AB4B-2192-4DC1-9B96-D92F073A4DA7}"/>
    <cellStyle name="Normal 9 2 2 3 2 2 2 2 3" xfId="16766" xr:uid="{3881489A-6A85-46AA-AE3A-60E2B0200EFC}"/>
    <cellStyle name="Normal 9 2 2 3 2 2 2 3" xfId="21848" xr:uid="{2E335BE1-C737-49F0-AFAC-F9CB6D57190E}"/>
    <cellStyle name="Normal 9 2 2 3 2 2 2 4" xfId="12549" xr:uid="{E526C9C9-C111-415D-A862-97A86A1B0AE0}"/>
    <cellStyle name="Normal 9 2 2 3 2 2 3" xfId="5295" xr:uid="{00000000-0005-0000-0000-0000C31E0000}"/>
    <cellStyle name="Normal 9 2 2 3 2 2 3 2" xfId="23920" xr:uid="{B231D3DE-0F0D-4527-9F8E-90692BF33696}"/>
    <cellStyle name="Normal 9 2 2 3 2 2 3 3" xfId="14621" xr:uid="{74AC5D28-88E9-4D49-AA50-4826FD0CBB29}"/>
    <cellStyle name="Normal 9 2 2 3 2 2 4" xfId="9520" xr:uid="{57CFBD10-691F-4DF8-8020-B75E98FF60DD}"/>
    <cellStyle name="Normal 9 2 2 3 2 2 4 2" xfId="28134" xr:uid="{78340F8B-58A5-4F91-8E88-C6DECE9DD757}"/>
    <cellStyle name="Normal 9 2 2 3 2 2 4 3" xfId="18835" xr:uid="{811CB1D4-0E15-4A2D-9191-CA1F79337CEF}"/>
    <cellStyle name="Normal 9 2 2 3 2 2 5" xfId="19703" xr:uid="{074FB9DB-5553-4D12-AECF-4686E15532AB}"/>
    <cellStyle name="Normal 9 2 2 3 2 2 6" xfId="10404" xr:uid="{4AE9719B-20EE-4F2D-9157-92167670371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2 2 2" xfId="26478" xr:uid="{9AD62B86-2AE9-4FF4-B28F-991F12F70679}"/>
    <cellStyle name="Normal 9 2 2 3 2 3 2 2 3" xfId="17179" xr:uid="{2B30D509-A5B8-42B2-A6E3-116F70592203}"/>
    <cellStyle name="Normal 9 2 2 3 2 3 2 3" xfId="22261" xr:uid="{F24AB59B-6939-4BB0-8633-5F49E458E7E2}"/>
    <cellStyle name="Normal 9 2 2 3 2 3 2 4" xfId="12962" xr:uid="{2F4B740B-D8D6-4FB9-B807-BB3A919A6C8A}"/>
    <cellStyle name="Normal 9 2 2 3 2 3 3" xfId="5708" xr:uid="{00000000-0005-0000-0000-0000C71E0000}"/>
    <cellStyle name="Normal 9 2 2 3 2 3 3 2" xfId="24333" xr:uid="{DBFB2FF3-572D-4D9D-8E38-FAF34BA7EEBA}"/>
    <cellStyle name="Normal 9 2 2 3 2 3 3 3" xfId="15034" xr:uid="{746AB003-F411-4438-AFD2-669D201C610B}"/>
    <cellStyle name="Normal 9 2 2 3 2 3 4" xfId="20116" xr:uid="{905871E7-8001-49B6-A48E-122A0666C6B9}"/>
    <cellStyle name="Normal 9 2 2 3 2 3 5" xfId="10817" xr:uid="{6FF9637E-7C03-46B9-A92E-BE5C621E21CD}"/>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2 2 2" xfId="26891" xr:uid="{A3B80215-1287-4D23-9DBA-A99B28914780}"/>
    <cellStyle name="Normal 9 2 2 3 2 4 2 2 3" xfId="17592" xr:uid="{EB120A4E-01E8-46DA-98B9-E0D5B876C87D}"/>
    <cellStyle name="Normal 9 2 2 3 2 4 2 3" xfId="22674" xr:uid="{909B2BB5-39E1-4080-81FD-AE8203BC8CAA}"/>
    <cellStyle name="Normal 9 2 2 3 2 4 2 4" xfId="13375" xr:uid="{7D6062B9-6695-41AE-BC96-9AD5A642C498}"/>
    <cellStyle name="Normal 9 2 2 3 2 4 3" xfId="6121" xr:uid="{00000000-0005-0000-0000-0000CB1E0000}"/>
    <cellStyle name="Normal 9 2 2 3 2 4 3 2" xfId="24746" xr:uid="{88807DC5-7EFD-427D-8617-EA98F17845F2}"/>
    <cellStyle name="Normal 9 2 2 3 2 4 3 3" xfId="15447" xr:uid="{5E150F16-DAD7-4ECB-81D4-C9CC91F65546}"/>
    <cellStyle name="Normal 9 2 2 3 2 4 4" xfId="20529" xr:uid="{D08D2CE1-C5F6-4E6F-A043-4FC1090387AB}"/>
    <cellStyle name="Normal 9 2 2 3 2 4 5" xfId="11230" xr:uid="{66A4AD49-41A2-426C-8A15-5241673DB3D3}"/>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2 2 2" xfId="27304" xr:uid="{529E248C-16BA-4FB2-99C0-8C3E18E19F46}"/>
    <cellStyle name="Normal 9 2 2 3 2 5 2 2 3" xfId="18005" xr:uid="{BAFAE267-089B-496D-934A-2F23862971C6}"/>
    <cellStyle name="Normal 9 2 2 3 2 5 2 3" xfId="23087" xr:uid="{5632B555-8DD5-4360-ACAA-9EDDFCCF6852}"/>
    <cellStyle name="Normal 9 2 2 3 2 5 2 4" xfId="13788" xr:uid="{CE26E1BF-31DE-486A-8FED-EAE7D7CCA0DE}"/>
    <cellStyle name="Normal 9 2 2 3 2 5 3" xfId="6534" xr:uid="{00000000-0005-0000-0000-0000CF1E0000}"/>
    <cellStyle name="Normal 9 2 2 3 2 5 3 2" xfId="25159" xr:uid="{4E99E882-AAED-4F41-9686-345EF02CDFF4}"/>
    <cellStyle name="Normal 9 2 2 3 2 5 3 3" xfId="15860" xr:uid="{63F6BBE1-D3C0-4DAE-A673-3949EF0B7BF5}"/>
    <cellStyle name="Normal 9 2 2 3 2 5 4" xfId="20942" xr:uid="{E4B3D0BD-4C10-4DF2-9313-C52352E84106}"/>
    <cellStyle name="Normal 9 2 2 3 2 5 5" xfId="11643" xr:uid="{AF9D10CE-E5BA-4FEC-B361-AA3C5A715051}"/>
    <cellStyle name="Normal 9 2 2 3 2 6" xfId="2664" xr:uid="{00000000-0005-0000-0000-0000D01E0000}"/>
    <cellStyle name="Normal 9 2 2 3 2 6 2" xfId="6947" xr:uid="{00000000-0005-0000-0000-0000D11E0000}"/>
    <cellStyle name="Normal 9 2 2 3 2 6 2 2" xfId="25572" xr:uid="{EFBEAA7A-F12B-4B9A-B9E2-55DA11994CA7}"/>
    <cellStyle name="Normal 9 2 2 3 2 6 2 3" xfId="16273" xr:uid="{8A48B9F2-C5ED-453C-9C2D-828D68F5A820}"/>
    <cellStyle name="Normal 9 2 2 3 2 6 3" xfId="21355" xr:uid="{F29A1784-3B44-435C-AB7A-3DE47272A53F}"/>
    <cellStyle name="Normal 9 2 2 3 2 6 4" xfId="12056" xr:uid="{636028F4-08F7-4BEA-A7C5-B32E1464F0E5}"/>
    <cellStyle name="Normal 9 2 2 3 2 7" xfId="4882" xr:uid="{00000000-0005-0000-0000-0000D21E0000}"/>
    <cellStyle name="Normal 9 2 2 3 2 7 2" xfId="23507" xr:uid="{B5BF0EC9-28D4-484C-89E3-C74956D7D90B}"/>
    <cellStyle name="Normal 9 2 2 3 2 7 3" xfId="14208" xr:uid="{48841770-6894-46D1-AD41-7797E6760C48}"/>
    <cellStyle name="Normal 9 2 2 3 2 8" xfId="9095" xr:uid="{D95088B7-D227-4E97-A9B9-DA61436DD386}"/>
    <cellStyle name="Normal 9 2 2 3 2 8 2" xfId="27718" xr:uid="{9C9689FB-F253-45CF-B263-594BDAA6CCF8}"/>
    <cellStyle name="Normal 9 2 2 3 2 8 3" xfId="18419" xr:uid="{8183956B-5004-417E-979A-6E5EB4BE1311}"/>
    <cellStyle name="Normal 9 2 2 3 2 9" xfId="19290" xr:uid="{1E942EB4-976E-4807-A97E-1AFC0EFFBADC}"/>
    <cellStyle name="Normal 9 2 2 3 3" xfId="984" xr:uid="{00000000-0005-0000-0000-0000D31E0000}"/>
    <cellStyle name="Normal 9 2 2 3 3 2" xfId="3217" xr:uid="{00000000-0005-0000-0000-0000D41E0000}"/>
    <cellStyle name="Normal 9 2 2 3 3 2 2" xfId="7439" xr:uid="{00000000-0005-0000-0000-0000D51E0000}"/>
    <cellStyle name="Normal 9 2 2 3 3 2 2 2" xfId="26064" xr:uid="{BF5BF410-43EE-4CD8-BC8F-98E44C15137E}"/>
    <cellStyle name="Normal 9 2 2 3 3 2 2 3" xfId="16765" xr:uid="{A71191F0-1CC2-495D-9701-4516AD3ABA1C}"/>
    <cellStyle name="Normal 9 2 2 3 3 2 3" xfId="21847" xr:uid="{7D939B43-11C2-46BC-9969-D81632C14081}"/>
    <cellStyle name="Normal 9 2 2 3 3 2 4" xfId="12548" xr:uid="{961A84A8-B969-4AE7-AE3C-00CA23D0C06F}"/>
    <cellStyle name="Normal 9 2 2 3 3 3" xfId="5294" xr:uid="{00000000-0005-0000-0000-0000D61E0000}"/>
    <cellStyle name="Normal 9 2 2 3 3 3 2" xfId="23919" xr:uid="{FDA663CE-E30E-492A-9B97-526980C9631E}"/>
    <cellStyle name="Normal 9 2 2 3 3 3 3" xfId="14620" xr:uid="{677F4C4D-35C4-4A16-AE94-78F8D5C93446}"/>
    <cellStyle name="Normal 9 2 2 3 3 4" xfId="9313" xr:uid="{FDDC600D-FDDD-4FFC-9820-DFD7E0768F33}"/>
    <cellStyle name="Normal 9 2 2 3 3 4 2" xfId="27927" xr:uid="{5773A623-9961-4EFE-BE6B-0473C25B61C5}"/>
    <cellStyle name="Normal 9 2 2 3 3 4 3" xfId="18628" xr:uid="{D3D3BAAC-52D1-4157-ACDB-566C3443F4F4}"/>
    <cellStyle name="Normal 9 2 2 3 3 5" xfId="19702" xr:uid="{4DB949DE-843F-49E3-B536-04955C490E4B}"/>
    <cellStyle name="Normal 9 2 2 3 3 6" xfId="10403" xr:uid="{121E5125-85AD-4DBD-B6D4-5CAEF2849E7A}"/>
    <cellStyle name="Normal 9 2 2 3 4" xfId="1400" xr:uid="{00000000-0005-0000-0000-0000D71E0000}"/>
    <cellStyle name="Normal 9 2 2 3 4 2" xfId="3630" xr:uid="{00000000-0005-0000-0000-0000D81E0000}"/>
    <cellStyle name="Normal 9 2 2 3 4 2 2" xfId="7852" xr:uid="{00000000-0005-0000-0000-0000D91E0000}"/>
    <cellStyle name="Normal 9 2 2 3 4 2 2 2" xfId="26477" xr:uid="{7B271B76-726A-4C81-990F-526354495B6E}"/>
    <cellStyle name="Normal 9 2 2 3 4 2 2 3" xfId="17178" xr:uid="{12CE1025-7815-4FF3-A850-3DB6381CE7D9}"/>
    <cellStyle name="Normal 9 2 2 3 4 2 3" xfId="22260" xr:uid="{6CCE4130-5F7F-43BC-8BE9-2B4A3D541016}"/>
    <cellStyle name="Normal 9 2 2 3 4 2 4" xfId="12961" xr:uid="{50A33AE7-C37A-4F41-97C0-BA366F1A3FD1}"/>
    <cellStyle name="Normal 9 2 2 3 4 3" xfId="5707" xr:uid="{00000000-0005-0000-0000-0000DA1E0000}"/>
    <cellStyle name="Normal 9 2 2 3 4 3 2" xfId="24332" xr:uid="{0A61B9E2-5421-4C26-9DC4-A60DEE929CF4}"/>
    <cellStyle name="Normal 9 2 2 3 4 3 3" xfId="15033" xr:uid="{D8F897CB-6B3D-4C8B-A18C-9C73D02575E2}"/>
    <cellStyle name="Normal 9 2 2 3 4 4" xfId="20115" xr:uid="{C2D5D3DD-1874-42A3-8EC7-C5E718FE3849}"/>
    <cellStyle name="Normal 9 2 2 3 4 5" xfId="10816" xr:uid="{47E8E4B6-EC66-44DE-B849-5F0106DA08AB}"/>
    <cellStyle name="Normal 9 2 2 3 5" xfId="1813" xr:uid="{00000000-0005-0000-0000-0000DB1E0000}"/>
    <cellStyle name="Normal 9 2 2 3 5 2" xfId="4043" xr:uid="{00000000-0005-0000-0000-0000DC1E0000}"/>
    <cellStyle name="Normal 9 2 2 3 5 2 2" xfId="8265" xr:uid="{00000000-0005-0000-0000-0000DD1E0000}"/>
    <cellStyle name="Normal 9 2 2 3 5 2 2 2" xfId="26890" xr:uid="{39A4704D-8AC4-41D3-B71E-1E7506017382}"/>
    <cellStyle name="Normal 9 2 2 3 5 2 2 3" xfId="17591" xr:uid="{C7C0028D-7F0E-4222-8EC5-97D316AC1F56}"/>
    <cellStyle name="Normal 9 2 2 3 5 2 3" xfId="22673" xr:uid="{C3200684-4438-4CCA-BDCD-9FCD18DF8F8D}"/>
    <cellStyle name="Normal 9 2 2 3 5 2 4" xfId="13374" xr:uid="{441B9BF7-C650-4C04-905C-BFA2021CA19C}"/>
    <cellStyle name="Normal 9 2 2 3 5 3" xfId="6120" xr:uid="{00000000-0005-0000-0000-0000DE1E0000}"/>
    <cellStyle name="Normal 9 2 2 3 5 3 2" xfId="24745" xr:uid="{FB80E3E5-7BF2-48E9-AD3A-60F8391A081A}"/>
    <cellStyle name="Normal 9 2 2 3 5 3 3" xfId="15446" xr:uid="{5C2ACA44-8506-4109-83D8-79DD33021C04}"/>
    <cellStyle name="Normal 9 2 2 3 5 4" xfId="20528" xr:uid="{88EA3B6A-E158-4F58-A75C-3BB8EFC3C75E}"/>
    <cellStyle name="Normal 9 2 2 3 5 5" xfId="11229" xr:uid="{59E98D6F-8A77-4646-A714-00EED6D86BE6}"/>
    <cellStyle name="Normal 9 2 2 3 6" xfId="2227" xr:uid="{00000000-0005-0000-0000-0000DF1E0000}"/>
    <cellStyle name="Normal 9 2 2 3 6 2" xfId="4456" xr:uid="{00000000-0005-0000-0000-0000E01E0000}"/>
    <cellStyle name="Normal 9 2 2 3 6 2 2" xfId="8678" xr:uid="{00000000-0005-0000-0000-0000E11E0000}"/>
    <cellStyle name="Normal 9 2 2 3 6 2 2 2" xfId="27303" xr:uid="{BE05A8F5-575B-45DE-9B4D-9726DEA2DE23}"/>
    <cellStyle name="Normal 9 2 2 3 6 2 2 3" xfId="18004" xr:uid="{0AC60A9C-28D0-451C-BFD6-5489FEAA1A5A}"/>
    <cellStyle name="Normal 9 2 2 3 6 2 3" xfId="23086" xr:uid="{95C29824-CFB9-4159-AAC6-43AD448164B1}"/>
    <cellStyle name="Normal 9 2 2 3 6 2 4" xfId="13787" xr:uid="{B9619CCB-FE18-4004-95FC-BC946DEA9896}"/>
    <cellStyle name="Normal 9 2 2 3 6 3" xfId="6533" xr:uid="{00000000-0005-0000-0000-0000E21E0000}"/>
    <cellStyle name="Normal 9 2 2 3 6 3 2" xfId="25158" xr:uid="{7BD8D76F-01D6-440B-AE51-5759611FC4D3}"/>
    <cellStyle name="Normal 9 2 2 3 6 3 3" xfId="15859" xr:uid="{E9FBA7BF-2D58-4B30-B320-921026830730}"/>
    <cellStyle name="Normal 9 2 2 3 6 4" xfId="20941" xr:uid="{C34BE07A-35C6-4009-B968-699BD7671296}"/>
    <cellStyle name="Normal 9 2 2 3 6 5" xfId="11642" xr:uid="{D01B53AB-7914-4F44-A300-05ADD60064D8}"/>
    <cellStyle name="Normal 9 2 2 3 7" xfId="2663" xr:uid="{00000000-0005-0000-0000-0000E31E0000}"/>
    <cellStyle name="Normal 9 2 2 3 7 2" xfId="6946" xr:uid="{00000000-0005-0000-0000-0000E41E0000}"/>
    <cellStyle name="Normal 9 2 2 3 7 2 2" xfId="25571" xr:uid="{EF8C6B2B-1000-41D7-AAC0-1BBC07C34000}"/>
    <cellStyle name="Normal 9 2 2 3 7 2 3" xfId="16272" xr:uid="{2D3BDBCF-5C30-4DD6-8241-248AB6A0B2B2}"/>
    <cellStyle name="Normal 9 2 2 3 7 3" xfId="21354" xr:uid="{CB0D6AD5-FD22-449D-8225-27A5734BA3EE}"/>
    <cellStyle name="Normal 9 2 2 3 7 4" xfId="12055" xr:uid="{585A1CCA-2420-4CAA-9D47-2DAEC2008389}"/>
    <cellStyle name="Normal 9 2 2 3 8" xfId="4881" xr:uid="{00000000-0005-0000-0000-0000E51E0000}"/>
    <cellStyle name="Normal 9 2 2 3 8 2" xfId="23506" xr:uid="{984E2692-8B90-4761-845C-57BD59498D32}"/>
    <cellStyle name="Normal 9 2 2 3 8 3" xfId="14207" xr:uid="{7B2956E1-2364-4B54-8D33-B4A62F1E2E0E}"/>
    <cellStyle name="Normal 9 2 2 3 9" xfId="8888" xr:uid="{47457178-62A7-4ACA-95A1-433BF4FD3D65}"/>
    <cellStyle name="Normal 9 2 2 3 9 2" xfId="27511" xr:uid="{C3264404-1B33-47E3-8F42-7C0A93E4093C}"/>
    <cellStyle name="Normal 9 2 2 3 9 3" xfId="18212" xr:uid="{F925AE9F-9636-4C28-A1B7-6A679CB2A123}"/>
    <cellStyle name="Normal 9 2 2 4" xfId="519" xr:uid="{00000000-0005-0000-0000-0000E61E0000}"/>
    <cellStyle name="Normal 9 2 2 4 10" xfId="9992" xr:uid="{721926E7-E8DA-4E12-9198-74C3748FECD3}"/>
    <cellStyle name="Normal 9 2 2 4 2" xfId="986" xr:uid="{00000000-0005-0000-0000-0000E71E0000}"/>
    <cellStyle name="Normal 9 2 2 4 2 2" xfId="3219" xr:uid="{00000000-0005-0000-0000-0000E81E0000}"/>
    <cellStyle name="Normal 9 2 2 4 2 2 2" xfId="7441" xr:uid="{00000000-0005-0000-0000-0000E91E0000}"/>
    <cellStyle name="Normal 9 2 2 4 2 2 2 2" xfId="26066" xr:uid="{6DBA6FDD-FF04-4FED-A6D6-819FCC82EF31}"/>
    <cellStyle name="Normal 9 2 2 4 2 2 2 3" xfId="16767" xr:uid="{047BD1EE-BF2D-42AD-81C7-7E75B7B14F8A}"/>
    <cellStyle name="Normal 9 2 2 4 2 2 3" xfId="21849" xr:uid="{533FECED-73D9-494F-A2ED-3626253249D7}"/>
    <cellStyle name="Normal 9 2 2 4 2 2 4" xfId="12550" xr:uid="{1D533A29-E809-4FE2-A552-9A1D66A60B80}"/>
    <cellStyle name="Normal 9 2 2 4 2 3" xfId="5296" xr:uid="{00000000-0005-0000-0000-0000EA1E0000}"/>
    <cellStyle name="Normal 9 2 2 4 2 3 2" xfId="23921" xr:uid="{13F0B7C6-DC14-43BA-8BD3-B156B50D70FA}"/>
    <cellStyle name="Normal 9 2 2 4 2 3 3" xfId="14622" xr:uid="{9805EEA6-1DDB-422F-871D-EA0B13E6C30B}"/>
    <cellStyle name="Normal 9 2 2 4 2 4" xfId="9417" xr:uid="{FDB8A679-B5B8-4E9B-808D-E68F6CA01958}"/>
    <cellStyle name="Normal 9 2 2 4 2 4 2" xfId="28031" xr:uid="{6523010F-D011-450A-BB66-4C6B8A81EF32}"/>
    <cellStyle name="Normal 9 2 2 4 2 4 3" xfId="18732" xr:uid="{E3EFF85B-1FDC-41B8-BD2D-1C6148CDA3E8}"/>
    <cellStyle name="Normal 9 2 2 4 2 5" xfId="19704" xr:uid="{35CA6738-3483-4131-9A82-61881C17198E}"/>
    <cellStyle name="Normal 9 2 2 4 2 6" xfId="10405" xr:uid="{8C6A60C0-1CAB-4B34-B68B-FC8A54D76CC5}"/>
    <cellStyle name="Normal 9 2 2 4 3" xfId="1402" xr:uid="{00000000-0005-0000-0000-0000EB1E0000}"/>
    <cellStyle name="Normal 9 2 2 4 3 2" xfId="3632" xr:uid="{00000000-0005-0000-0000-0000EC1E0000}"/>
    <cellStyle name="Normal 9 2 2 4 3 2 2" xfId="7854" xr:uid="{00000000-0005-0000-0000-0000ED1E0000}"/>
    <cellStyle name="Normal 9 2 2 4 3 2 2 2" xfId="26479" xr:uid="{1AB88B65-948F-49BA-9D5E-AC219BDB3EA6}"/>
    <cellStyle name="Normal 9 2 2 4 3 2 2 3" xfId="17180" xr:uid="{63AD6CE3-62E6-4B29-BBF7-3B5B232D4BD1}"/>
    <cellStyle name="Normal 9 2 2 4 3 2 3" xfId="22262" xr:uid="{1A06D4DD-11B3-47A4-826C-C9FD80B46DCC}"/>
    <cellStyle name="Normal 9 2 2 4 3 2 4" xfId="12963" xr:uid="{3D150F31-C2CA-4DC3-AF31-524EBE7B0436}"/>
    <cellStyle name="Normal 9 2 2 4 3 3" xfId="5709" xr:uid="{00000000-0005-0000-0000-0000EE1E0000}"/>
    <cellStyle name="Normal 9 2 2 4 3 3 2" xfId="24334" xr:uid="{86C909A5-469D-49A9-A36A-B78B5376D4F1}"/>
    <cellStyle name="Normal 9 2 2 4 3 3 3" xfId="15035" xr:uid="{DE5F4ACF-9B2D-408F-A96D-D7891CB0A362}"/>
    <cellStyle name="Normal 9 2 2 4 3 4" xfId="20117" xr:uid="{E9F7066B-50FF-40C3-B48F-23EE144E6EE9}"/>
    <cellStyle name="Normal 9 2 2 4 3 5" xfId="10818" xr:uid="{BCD318E1-A4D4-4637-B1B6-10C9E2D827D9}"/>
    <cellStyle name="Normal 9 2 2 4 4" xfId="1815" xr:uid="{00000000-0005-0000-0000-0000EF1E0000}"/>
    <cellStyle name="Normal 9 2 2 4 4 2" xfId="4045" xr:uid="{00000000-0005-0000-0000-0000F01E0000}"/>
    <cellStyle name="Normal 9 2 2 4 4 2 2" xfId="8267" xr:uid="{00000000-0005-0000-0000-0000F11E0000}"/>
    <cellStyle name="Normal 9 2 2 4 4 2 2 2" xfId="26892" xr:uid="{3FE8B9EE-FA06-4AAA-9CA3-6D2EA55A272B}"/>
    <cellStyle name="Normal 9 2 2 4 4 2 2 3" xfId="17593" xr:uid="{539DC216-1B56-4DC7-B41C-61AFA0982706}"/>
    <cellStyle name="Normal 9 2 2 4 4 2 3" xfId="22675" xr:uid="{907AB35C-095F-497E-90E5-9453F27CC2C3}"/>
    <cellStyle name="Normal 9 2 2 4 4 2 4" xfId="13376" xr:uid="{F3CD2838-B878-4E3D-B738-2DC93CF69192}"/>
    <cellStyle name="Normal 9 2 2 4 4 3" xfId="6122" xr:uid="{00000000-0005-0000-0000-0000F21E0000}"/>
    <cellStyle name="Normal 9 2 2 4 4 3 2" xfId="24747" xr:uid="{404F9DD4-722F-4565-9920-E297FD8CD87D}"/>
    <cellStyle name="Normal 9 2 2 4 4 3 3" xfId="15448" xr:uid="{5A558B66-FF79-49DC-AA3D-02720FF83606}"/>
    <cellStyle name="Normal 9 2 2 4 4 4" xfId="20530" xr:uid="{CBB4CBC9-93D5-44BE-8359-4682DF82D821}"/>
    <cellStyle name="Normal 9 2 2 4 4 5" xfId="11231" xr:uid="{D5BA1A12-A5EE-49B5-A7AC-D04D2C9FB60F}"/>
    <cellStyle name="Normal 9 2 2 4 5" xfId="2229" xr:uid="{00000000-0005-0000-0000-0000F31E0000}"/>
    <cellStyle name="Normal 9 2 2 4 5 2" xfId="4458" xr:uid="{00000000-0005-0000-0000-0000F41E0000}"/>
    <cellStyle name="Normal 9 2 2 4 5 2 2" xfId="8680" xr:uid="{00000000-0005-0000-0000-0000F51E0000}"/>
    <cellStyle name="Normal 9 2 2 4 5 2 2 2" xfId="27305" xr:uid="{EDF192E5-D498-4934-A18A-D9509920210F}"/>
    <cellStyle name="Normal 9 2 2 4 5 2 2 3" xfId="18006" xr:uid="{8F974BF1-7263-43E6-9BD3-0567180F6867}"/>
    <cellStyle name="Normal 9 2 2 4 5 2 3" xfId="23088" xr:uid="{24895CCA-5F21-4273-A956-FF4C6D165B3E}"/>
    <cellStyle name="Normal 9 2 2 4 5 2 4" xfId="13789" xr:uid="{3FE60E9D-644B-49A4-8DD5-881358A98143}"/>
    <cellStyle name="Normal 9 2 2 4 5 3" xfId="6535" xr:uid="{00000000-0005-0000-0000-0000F61E0000}"/>
    <cellStyle name="Normal 9 2 2 4 5 3 2" xfId="25160" xr:uid="{65CDE01A-03A5-42A5-A954-F0C655CBC0E4}"/>
    <cellStyle name="Normal 9 2 2 4 5 3 3" xfId="15861" xr:uid="{D39D244C-B040-4C3E-921C-7AABE3B63B8F}"/>
    <cellStyle name="Normal 9 2 2 4 5 4" xfId="20943" xr:uid="{1B482EAD-3964-4EEA-A448-26E817331E58}"/>
    <cellStyle name="Normal 9 2 2 4 5 5" xfId="11644" xr:uid="{F7601D8B-E4D8-4041-98AC-62048EA16B54}"/>
    <cellStyle name="Normal 9 2 2 4 6" xfId="2665" xr:uid="{00000000-0005-0000-0000-0000F71E0000}"/>
    <cellStyle name="Normal 9 2 2 4 6 2" xfId="6948" xr:uid="{00000000-0005-0000-0000-0000F81E0000}"/>
    <cellStyle name="Normal 9 2 2 4 6 2 2" xfId="25573" xr:uid="{26D8C659-895F-4682-B001-4827260C9B11}"/>
    <cellStyle name="Normal 9 2 2 4 6 2 3" xfId="16274" xr:uid="{EE21A074-4305-41E6-8F21-7DBA115A9F07}"/>
    <cellStyle name="Normal 9 2 2 4 6 3" xfId="21356" xr:uid="{192D730C-01ED-4341-B46F-B5A5FDF52567}"/>
    <cellStyle name="Normal 9 2 2 4 6 4" xfId="12057" xr:uid="{BF3DA3B7-7058-4145-83A8-A83E5073D2BF}"/>
    <cellStyle name="Normal 9 2 2 4 7" xfId="4883" xr:uid="{00000000-0005-0000-0000-0000F91E0000}"/>
    <cellStyle name="Normal 9 2 2 4 7 2" xfId="23508" xr:uid="{F8EE3D5E-96A1-44D8-B5CC-E8B3582A8180}"/>
    <cellStyle name="Normal 9 2 2 4 7 3" xfId="14209" xr:uid="{B2CCEAD4-B870-46B6-BF14-9C30BB50D40C}"/>
    <cellStyle name="Normal 9 2 2 4 8" xfId="8992" xr:uid="{8AFFF8AD-8552-4B33-AAFF-7DACAE25085E}"/>
    <cellStyle name="Normal 9 2 2 4 8 2" xfId="27615" xr:uid="{89F7FFCF-2BC7-4FE6-9796-C2D427ABE29B}"/>
    <cellStyle name="Normal 9 2 2 4 8 3" xfId="18316" xr:uid="{1FCBE2CF-08FB-4E57-B4C4-570A97A63470}"/>
    <cellStyle name="Normal 9 2 2 4 9" xfId="19291" xr:uid="{84BB92FE-B2AA-4E9E-8C11-2F661D5B16E9}"/>
    <cellStyle name="Normal 9 2 2 5" xfId="979" xr:uid="{00000000-0005-0000-0000-0000FA1E0000}"/>
    <cellStyle name="Normal 9 2 2 5 2" xfId="3212" xr:uid="{00000000-0005-0000-0000-0000FB1E0000}"/>
    <cellStyle name="Normal 9 2 2 5 2 2" xfId="7434" xr:uid="{00000000-0005-0000-0000-0000FC1E0000}"/>
    <cellStyle name="Normal 9 2 2 5 2 2 2" xfId="26059" xr:uid="{3425FE94-36FA-4F3E-A7BC-E19EEFFDE9D8}"/>
    <cellStyle name="Normal 9 2 2 5 2 2 3" xfId="16760" xr:uid="{69BD8AE1-8019-43EA-A237-D2199D87B5A0}"/>
    <cellStyle name="Normal 9 2 2 5 2 3" xfId="21842" xr:uid="{254F48F9-CD97-4845-ADF1-3D77EA5B3AD6}"/>
    <cellStyle name="Normal 9 2 2 5 2 4" xfId="12543" xr:uid="{05335DEA-23DE-4914-BEDD-175B4EE63D0C}"/>
    <cellStyle name="Normal 9 2 2 5 3" xfId="5289" xr:uid="{00000000-0005-0000-0000-0000FD1E0000}"/>
    <cellStyle name="Normal 9 2 2 5 3 2" xfId="23914" xr:uid="{A07BE0ED-72BA-4DC8-B3F6-190B12F77F7D}"/>
    <cellStyle name="Normal 9 2 2 5 3 3" xfId="14615" xr:uid="{F402ECCB-BF33-4697-BD74-8D58B745657B}"/>
    <cellStyle name="Normal 9 2 2 5 4" xfId="9209" xr:uid="{66E66B93-842C-41D8-A807-A065C03CFEBD}"/>
    <cellStyle name="Normal 9 2 2 5 4 2" xfId="27824" xr:uid="{6F589625-1901-4989-8478-51390FBB731A}"/>
    <cellStyle name="Normal 9 2 2 5 4 3" xfId="18525" xr:uid="{2014D4C7-0927-4C6F-A48D-8BC236F9F26C}"/>
    <cellStyle name="Normal 9 2 2 5 5" xfId="19697" xr:uid="{574FC018-A8AC-4211-9743-8258ABA06897}"/>
    <cellStyle name="Normal 9 2 2 5 6" xfId="10398" xr:uid="{C05663B1-E6D6-4ECF-8073-F8B532D95203}"/>
    <cellStyle name="Normal 9 2 2 6" xfId="1395" xr:uid="{00000000-0005-0000-0000-0000FE1E0000}"/>
    <cellStyle name="Normal 9 2 2 6 2" xfId="3625" xr:uid="{00000000-0005-0000-0000-0000FF1E0000}"/>
    <cellStyle name="Normal 9 2 2 6 2 2" xfId="7847" xr:uid="{00000000-0005-0000-0000-0000001F0000}"/>
    <cellStyle name="Normal 9 2 2 6 2 2 2" xfId="26472" xr:uid="{10B08F30-9981-4477-BD53-E2FB1259076D}"/>
    <cellStyle name="Normal 9 2 2 6 2 2 3" xfId="17173" xr:uid="{2E7A4D03-F24C-4E83-ADA1-E93545546F81}"/>
    <cellStyle name="Normal 9 2 2 6 2 3" xfId="22255" xr:uid="{0627A984-274D-46AB-8C9D-04AB270E6B5F}"/>
    <cellStyle name="Normal 9 2 2 6 2 4" xfId="12956" xr:uid="{AD15ABC8-312C-4AFC-A1F6-B54173549DD9}"/>
    <cellStyle name="Normal 9 2 2 6 3" xfId="5702" xr:uid="{00000000-0005-0000-0000-0000011F0000}"/>
    <cellStyle name="Normal 9 2 2 6 3 2" xfId="24327" xr:uid="{6624F608-855A-4DDD-AFF7-745B5CDEFB9C}"/>
    <cellStyle name="Normal 9 2 2 6 3 3" xfId="15028" xr:uid="{14A512F4-CD2C-4DD9-8E72-AF058A5C59F0}"/>
    <cellStyle name="Normal 9 2 2 6 4" xfId="20110" xr:uid="{FD295932-9C35-4ACD-B4DD-B15D53A0B330}"/>
    <cellStyle name="Normal 9 2 2 6 5" xfId="10811" xr:uid="{D95547B0-B2CE-428F-B830-1F503589D450}"/>
    <cellStyle name="Normal 9 2 2 7" xfId="1808" xr:uid="{00000000-0005-0000-0000-0000021F0000}"/>
    <cellStyle name="Normal 9 2 2 7 2" xfId="4038" xr:uid="{00000000-0005-0000-0000-0000031F0000}"/>
    <cellStyle name="Normal 9 2 2 7 2 2" xfId="8260" xr:uid="{00000000-0005-0000-0000-0000041F0000}"/>
    <cellStyle name="Normal 9 2 2 7 2 2 2" xfId="26885" xr:uid="{C6C24F91-C0FD-4C3E-AFF8-A4CB96A17B23}"/>
    <cellStyle name="Normal 9 2 2 7 2 2 3" xfId="17586" xr:uid="{1CAD734A-1E07-4A43-BCAA-30A3D1D2F636}"/>
    <cellStyle name="Normal 9 2 2 7 2 3" xfId="22668" xr:uid="{233C7831-3EA8-4CBA-8CBE-1EB969446987}"/>
    <cellStyle name="Normal 9 2 2 7 2 4" xfId="13369" xr:uid="{9F33EE0F-2FAF-4381-AF8A-468135E76334}"/>
    <cellStyle name="Normal 9 2 2 7 3" xfId="6115" xr:uid="{00000000-0005-0000-0000-0000051F0000}"/>
    <cellStyle name="Normal 9 2 2 7 3 2" xfId="24740" xr:uid="{542FF323-B72A-477A-8DD6-D47FE786A909}"/>
    <cellStyle name="Normal 9 2 2 7 3 3" xfId="15441" xr:uid="{7DE2FF42-8C21-4EE7-A754-372F5714CDE8}"/>
    <cellStyle name="Normal 9 2 2 7 4" xfId="20523" xr:uid="{C5F6364D-674F-4B98-91E6-A60ADC6A2614}"/>
    <cellStyle name="Normal 9 2 2 7 5" xfId="11224" xr:uid="{5D4C96AD-5AB0-44B3-88AC-E7BA452C9600}"/>
    <cellStyle name="Normal 9 2 2 8" xfId="2222" xr:uid="{00000000-0005-0000-0000-0000061F0000}"/>
    <cellStyle name="Normal 9 2 2 8 2" xfId="4451" xr:uid="{00000000-0005-0000-0000-0000071F0000}"/>
    <cellStyle name="Normal 9 2 2 8 2 2" xfId="8673" xr:uid="{00000000-0005-0000-0000-0000081F0000}"/>
    <cellStyle name="Normal 9 2 2 8 2 2 2" xfId="27298" xr:uid="{CC9A0366-84C1-4D1B-9224-9CA0B635BD75}"/>
    <cellStyle name="Normal 9 2 2 8 2 2 3" xfId="17999" xr:uid="{405168D0-D22A-4A42-A566-4D42A0878B81}"/>
    <cellStyle name="Normal 9 2 2 8 2 3" xfId="23081" xr:uid="{154A19C8-E365-419F-84BF-784805406C1C}"/>
    <cellStyle name="Normal 9 2 2 8 2 4" xfId="13782" xr:uid="{A190A4D0-716D-4E44-B772-EC84F8A9712B}"/>
    <cellStyle name="Normal 9 2 2 8 3" xfId="6528" xr:uid="{00000000-0005-0000-0000-0000091F0000}"/>
    <cellStyle name="Normal 9 2 2 8 3 2" xfId="25153" xr:uid="{242CED52-E286-45AC-9A6C-F1E91E4EDD35}"/>
    <cellStyle name="Normal 9 2 2 8 3 3" xfId="15854" xr:uid="{EBA81546-E227-42D4-817F-7FC0541402F0}"/>
    <cellStyle name="Normal 9 2 2 8 4" xfId="20936" xr:uid="{3A2D3CF3-B433-4456-96F5-78444659719F}"/>
    <cellStyle name="Normal 9 2 2 8 5" xfId="11637" xr:uid="{D0C89B3B-848E-4FE8-A188-EB1765481C43}"/>
    <cellStyle name="Normal 9 2 2 9" xfId="2658" xr:uid="{00000000-0005-0000-0000-00000A1F0000}"/>
    <cellStyle name="Normal 9 2 2 9 2" xfId="6941" xr:uid="{00000000-0005-0000-0000-00000B1F0000}"/>
    <cellStyle name="Normal 9 2 2 9 2 2" xfId="25566" xr:uid="{62E7058E-CBA8-43B6-8DC7-7BC97E32D387}"/>
    <cellStyle name="Normal 9 2 2 9 2 3" xfId="16267" xr:uid="{723E72BA-D3BD-444C-9524-7669F57F3151}"/>
    <cellStyle name="Normal 9 2 2 9 3" xfId="21349" xr:uid="{3CAA959B-F54B-4FAA-93A4-A06E6C165623}"/>
    <cellStyle name="Normal 9 2 2 9 4" xfId="12050" xr:uid="{B86A47E4-5C34-45F0-B37B-2050698A4685}"/>
    <cellStyle name="Normal 9 2 3" xfId="520" xr:uid="{00000000-0005-0000-0000-00000C1F0000}"/>
    <cellStyle name="Normal 9 2 3 10" xfId="8838" xr:uid="{3F59BADF-95CF-4831-9CE1-8ACBDD585DF1}"/>
    <cellStyle name="Normal 9 2 3 10 2" xfId="27461" xr:uid="{20F084D7-51E9-4516-A066-A1FBBEDE478E}"/>
    <cellStyle name="Normal 9 2 3 10 3" xfId="18162" xr:uid="{3E6ED63C-5A2A-4DF4-A0FF-9213FEF758D0}"/>
    <cellStyle name="Normal 9 2 3 11" xfId="19292" xr:uid="{74F79D8F-078D-4F3E-A020-014FDD5F849F}"/>
    <cellStyle name="Normal 9 2 3 12" xfId="9993" xr:uid="{94D126C4-A5F3-412A-B252-4401991825BF}"/>
    <cellStyle name="Normal 9 2 3 2" xfId="521" xr:uid="{00000000-0005-0000-0000-00000D1F0000}"/>
    <cellStyle name="Normal 9 2 3 2 10" xfId="19293" xr:uid="{B1016F0A-EAC7-453F-B900-2236D52865AB}"/>
    <cellStyle name="Normal 9 2 3 2 11" xfId="9994" xr:uid="{DC83F6C4-53A3-4062-97D1-74565D178175}"/>
    <cellStyle name="Normal 9 2 3 2 2" xfId="522" xr:uid="{00000000-0005-0000-0000-00000E1F0000}"/>
    <cellStyle name="Normal 9 2 3 2 2 10" xfId="9995" xr:uid="{B0B01321-0AD6-4B9D-9CFB-4BE17DC093ED}"/>
    <cellStyle name="Normal 9 2 3 2 2 2" xfId="989" xr:uid="{00000000-0005-0000-0000-00000F1F0000}"/>
    <cellStyle name="Normal 9 2 3 2 2 2 2" xfId="3222" xr:uid="{00000000-0005-0000-0000-0000101F0000}"/>
    <cellStyle name="Normal 9 2 3 2 2 2 2 2" xfId="7444" xr:uid="{00000000-0005-0000-0000-0000111F0000}"/>
    <cellStyle name="Normal 9 2 3 2 2 2 2 2 2" xfId="26069" xr:uid="{D4DBAA7F-4AC9-4E7E-914C-3931FD411858}"/>
    <cellStyle name="Normal 9 2 3 2 2 2 2 2 3" xfId="16770" xr:uid="{B13593D6-54D9-42CD-9ED2-EBC619F2B763}"/>
    <cellStyle name="Normal 9 2 3 2 2 2 2 3" xfId="21852" xr:uid="{10CFC4DD-525A-440D-8362-9AC2F43E5521}"/>
    <cellStyle name="Normal 9 2 3 2 2 2 2 4" xfId="12553" xr:uid="{A5EB92CC-C7CC-478A-BF9C-1022424C2777}"/>
    <cellStyle name="Normal 9 2 3 2 2 2 3" xfId="5299" xr:uid="{00000000-0005-0000-0000-0000121F0000}"/>
    <cellStyle name="Normal 9 2 3 2 2 2 3 2" xfId="23924" xr:uid="{A1CE8E23-EE46-4DF7-8754-E5BE1CC1A40A}"/>
    <cellStyle name="Normal 9 2 3 2 2 2 3 3" xfId="14625" xr:uid="{3FAC9FCB-5561-4EA9-87EA-41304539EB81}"/>
    <cellStyle name="Normal 9 2 3 2 2 2 4" xfId="9573" xr:uid="{376F8566-2407-40B8-9531-D3E757BE7A23}"/>
    <cellStyle name="Normal 9 2 3 2 2 2 4 2" xfId="28187" xr:uid="{1A0B5DA2-96E8-4DB7-BB1D-6A76D4507B9E}"/>
    <cellStyle name="Normal 9 2 3 2 2 2 4 3" xfId="18888" xr:uid="{4D668701-8754-49BF-9AB0-2A935D4DAAF8}"/>
    <cellStyle name="Normal 9 2 3 2 2 2 5" xfId="19707" xr:uid="{CF7E9EA1-4E4E-43F4-8F9F-CC503DBF8079}"/>
    <cellStyle name="Normal 9 2 3 2 2 2 6" xfId="10408" xr:uid="{E6C6461B-4C2C-4330-8A8B-F552113D5B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2 2 2" xfId="26482" xr:uid="{F656882D-C40E-4516-B71E-48E72245159B}"/>
    <cellStyle name="Normal 9 2 3 2 2 3 2 2 3" xfId="17183" xr:uid="{52C42F15-8D58-48BC-8743-4B1803A2E716}"/>
    <cellStyle name="Normal 9 2 3 2 2 3 2 3" xfId="22265" xr:uid="{8139088E-8552-4C2D-BB8A-AB71FD5F0B0A}"/>
    <cellStyle name="Normal 9 2 3 2 2 3 2 4" xfId="12966" xr:uid="{1C471AEB-43FF-4411-AECC-57F0A657AC16}"/>
    <cellStyle name="Normal 9 2 3 2 2 3 3" xfId="5712" xr:uid="{00000000-0005-0000-0000-0000161F0000}"/>
    <cellStyle name="Normal 9 2 3 2 2 3 3 2" xfId="24337" xr:uid="{C2E9F689-6286-4FED-A365-8AB6A1342930}"/>
    <cellStyle name="Normal 9 2 3 2 2 3 3 3" xfId="15038" xr:uid="{950470CF-B1B6-4220-A664-1DED70F2B4F2}"/>
    <cellStyle name="Normal 9 2 3 2 2 3 4" xfId="20120" xr:uid="{36B7CE97-77AF-434A-84E9-BD283643A2B4}"/>
    <cellStyle name="Normal 9 2 3 2 2 3 5" xfId="10821" xr:uid="{7F4F2EDA-4E0C-4EF4-9A1A-EF40105FD9B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2 2 2" xfId="26895" xr:uid="{827B9032-561D-4118-B245-AB237D0C928C}"/>
    <cellStyle name="Normal 9 2 3 2 2 4 2 2 3" xfId="17596" xr:uid="{39CA2DFE-058A-4D59-90AB-D5361C6DAB72}"/>
    <cellStyle name="Normal 9 2 3 2 2 4 2 3" xfId="22678" xr:uid="{1FE7FCFD-4F39-4D57-A7DF-4CFD4A69F2B7}"/>
    <cellStyle name="Normal 9 2 3 2 2 4 2 4" xfId="13379" xr:uid="{C2402F71-C8CB-4592-9370-01793EB2C3EB}"/>
    <cellStyle name="Normal 9 2 3 2 2 4 3" xfId="6125" xr:uid="{00000000-0005-0000-0000-00001A1F0000}"/>
    <cellStyle name="Normal 9 2 3 2 2 4 3 2" xfId="24750" xr:uid="{596D9602-7BDB-4F02-A767-6152B49B1A08}"/>
    <cellStyle name="Normal 9 2 3 2 2 4 3 3" xfId="15451" xr:uid="{4970163F-C343-445F-8D5C-73E4960258ED}"/>
    <cellStyle name="Normal 9 2 3 2 2 4 4" xfId="20533" xr:uid="{D4F30581-4ECA-4A56-911E-8F2544F7A517}"/>
    <cellStyle name="Normal 9 2 3 2 2 4 5" xfId="11234" xr:uid="{89FA8FDD-EFDE-4DEA-A746-A1B0CC4EAB95}"/>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2 2 2" xfId="27308" xr:uid="{B46B04D9-D7A2-49F3-9DD9-84BB951839CF}"/>
    <cellStyle name="Normal 9 2 3 2 2 5 2 2 3" xfId="18009" xr:uid="{7B9C8483-7F59-436F-BA02-B15B028EC88C}"/>
    <cellStyle name="Normal 9 2 3 2 2 5 2 3" xfId="23091" xr:uid="{751FFED4-90E0-417C-B841-BFDAAD836CF7}"/>
    <cellStyle name="Normal 9 2 3 2 2 5 2 4" xfId="13792" xr:uid="{27EC6405-82B8-45DF-B8FD-19C163DC9D0E}"/>
    <cellStyle name="Normal 9 2 3 2 2 5 3" xfId="6538" xr:uid="{00000000-0005-0000-0000-00001E1F0000}"/>
    <cellStyle name="Normal 9 2 3 2 2 5 3 2" xfId="25163" xr:uid="{4B91866D-8FEF-4D17-91F5-10283919B297}"/>
    <cellStyle name="Normal 9 2 3 2 2 5 3 3" xfId="15864" xr:uid="{BEDD3347-F88F-4E14-8F42-F73C36E562B4}"/>
    <cellStyle name="Normal 9 2 3 2 2 5 4" xfId="20946" xr:uid="{5729BFB1-0526-4575-BD96-3486C7F83C2B}"/>
    <cellStyle name="Normal 9 2 3 2 2 5 5" xfId="11647" xr:uid="{FFAF4CF6-D9CD-41F0-AAF3-C26DA60A2F9E}"/>
    <cellStyle name="Normal 9 2 3 2 2 6" xfId="2668" xr:uid="{00000000-0005-0000-0000-00001F1F0000}"/>
    <cellStyle name="Normal 9 2 3 2 2 6 2" xfId="6951" xr:uid="{00000000-0005-0000-0000-0000201F0000}"/>
    <cellStyle name="Normal 9 2 3 2 2 6 2 2" xfId="25576" xr:uid="{DB36F30E-EF23-45BB-9B14-A1EF62F139FA}"/>
    <cellStyle name="Normal 9 2 3 2 2 6 2 3" xfId="16277" xr:uid="{E271E04F-D060-4F46-B151-1E1919798591}"/>
    <cellStyle name="Normal 9 2 3 2 2 6 3" xfId="21359" xr:uid="{265F6A53-D4CE-4994-8308-67ADAF8FAA8E}"/>
    <cellStyle name="Normal 9 2 3 2 2 6 4" xfId="12060" xr:uid="{BBD4E38F-1798-4C8E-B416-FBEA98F6D231}"/>
    <cellStyle name="Normal 9 2 3 2 2 7" xfId="4886" xr:uid="{00000000-0005-0000-0000-0000211F0000}"/>
    <cellStyle name="Normal 9 2 3 2 2 7 2" xfId="23511" xr:uid="{019F00AF-98FE-45CD-B7AC-75A824904372}"/>
    <cellStyle name="Normal 9 2 3 2 2 7 3" xfId="14212" xr:uid="{5F757994-7120-4DF1-9288-B81BBF3F2E98}"/>
    <cellStyle name="Normal 9 2 3 2 2 8" xfId="9148" xr:uid="{E1A2F3F0-C8EA-47FA-BB37-18F117041A87}"/>
    <cellStyle name="Normal 9 2 3 2 2 8 2" xfId="27771" xr:uid="{881F36BA-9AF7-4023-B64A-9915B9075612}"/>
    <cellStyle name="Normal 9 2 3 2 2 8 3" xfId="18472" xr:uid="{40E0C6A7-49EC-482B-B2B5-04078D010A98}"/>
    <cellStyle name="Normal 9 2 3 2 2 9" xfId="19294" xr:uid="{B6D925ED-F505-4FE7-A056-B94AA0C63B6B}"/>
    <cellStyle name="Normal 9 2 3 2 3" xfId="988" xr:uid="{00000000-0005-0000-0000-0000221F0000}"/>
    <cellStyle name="Normal 9 2 3 2 3 2" xfId="3221" xr:uid="{00000000-0005-0000-0000-0000231F0000}"/>
    <cellStyle name="Normal 9 2 3 2 3 2 2" xfId="7443" xr:uid="{00000000-0005-0000-0000-0000241F0000}"/>
    <cellStyle name="Normal 9 2 3 2 3 2 2 2" xfId="26068" xr:uid="{06F46FAF-D89D-4E87-8067-26E346976A4D}"/>
    <cellStyle name="Normal 9 2 3 2 3 2 2 3" xfId="16769" xr:uid="{6905D291-9590-4DFB-93CE-96331BEBD5BC}"/>
    <cellStyle name="Normal 9 2 3 2 3 2 3" xfId="21851" xr:uid="{45F0125F-B9C4-4BC6-B9D5-6CE3756E7790}"/>
    <cellStyle name="Normal 9 2 3 2 3 2 4" xfId="12552" xr:uid="{ECBD867C-B47C-4AEC-9543-53A8E72647D0}"/>
    <cellStyle name="Normal 9 2 3 2 3 3" xfId="5298" xr:uid="{00000000-0005-0000-0000-0000251F0000}"/>
    <cellStyle name="Normal 9 2 3 2 3 3 2" xfId="23923" xr:uid="{12A0E80B-3120-486A-8BB5-CAA166FFA55B}"/>
    <cellStyle name="Normal 9 2 3 2 3 3 3" xfId="14624" xr:uid="{428798A5-5D6A-4204-83AF-8C29FC3E7815}"/>
    <cellStyle name="Normal 9 2 3 2 3 4" xfId="9366" xr:uid="{136A6B94-9CAA-4F6C-B09D-7385900FCA38}"/>
    <cellStyle name="Normal 9 2 3 2 3 4 2" xfId="27980" xr:uid="{771F0170-0A31-42C4-A7D5-EF4ACA84FD5F}"/>
    <cellStyle name="Normal 9 2 3 2 3 4 3" xfId="18681" xr:uid="{449F6088-B949-467F-9BEB-B6043660C7E8}"/>
    <cellStyle name="Normal 9 2 3 2 3 5" xfId="19706" xr:uid="{DA708CA5-06E5-4E5B-936B-8EA550114A45}"/>
    <cellStyle name="Normal 9 2 3 2 3 6" xfId="10407" xr:uid="{F393C6EE-1EB3-4DCD-9ABB-6F35D5AF6067}"/>
    <cellStyle name="Normal 9 2 3 2 4" xfId="1404" xr:uid="{00000000-0005-0000-0000-0000261F0000}"/>
    <cellStyle name="Normal 9 2 3 2 4 2" xfId="3634" xr:uid="{00000000-0005-0000-0000-0000271F0000}"/>
    <cellStyle name="Normal 9 2 3 2 4 2 2" xfId="7856" xr:uid="{00000000-0005-0000-0000-0000281F0000}"/>
    <cellStyle name="Normal 9 2 3 2 4 2 2 2" xfId="26481" xr:uid="{6BBF9269-C19F-40A4-9E57-066B4F73C89B}"/>
    <cellStyle name="Normal 9 2 3 2 4 2 2 3" xfId="17182" xr:uid="{4EB67A3A-04B1-4681-B3C8-7447D2BF55D9}"/>
    <cellStyle name="Normal 9 2 3 2 4 2 3" xfId="22264" xr:uid="{2065E091-D2A9-4373-B456-C186F2069B59}"/>
    <cellStyle name="Normal 9 2 3 2 4 2 4" xfId="12965" xr:uid="{C98D645F-2DE8-4C5F-84A6-3E5046BA8AC7}"/>
    <cellStyle name="Normal 9 2 3 2 4 3" xfId="5711" xr:uid="{00000000-0005-0000-0000-0000291F0000}"/>
    <cellStyle name="Normal 9 2 3 2 4 3 2" xfId="24336" xr:uid="{72705610-50EA-4AE6-8AB7-EFF0E6ED4538}"/>
    <cellStyle name="Normal 9 2 3 2 4 3 3" xfId="15037" xr:uid="{5928CD41-4B45-496B-A987-E30E551F3415}"/>
    <cellStyle name="Normal 9 2 3 2 4 4" xfId="20119" xr:uid="{39373A28-2581-4465-A297-F7C759F9091A}"/>
    <cellStyle name="Normal 9 2 3 2 4 5" xfId="10820" xr:uid="{F66DDC76-71FA-473C-A946-51F14CF11E36}"/>
    <cellStyle name="Normal 9 2 3 2 5" xfId="1817" xr:uid="{00000000-0005-0000-0000-00002A1F0000}"/>
    <cellStyle name="Normal 9 2 3 2 5 2" xfId="4047" xr:uid="{00000000-0005-0000-0000-00002B1F0000}"/>
    <cellStyle name="Normal 9 2 3 2 5 2 2" xfId="8269" xr:uid="{00000000-0005-0000-0000-00002C1F0000}"/>
    <cellStyle name="Normal 9 2 3 2 5 2 2 2" xfId="26894" xr:uid="{52376853-DC02-45D0-B3D4-F3713CAD2CF2}"/>
    <cellStyle name="Normal 9 2 3 2 5 2 2 3" xfId="17595" xr:uid="{944D7B44-70BF-43CF-918F-3299CB9AB8E1}"/>
    <cellStyle name="Normal 9 2 3 2 5 2 3" xfId="22677" xr:uid="{5CA6D6C8-6F47-46A6-A85A-D889CB2EBA83}"/>
    <cellStyle name="Normal 9 2 3 2 5 2 4" xfId="13378" xr:uid="{12F85474-0F4F-4270-B7CB-62BC31813C49}"/>
    <cellStyle name="Normal 9 2 3 2 5 3" xfId="6124" xr:uid="{00000000-0005-0000-0000-00002D1F0000}"/>
    <cellStyle name="Normal 9 2 3 2 5 3 2" xfId="24749" xr:uid="{39011C54-D844-4D44-9B7C-807E96D49081}"/>
    <cellStyle name="Normal 9 2 3 2 5 3 3" xfId="15450" xr:uid="{91B44CA6-D900-4ECC-8D92-F76488631CE5}"/>
    <cellStyle name="Normal 9 2 3 2 5 4" xfId="20532" xr:uid="{F01E2C86-16BF-465C-A0BD-FE409A659DD3}"/>
    <cellStyle name="Normal 9 2 3 2 5 5" xfId="11233" xr:uid="{40343E7D-EF22-4776-9361-7FA722118A91}"/>
    <cellStyle name="Normal 9 2 3 2 6" xfId="2231" xr:uid="{00000000-0005-0000-0000-00002E1F0000}"/>
    <cellStyle name="Normal 9 2 3 2 6 2" xfId="4460" xr:uid="{00000000-0005-0000-0000-00002F1F0000}"/>
    <cellStyle name="Normal 9 2 3 2 6 2 2" xfId="8682" xr:uid="{00000000-0005-0000-0000-0000301F0000}"/>
    <cellStyle name="Normal 9 2 3 2 6 2 2 2" xfId="27307" xr:uid="{5B586B04-3C54-422C-B139-F2EA84BF83C0}"/>
    <cellStyle name="Normal 9 2 3 2 6 2 2 3" xfId="18008" xr:uid="{4D9465A9-5B67-42AD-BC78-169327FC4E13}"/>
    <cellStyle name="Normal 9 2 3 2 6 2 3" xfId="23090" xr:uid="{0F4BAFA5-7F26-4A9C-9BDE-861D0E73AAAE}"/>
    <cellStyle name="Normal 9 2 3 2 6 2 4" xfId="13791" xr:uid="{8C7197BF-0044-428F-8DB5-191CA2C612AB}"/>
    <cellStyle name="Normal 9 2 3 2 6 3" xfId="6537" xr:uid="{00000000-0005-0000-0000-0000311F0000}"/>
    <cellStyle name="Normal 9 2 3 2 6 3 2" xfId="25162" xr:uid="{B936DA1A-167E-4A59-94D1-3F722FE4FD9F}"/>
    <cellStyle name="Normal 9 2 3 2 6 3 3" xfId="15863" xr:uid="{DB269A18-4FCC-4FDA-B743-74A801769B71}"/>
    <cellStyle name="Normal 9 2 3 2 6 4" xfId="20945" xr:uid="{BE80803B-05A0-4001-B118-6FECC401DBFE}"/>
    <cellStyle name="Normal 9 2 3 2 6 5" xfId="11646" xr:uid="{CBD76A57-DC02-4F66-AB82-05DBDE8B596C}"/>
    <cellStyle name="Normal 9 2 3 2 7" xfId="2667" xr:uid="{00000000-0005-0000-0000-0000321F0000}"/>
    <cellStyle name="Normal 9 2 3 2 7 2" xfId="6950" xr:uid="{00000000-0005-0000-0000-0000331F0000}"/>
    <cellStyle name="Normal 9 2 3 2 7 2 2" xfId="25575" xr:uid="{E0C3F969-4993-4734-84FE-2D4DCF6B584C}"/>
    <cellStyle name="Normal 9 2 3 2 7 2 3" xfId="16276" xr:uid="{3DD66100-7327-4A60-AC15-CF9BB783A57E}"/>
    <cellStyle name="Normal 9 2 3 2 7 3" xfId="21358" xr:uid="{B0461A35-3926-47C6-A69B-F1A6748EF255}"/>
    <cellStyle name="Normal 9 2 3 2 7 4" xfId="12059" xr:uid="{CCF765AC-A15F-4C47-849D-7A4AA8A4D6CC}"/>
    <cellStyle name="Normal 9 2 3 2 8" xfId="4885" xr:uid="{00000000-0005-0000-0000-0000341F0000}"/>
    <cellStyle name="Normal 9 2 3 2 8 2" xfId="23510" xr:uid="{2AC68634-0A45-4F99-9BA6-6302117233C8}"/>
    <cellStyle name="Normal 9 2 3 2 8 3" xfId="14211" xr:uid="{E7BBDE28-8AB2-46A8-A1AB-91EDA62A3FE1}"/>
    <cellStyle name="Normal 9 2 3 2 9" xfId="8941" xr:uid="{DDA1E375-E708-45D0-9119-207D493A75BA}"/>
    <cellStyle name="Normal 9 2 3 2 9 2" xfId="27564" xr:uid="{82EF5E06-8119-41DD-B277-3828F38B4CDA}"/>
    <cellStyle name="Normal 9 2 3 2 9 3" xfId="18265" xr:uid="{5A09E815-A61E-45FD-A01F-DAA93C5C1C62}"/>
    <cellStyle name="Normal 9 2 3 3" xfId="523" xr:uid="{00000000-0005-0000-0000-0000351F0000}"/>
    <cellStyle name="Normal 9 2 3 3 10" xfId="9996" xr:uid="{3182BF15-DCFB-4824-946E-035484E79FA1}"/>
    <cellStyle name="Normal 9 2 3 3 2" xfId="990" xr:uid="{00000000-0005-0000-0000-0000361F0000}"/>
    <cellStyle name="Normal 9 2 3 3 2 2" xfId="3223" xr:uid="{00000000-0005-0000-0000-0000371F0000}"/>
    <cellStyle name="Normal 9 2 3 3 2 2 2" xfId="7445" xr:uid="{00000000-0005-0000-0000-0000381F0000}"/>
    <cellStyle name="Normal 9 2 3 3 2 2 2 2" xfId="26070" xr:uid="{25F816F7-364E-4C62-B2A6-8BA30040878F}"/>
    <cellStyle name="Normal 9 2 3 3 2 2 2 3" xfId="16771" xr:uid="{CBD67016-E450-4DFF-92B1-53107485F150}"/>
    <cellStyle name="Normal 9 2 3 3 2 2 3" xfId="21853" xr:uid="{782FE3F0-D136-433C-8296-A819545B3C4E}"/>
    <cellStyle name="Normal 9 2 3 3 2 2 4" xfId="12554" xr:uid="{DAAE3046-D6EF-40AC-869C-6100ADA9E3DA}"/>
    <cellStyle name="Normal 9 2 3 3 2 3" xfId="5300" xr:uid="{00000000-0005-0000-0000-0000391F0000}"/>
    <cellStyle name="Normal 9 2 3 3 2 3 2" xfId="23925" xr:uid="{7587DE34-F1C2-409A-BA11-4BAC24850D10}"/>
    <cellStyle name="Normal 9 2 3 3 2 3 3" xfId="14626" xr:uid="{0DCB26A5-C0FE-4374-916B-E7962F289A06}"/>
    <cellStyle name="Normal 9 2 3 3 2 4" xfId="9470" xr:uid="{B46EA5E7-4A9D-405A-94B0-2C155F0DE1F1}"/>
    <cellStyle name="Normal 9 2 3 3 2 4 2" xfId="28084" xr:uid="{F3FB3B81-22F2-4F7A-8CEC-6C7BBAA871EB}"/>
    <cellStyle name="Normal 9 2 3 3 2 4 3" xfId="18785" xr:uid="{6ACE3264-04E1-4934-8638-6DDE8F9A94F7}"/>
    <cellStyle name="Normal 9 2 3 3 2 5" xfId="19708" xr:uid="{1631ACCB-900F-4206-BFFE-42481FD114F3}"/>
    <cellStyle name="Normal 9 2 3 3 2 6" xfId="10409" xr:uid="{74DA4D1F-C5CE-4887-BEC3-BBC25E809013}"/>
    <cellStyle name="Normal 9 2 3 3 3" xfId="1406" xr:uid="{00000000-0005-0000-0000-00003A1F0000}"/>
    <cellStyle name="Normal 9 2 3 3 3 2" xfId="3636" xr:uid="{00000000-0005-0000-0000-00003B1F0000}"/>
    <cellStyle name="Normal 9 2 3 3 3 2 2" xfId="7858" xr:uid="{00000000-0005-0000-0000-00003C1F0000}"/>
    <cellStyle name="Normal 9 2 3 3 3 2 2 2" xfId="26483" xr:uid="{38B8B990-5413-4816-A276-7281CADB8CD3}"/>
    <cellStyle name="Normal 9 2 3 3 3 2 2 3" xfId="17184" xr:uid="{8A797B24-6B14-491F-8009-5353A8D8A716}"/>
    <cellStyle name="Normal 9 2 3 3 3 2 3" xfId="22266" xr:uid="{EB035836-428C-4885-BA9B-FB44E3AB2611}"/>
    <cellStyle name="Normal 9 2 3 3 3 2 4" xfId="12967" xr:uid="{87BEC4F5-6CAE-46FE-B5E8-08090350968D}"/>
    <cellStyle name="Normal 9 2 3 3 3 3" xfId="5713" xr:uid="{00000000-0005-0000-0000-00003D1F0000}"/>
    <cellStyle name="Normal 9 2 3 3 3 3 2" xfId="24338" xr:uid="{0EDB4218-DA8C-4FE6-92C2-D242F4660B6F}"/>
    <cellStyle name="Normal 9 2 3 3 3 3 3" xfId="15039" xr:uid="{00EFEC69-E8DC-4CCA-97C5-BF5CB44A2A57}"/>
    <cellStyle name="Normal 9 2 3 3 3 4" xfId="20121" xr:uid="{FC1E7B91-6695-4ABB-B31A-113D86403B9B}"/>
    <cellStyle name="Normal 9 2 3 3 3 5" xfId="10822" xr:uid="{44B90EDB-A57C-4042-B5DC-005B6FEF1A97}"/>
    <cellStyle name="Normal 9 2 3 3 4" xfId="1819" xr:uid="{00000000-0005-0000-0000-00003E1F0000}"/>
    <cellStyle name="Normal 9 2 3 3 4 2" xfId="4049" xr:uid="{00000000-0005-0000-0000-00003F1F0000}"/>
    <cellStyle name="Normal 9 2 3 3 4 2 2" xfId="8271" xr:uid="{00000000-0005-0000-0000-0000401F0000}"/>
    <cellStyle name="Normal 9 2 3 3 4 2 2 2" xfId="26896" xr:uid="{4615D774-5A3D-4DD4-9B41-60F3820E2258}"/>
    <cellStyle name="Normal 9 2 3 3 4 2 2 3" xfId="17597" xr:uid="{60769E44-6520-40F3-8417-6CACAA94E607}"/>
    <cellStyle name="Normal 9 2 3 3 4 2 3" xfId="22679" xr:uid="{C73682EB-1021-4EB6-B6DB-A06FE8C31B30}"/>
    <cellStyle name="Normal 9 2 3 3 4 2 4" xfId="13380" xr:uid="{E1E7FFA6-CD35-4153-B97F-108CD4F9C6CE}"/>
    <cellStyle name="Normal 9 2 3 3 4 3" xfId="6126" xr:uid="{00000000-0005-0000-0000-0000411F0000}"/>
    <cellStyle name="Normal 9 2 3 3 4 3 2" xfId="24751" xr:uid="{988E5B1E-6BE1-4545-A11E-3142C6375D11}"/>
    <cellStyle name="Normal 9 2 3 3 4 3 3" xfId="15452" xr:uid="{500FB623-6420-4AED-AC42-085F2BF363CC}"/>
    <cellStyle name="Normal 9 2 3 3 4 4" xfId="20534" xr:uid="{F338E532-EC45-4404-A1A0-E9A1D7E1ED5F}"/>
    <cellStyle name="Normal 9 2 3 3 4 5" xfId="11235" xr:uid="{34A51CF9-AED6-4A9F-BA2D-BD4F18B9B6EE}"/>
    <cellStyle name="Normal 9 2 3 3 5" xfId="2233" xr:uid="{00000000-0005-0000-0000-0000421F0000}"/>
    <cellStyle name="Normal 9 2 3 3 5 2" xfId="4462" xr:uid="{00000000-0005-0000-0000-0000431F0000}"/>
    <cellStyle name="Normal 9 2 3 3 5 2 2" xfId="8684" xr:uid="{00000000-0005-0000-0000-0000441F0000}"/>
    <cellStyle name="Normal 9 2 3 3 5 2 2 2" xfId="27309" xr:uid="{8ECBFED0-DAAC-4B7E-8B0A-832C37EBC8D8}"/>
    <cellStyle name="Normal 9 2 3 3 5 2 2 3" xfId="18010" xr:uid="{52E101F3-E17F-4136-AC70-85D0C72024FC}"/>
    <cellStyle name="Normal 9 2 3 3 5 2 3" xfId="23092" xr:uid="{8577EC6A-4B6F-494A-A30B-4383ABF79B0F}"/>
    <cellStyle name="Normal 9 2 3 3 5 2 4" xfId="13793" xr:uid="{FC9E3695-EE94-46F0-9AA6-0198A150A1AB}"/>
    <cellStyle name="Normal 9 2 3 3 5 3" xfId="6539" xr:uid="{00000000-0005-0000-0000-0000451F0000}"/>
    <cellStyle name="Normal 9 2 3 3 5 3 2" xfId="25164" xr:uid="{7576AF2E-5D96-4BD7-9DCB-F2D4CF9A9EDE}"/>
    <cellStyle name="Normal 9 2 3 3 5 3 3" xfId="15865" xr:uid="{DD5F2707-CA0E-44DC-9637-535A7C421C74}"/>
    <cellStyle name="Normal 9 2 3 3 5 4" xfId="20947" xr:uid="{3AEFA745-E297-40E0-BB01-4C6B87B28C4B}"/>
    <cellStyle name="Normal 9 2 3 3 5 5" xfId="11648" xr:uid="{5330FBFF-E1CD-4DAD-8796-CE6BE4793191}"/>
    <cellStyle name="Normal 9 2 3 3 6" xfId="2669" xr:uid="{00000000-0005-0000-0000-0000461F0000}"/>
    <cellStyle name="Normal 9 2 3 3 6 2" xfId="6952" xr:uid="{00000000-0005-0000-0000-0000471F0000}"/>
    <cellStyle name="Normal 9 2 3 3 6 2 2" xfId="25577" xr:uid="{592065D1-E085-429F-B4D1-19045AC8928A}"/>
    <cellStyle name="Normal 9 2 3 3 6 2 3" xfId="16278" xr:uid="{7DD9C1CA-3ED9-4903-BF39-06D70A2E2DAD}"/>
    <cellStyle name="Normal 9 2 3 3 6 3" xfId="21360" xr:uid="{7EE8E931-2ED1-4F06-830B-097A68CEFE15}"/>
    <cellStyle name="Normal 9 2 3 3 6 4" xfId="12061" xr:uid="{77A3C5B3-8BD6-46F0-8EAA-F56BCD9060CE}"/>
    <cellStyle name="Normal 9 2 3 3 7" xfId="4887" xr:uid="{00000000-0005-0000-0000-0000481F0000}"/>
    <cellStyle name="Normal 9 2 3 3 7 2" xfId="23512" xr:uid="{084C8186-773E-490E-B473-58C3E78DA5DE}"/>
    <cellStyle name="Normal 9 2 3 3 7 3" xfId="14213" xr:uid="{24F9E2E5-1C0C-481C-8C9C-B5B8FE4941F4}"/>
    <cellStyle name="Normal 9 2 3 3 8" xfId="9045" xr:uid="{CD23D75F-FCE1-471A-A55A-DAC6FB15D069}"/>
    <cellStyle name="Normal 9 2 3 3 8 2" xfId="27668" xr:uid="{5A316429-4D18-410D-A3F1-5E00B580F263}"/>
    <cellStyle name="Normal 9 2 3 3 8 3" xfId="18369" xr:uid="{B50E9ABB-CDB9-4CC7-AEB0-F3C146C69001}"/>
    <cellStyle name="Normal 9 2 3 3 9" xfId="19295" xr:uid="{39E2F762-FBB6-4E15-AE64-1DF2430C07BF}"/>
    <cellStyle name="Normal 9 2 3 4" xfId="987" xr:uid="{00000000-0005-0000-0000-0000491F0000}"/>
    <cellStyle name="Normal 9 2 3 4 2" xfId="3220" xr:uid="{00000000-0005-0000-0000-00004A1F0000}"/>
    <cellStyle name="Normal 9 2 3 4 2 2" xfId="7442" xr:uid="{00000000-0005-0000-0000-00004B1F0000}"/>
    <cellStyle name="Normal 9 2 3 4 2 2 2" xfId="26067" xr:uid="{67C83EEE-E296-47E0-B335-E74DD083A46B}"/>
    <cellStyle name="Normal 9 2 3 4 2 2 3" xfId="16768" xr:uid="{75EE94DC-2E60-4860-8E89-46AF00BD7695}"/>
    <cellStyle name="Normal 9 2 3 4 2 3" xfId="21850" xr:uid="{BAEA3ECA-20A9-4D11-BCDC-D5B77B0B6A4F}"/>
    <cellStyle name="Normal 9 2 3 4 2 4" xfId="12551" xr:uid="{56850E99-AB51-42D9-AAAE-DF8F080154E6}"/>
    <cellStyle name="Normal 9 2 3 4 3" xfId="5297" xr:uid="{00000000-0005-0000-0000-00004C1F0000}"/>
    <cellStyle name="Normal 9 2 3 4 3 2" xfId="23922" xr:uid="{9410B885-5720-4314-82B3-D00DCDFE155F}"/>
    <cellStyle name="Normal 9 2 3 4 3 3" xfId="14623" xr:uid="{8C615035-8B8D-4B5E-B994-2CB2CB3158CF}"/>
    <cellStyle name="Normal 9 2 3 4 4" xfId="9263" xr:uid="{8E7B719A-F76B-4A2B-A5A7-1A883FD6976F}"/>
    <cellStyle name="Normal 9 2 3 4 4 2" xfId="27877" xr:uid="{706B21C6-BC99-41CF-BF2F-9FD02567F0A1}"/>
    <cellStyle name="Normal 9 2 3 4 4 3" xfId="18578" xr:uid="{DD5229F8-9F44-4646-8F02-103BA60DE98C}"/>
    <cellStyle name="Normal 9 2 3 4 5" xfId="19705" xr:uid="{487495FB-2FFC-4919-AB5F-30FD5A8EED0D}"/>
    <cellStyle name="Normal 9 2 3 4 6" xfId="10406" xr:uid="{6145C7E0-CC63-4ACB-9E0D-65BB7F114EA7}"/>
    <cellStyle name="Normal 9 2 3 5" xfId="1403" xr:uid="{00000000-0005-0000-0000-00004D1F0000}"/>
    <cellStyle name="Normal 9 2 3 5 2" xfId="3633" xr:uid="{00000000-0005-0000-0000-00004E1F0000}"/>
    <cellStyle name="Normal 9 2 3 5 2 2" xfId="7855" xr:uid="{00000000-0005-0000-0000-00004F1F0000}"/>
    <cellStyle name="Normal 9 2 3 5 2 2 2" xfId="26480" xr:uid="{32D2E851-1D2E-4E3B-9A54-B7C43C0900F1}"/>
    <cellStyle name="Normal 9 2 3 5 2 2 3" xfId="17181" xr:uid="{9C888643-E7D9-4932-8065-DF7053B1E973}"/>
    <cellStyle name="Normal 9 2 3 5 2 3" xfId="22263" xr:uid="{B9E8D406-D49E-413C-9DE7-53729D2C901D}"/>
    <cellStyle name="Normal 9 2 3 5 2 4" xfId="12964" xr:uid="{C010F640-E53D-4092-BC00-85709D1999B1}"/>
    <cellStyle name="Normal 9 2 3 5 3" xfId="5710" xr:uid="{00000000-0005-0000-0000-0000501F0000}"/>
    <cellStyle name="Normal 9 2 3 5 3 2" xfId="24335" xr:uid="{31417E64-0BBE-44A6-BE99-A8B2DD476783}"/>
    <cellStyle name="Normal 9 2 3 5 3 3" xfId="15036" xr:uid="{D8D08A73-1B64-4D17-9C6D-0A5743E9062B}"/>
    <cellStyle name="Normal 9 2 3 5 4" xfId="20118" xr:uid="{E18654BE-8B1C-4C90-BE55-44E4B313640A}"/>
    <cellStyle name="Normal 9 2 3 5 5" xfId="10819" xr:uid="{2B66E021-CA15-47C2-B097-A50158F1A974}"/>
    <cellStyle name="Normal 9 2 3 6" xfId="1816" xr:uid="{00000000-0005-0000-0000-0000511F0000}"/>
    <cellStyle name="Normal 9 2 3 6 2" xfId="4046" xr:uid="{00000000-0005-0000-0000-0000521F0000}"/>
    <cellStyle name="Normal 9 2 3 6 2 2" xfId="8268" xr:uid="{00000000-0005-0000-0000-0000531F0000}"/>
    <cellStyle name="Normal 9 2 3 6 2 2 2" xfId="26893" xr:uid="{52D8CC02-E929-4F90-8788-E6B83FFF7E36}"/>
    <cellStyle name="Normal 9 2 3 6 2 2 3" xfId="17594" xr:uid="{A6568F3D-C081-4437-80BD-A1FC2DADB6F0}"/>
    <cellStyle name="Normal 9 2 3 6 2 3" xfId="22676" xr:uid="{EF71F180-DD3E-4A94-8762-F85CA8A7864A}"/>
    <cellStyle name="Normal 9 2 3 6 2 4" xfId="13377" xr:uid="{7213BF72-5287-4745-853A-BD985A06D1FF}"/>
    <cellStyle name="Normal 9 2 3 6 3" xfId="6123" xr:uid="{00000000-0005-0000-0000-0000541F0000}"/>
    <cellStyle name="Normal 9 2 3 6 3 2" xfId="24748" xr:uid="{2DC0A9AB-7F08-4C93-97A7-C972D4772E7A}"/>
    <cellStyle name="Normal 9 2 3 6 3 3" xfId="15449" xr:uid="{9D52C2F1-ED0A-4204-B1A8-C7D3D507D5EA}"/>
    <cellStyle name="Normal 9 2 3 6 4" xfId="20531" xr:uid="{34701C67-D43F-4EA9-959D-E195C6246D76}"/>
    <cellStyle name="Normal 9 2 3 6 5" xfId="11232" xr:uid="{52FEC3F0-8B42-47EF-BC07-4B1984B596BE}"/>
    <cellStyle name="Normal 9 2 3 7" xfId="2230" xr:uid="{00000000-0005-0000-0000-0000551F0000}"/>
    <cellStyle name="Normal 9 2 3 7 2" xfId="4459" xr:uid="{00000000-0005-0000-0000-0000561F0000}"/>
    <cellStyle name="Normal 9 2 3 7 2 2" xfId="8681" xr:uid="{00000000-0005-0000-0000-0000571F0000}"/>
    <cellStyle name="Normal 9 2 3 7 2 2 2" xfId="27306" xr:uid="{80E2FC9F-5E2C-43B5-8971-02B1B1BA7F2C}"/>
    <cellStyle name="Normal 9 2 3 7 2 2 3" xfId="18007" xr:uid="{380E5501-E4C7-4EA3-8056-CE41BAC1DD81}"/>
    <cellStyle name="Normal 9 2 3 7 2 3" xfId="23089" xr:uid="{3FB281AE-09BB-4786-9263-15B16F555BB9}"/>
    <cellStyle name="Normal 9 2 3 7 2 4" xfId="13790" xr:uid="{8BE24873-9327-4DC3-BE13-41BA4D6726A2}"/>
    <cellStyle name="Normal 9 2 3 7 3" xfId="6536" xr:uid="{00000000-0005-0000-0000-0000581F0000}"/>
    <cellStyle name="Normal 9 2 3 7 3 2" xfId="25161" xr:uid="{91AB8C9E-7E4E-4321-A32E-E0E5115165B1}"/>
    <cellStyle name="Normal 9 2 3 7 3 3" xfId="15862" xr:uid="{1A2A6E4B-B71D-4A9F-923E-0FC30A7F2BF2}"/>
    <cellStyle name="Normal 9 2 3 7 4" xfId="20944" xr:uid="{554A2AC1-677C-4438-95A7-8A5DB84CEBCB}"/>
    <cellStyle name="Normal 9 2 3 7 5" xfId="11645" xr:uid="{BB587FD9-8840-4997-B3C8-0893DFC31890}"/>
    <cellStyle name="Normal 9 2 3 8" xfId="2666" xr:uid="{00000000-0005-0000-0000-0000591F0000}"/>
    <cellStyle name="Normal 9 2 3 8 2" xfId="6949" xr:uid="{00000000-0005-0000-0000-00005A1F0000}"/>
    <cellStyle name="Normal 9 2 3 8 2 2" xfId="25574" xr:uid="{C762048F-06E8-4F1C-B38A-64E22576E1F6}"/>
    <cellStyle name="Normal 9 2 3 8 2 3" xfId="16275" xr:uid="{F21A4117-1B06-4053-99E1-10C0DAC5E981}"/>
    <cellStyle name="Normal 9 2 3 8 3" xfId="21357" xr:uid="{49F12B7B-6FAB-4E76-AD13-3D3DBB1E38A3}"/>
    <cellStyle name="Normal 9 2 3 8 4" xfId="12058" xr:uid="{F48B7A23-19C1-4C17-9F0E-961E7AD61F78}"/>
    <cellStyle name="Normal 9 2 3 9" xfId="4884" xr:uid="{00000000-0005-0000-0000-00005B1F0000}"/>
    <cellStyle name="Normal 9 2 3 9 2" xfId="23509" xr:uid="{E8E7785C-491A-4279-9923-6AA60DCE0DC8}"/>
    <cellStyle name="Normal 9 2 3 9 3" xfId="14210" xr:uid="{3B591F3A-0547-4EEB-B617-69C99B244409}"/>
    <cellStyle name="Normal 9 2 4" xfId="524" xr:uid="{00000000-0005-0000-0000-00005C1F0000}"/>
    <cellStyle name="Normal 9 2 4 10" xfId="19296" xr:uid="{9965EAEC-42CF-4F24-B7A6-865012815F45}"/>
    <cellStyle name="Normal 9 2 4 11" xfId="9997" xr:uid="{6A7239D9-133F-4494-9399-B7637FF675A6}"/>
    <cellStyle name="Normal 9 2 4 2" xfId="525" xr:uid="{00000000-0005-0000-0000-00005D1F0000}"/>
    <cellStyle name="Normal 9 2 4 2 10" xfId="9998" xr:uid="{47A8BF68-AA44-4A2F-BA82-A8AE46D3D4FC}"/>
    <cellStyle name="Normal 9 2 4 2 2" xfId="992" xr:uid="{00000000-0005-0000-0000-00005E1F0000}"/>
    <cellStyle name="Normal 9 2 4 2 2 2" xfId="3225" xr:uid="{00000000-0005-0000-0000-00005F1F0000}"/>
    <cellStyle name="Normal 9 2 4 2 2 2 2" xfId="7447" xr:uid="{00000000-0005-0000-0000-0000601F0000}"/>
    <cellStyle name="Normal 9 2 4 2 2 2 2 2" xfId="26072" xr:uid="{747077FE-64E0-44F5-A6C3-30B9E6179D93}"/>
    <cellStyle name="Normal 9 2 4 2 2 2 2 3" xfId="16773" xr:uid="{97E40C7B-C807-40F3-B58F-63D7E776CA56}"/>
    <cellStyle name="Normal 9 2 4 2 2 2 3" xfId="21855" xr:uid="{1B1FDCF2-B36B-4E8D-8DD3-A64821A75191}"/>
    <cellStyle name="Normal 9 2 4 2 2 2 4" xfId="12556" xr:uid="{8B810B0F-55B2-411B-9D12-328983FDC01B}"/>
    <cellStyle name="Normal 9 2 4 2 2 3" xfId="5302" xr:uid="{00000000-0005-0000-0000-0000611F0000}"/>
    <cellStyle name="Normal 9 2 4 2 2 3 2" xfId="23927" xr:uid="{2BBAA5FE-2E5E-478C-8C8C-51F8593D2F5B}"/>
    <cellStyle name="Normal 9 2 4 2 2 3 3" xfId="14628" xr:uid="{02B596F7-9043-4457-9792-8F9E13AF4F84}"/>
    <cellStyle name="Normal 9 2 4 2 2 4" xfId="9489" xr:uid="{4BA9DC16-58A7-4D6B-90A6-6BB0C51A0279}"/>
    <cellStyle name="Normal 9 2 4 2 2 4 2" xfId="28103" xr:uid="{668FEF98-8A2B-4313-B643-ACA4B4C0670F}"/>
    <cellStyle name="Normal 9 2 4 2 2 4 3" xfId="18804" xr:uid="{F83CDCF6-5A3E-44C7-ACBC-80136C6171F6}"/>
    <cellStyle name="Normal 9 2 4 2 2 5" xfId="19710" xr:uid="{6ED2B411-4D87-4BF1-B7B0-9956FBB9DB32}"/>
    <cellStyle name="Normal 9 2 4 2 2 6" xfId="10411" xr:uid="{AE129DBA-6D6F-4393-81E8-9963078F913C}"/>
    <cellStyle name="Normal 9 2 4 2 3" xfId="1408" xr:uid="{00000000-0005-0000-0000-0000621F0000}"/>
    <cellStyle name="Normal 9 2 4 2 3 2" xfId="3638" xr:uid="{00000000-0005-0000-0000-0000631F0000}"/>
    <cellStyle name="Normal 9 2 4 2 3 2 2" xfId="7860" xr:uid="{00000000-0005-0000-0000-0000641F0000}"/>
    <cellStyle name="Normal 9 2 4 2 3 2 2 2" xfId="26485" xr:uid="{5CB231B0-D156-4766-A535-53138A1C11AD}"/>
    <cellStyle name="Normal 9 2 4 2 3 2 2 3" xfId="17186" xr:uid="{5325D4D4-1563-4C04-8C09-1F0F91363062}"/>
    <cellStyle name="Normal 9 2 4 2 3 2 3" xfId="22268" xr:uid="{D4C8EB7F-F325-47C3-B474-615A0BE9DA74}"/>
    <cellStyle name="Normal 9 2 4 2 3 2 4" xfId="12969" xr:uid="{D6F05118-EBD4-41AD-86C5-15BA8FBAAABF}"/>
    <cellStyle name="Normal 9 2 4 2 3 3" xfId="5715" xr:uid="{00000000-0005-0000-0000-0000651F0000}"/>
    <cellStyle name="Normal 9 2 4 2 3 3 2" xfId="24340" xr:uid="{C1F7B656-62D1-4D09-B02F-785BCC69A2C6}"/>
    <cellStyle name="Normal 9 2 4 2 3 3 3" xfId="15041" xr:uid="{3254E96C-848B-4C23-9899-3A932085D5F6}"/>
    <cellStyle name="Normal 9 2 4 2 3 4" xfId="20123" xr:uid="{56396609-8918-44A9-9674-1969E0C61E6E}"/>
    <cellStyle name="Normal 9 2 4 2 3 5" xfId="10824" xr:uid="{C1A34F74-B7BD-4D41-B19A-989C59D81046}"/>
    <cellStyle name="Normal 9 2 4 2 4" xfId="1821" xr:uid="{00000000-0005-0000-0000-0000661F0000}"/>
    <cellStyle name="Normal 9 2 4 2 4 2" xfId="4051" xr:uid="{00000000-0005-0000-0000-0000671F0000}"/>
    <cellStyle name="Normal 9 2 4 2 4 2 2" xfId="8273" xr:uid="{00000000-0005-0000-0000-0000681F0000}"/>
    <cellStyle name="Normal 9 2 4 2 4 2 2 2" xfId="26898" xr:uid="{26F2A6A4-25CB-4549-A478-8D49AD6DEE63}"/>
    <cellStyle name="Normal 9 2 4 2 4 2 2 3" xfId="17599" xr:uid="{AAFBE6ED-8C51-4265-B2A3-D8F0244D0FB7}"/>
    <cellStyle name="Normal 9 2 4 2 4 2 3" xfId="22681" xr:uid="{6C6EB140-F889-4286-8FE1-B1FD19217E45}"/>
    <cellStyle name="Normal 9 2 4 2 4 2 4" xfId="13382" xr:uid="{70B4746A-5FB2-401F-9FFC-1A12A6602480}"/>
    <cellStyle name="Normal 9 2 4 2 4 3" xfId="6128" xr:uid="{00000000-0005-0000-0000-0000691F0000}"/>
    <cellStyle name="Normal 9 2 4 2 4 3 2" xfId="24753" xr:uid="{A2C692D6-138A-4873-8AAE-18CAD23734D8}"/>
    <cellStyle name="Normal 9 2 4 2 4 3 3" xfId="15454" xr:uid="{579D7068-ABCE-45D5-9FE8-5738C1918400}"/>
    <cellStyle name="Normal 9 2 4 2 4 4" xfId="20536" xr:uid="{BE2BC9D3-1DBD-4CC0-AE7B-CC0D2EF98787}"/>
    <cellStyle name="Normal 9 2 4 2 4 5" xfId="11237" xr:uid="{6819E888-A608-4051-B2D7-C0E6C4CE7ED5}"/>
    <cellStyle name="Normal 9 2 4 2 5" xfId="2235" xr:uid="{00000000-0005-0000-0000-00006A1F0000}"/>
    <cellStyle name="Normal 9 2 4 2 5 2" xfId="4464" xr:uid="{00000000-0005-0000-0000-00006B1F0000}"/>
    <cellStyle name="Normal 9 2 4 2 5 2 2" xfId="8686" xr:uid="{00000000-0005-0000-0000-00006C1F0000}"/>
    <cellStyle name="Normal 9 2 4 2 5 2 2 2" xfId="27311" xr:uid="{53C2B8DB-44DD-4AF7-B0D4-636268B186B6}"/>
    <cellStyle name="Normal 9 2 4 2 5 2 2 3" xfId="18012" xr:uid="{1244B04B-24E5-40E4-BF24-618020C80091}"/>
    <cellStyle name="Normal 9 2 4 2 5 2 3" xfId="23094" xr:uid="{052ACC60-C400-4616-BCBD-32BFE640BB70}"/>
    <cellStyle name="Normal 9 2 4 2 5 2 4" xfId="13795" xr:uid="{ED908850-41DE-4208-9BAE-24A15AB8E7CB}"/>
    <cellStyle name="Normal 9 2 4 2 5 3" xfId="6541" xr:uid="{00000000-0005-0000-0000-00006D1F0000}"/>
    <cellStyle name="Normal 9 2 4 2 5 3 2" xfId="25166" xr:uid="{4F66A247-5205-4F9C-A698-EE95C72415D0}"/>
    <cellStyle name="Normal 9 2 4 2 5 3 3" xfId="15867" xr:uid="{21313DF2-54D0-443A-9E14-F73324C88ED4}"/>
    <cellStyle name="Normal 9 2 4 2 5 4" xfId="20949" xr:uid="{5964749A-7375-4A1B-B5F6-320B7CC4A233}"/>
    <cellStyle name="Normal 9 2 4 2 5 5" xfId="11650" xr:uid="{EE0AB4F0-1E0A-4F72-BB10-2C31A864871D}"/>
    <cellStyle name="Normal 9 2 4 2 6" xfId="2671" xr:uid="{00000000-0005-0000-0000-00006E1F0000}"/>
    <cellStyle name="Normal 9 2 4 2 6 2" xfId="6954" xr:uid="{00000000-0005-0000-0000-00006F1F0000}"/>
    <cellStyle name="Normal 9 2 4 2 6 2 2" xfId="25579" xr:uid="{4CE7B328-2446-4EAE-A73C-46AD9FE74262}"/>
    <cellStyle name="Normal 9 2 4 2 6 2 3" xfId="16280" xr:uid="{540519C6-E4F5-49CA-A391-F101CAEBD947}"/>
    <cellStyle name="Normal 9 2 4 2 6 3" xfId="21362" xr:uid="{0A08005E-3717-4AA8-8EFA-EC66AAE92C8A}"/>
    <cellStyle name="Normal 9 2 4 2 6 4" xfId="12063" xr:uid="{9A1CAB07-2B7F-447D-AB03-D0074BBB84E1}"/>
    <cellStyle name="Normal 9 2 4 2 7" xfId="4889" xr:uid="{00000000-0005-0000-0000-0000701F0000}"/>
    <cellStyle name="Normal 9 2 4 2 7 2" xfId="23514" xr:uid="{D336E42E-8AAE-4418-85C0-BB1F4FA2DA49}"/>
    <cellStyle name="Normal 9 2 4 2 7 3" xfId="14215" xr:uid="{28306D7A-0CF2-4B4F-A5DB-59235CA7AA9B}"/>
    <cellStyle name="Normal 9 2 4 2 8" xfId="9064" xr:uid="{7D4090C3-C767-4FFF-8A1F-282B2C8BAE68}"/>
    <cellStyle name="Normal 9 2 4 2 8 2" xfId="27687" xr:uid="{065C98E5-D1A0-4BC3-837A-7150291BB859}"/>
    <cellStyle name="Normal 9 2 4 2 8 3" xfId="18388" xr:uid="{66303FA8-92D4-4A4F-9FB7-7F40B5EC58C2}"/>
    <cellStyle name="Normal 9 2 4 2 9" xfId="19297" xr:uid="{83601D8B-C38F-4121-8E70-4CC5A982F826}"/>
    <cellStyle name="Normal 9 2 4 3" xfId="991" xr:uid="{00000000-0005-0000-0000-0000711F0000}"/>
    <cellStyle name="Normal 9 2 4 3 2" xfId="3224" xr:uid="{00000000-0005-0000-0000-0000721F0000}"/>
    <cellStyle name="Normal 9 2 4 3 2 2" xfId="7446" xr:uid="{00000000-0005-0000-0000-0000731F0000}"/>
    <cellStyle name="Normal 9 2 4 3 2 2 2" xfId="26071" xr:uid="{9BB7A757-4613-489E-84BF-F1A6FD76E354}"/>
    <cellStyle name="Normal 9 2 4 3 2 2 3" xfId="16772" xr:uid="{6CB5E764-6DC9-4F3C-84ED-4C691F62E484}"/>
    <cellStyle name="Normal 9 2 4 3 2 3" xfId="21854" xr:uid="{483091BE-26CA-45C1-9793-EC45EE4A71F5}"/>
    <cellStyle name="Normal 9 2 4 3 2 4" xfId="12555" xr:uid="{D3B23FB7-F590-4C2D-B4BB-422B5A7C60D6}"/>
    <cellStyle name="Normal 9 2 4 3 3" xfId="5301" xr:uid="{00000000-0005-0000-0000-0000741F0000}"/>
    <cellStyle name="Normal 9 2 4 3 3 2" xfId="23926" xr:uid="{2EC18EAA-0AF3-4EF6-9403-8E0C6AA0325D}"/>
    <cellStyle name="Normal 9 2 4 3 3 3" xfId="14627" xr:uid="{F5B1F89E-970C-431A-BB82-1790CEB0E85D}"/>
    <cellStyle name="Normal 9 2 4 3 4" xfId="9282" xr:uid="{2471E5AC-3D06-4E90-9462-C54FACA9B22B}"/>
    <cellStyle name="Normal 9 2 4 3 4 2" xfId="27896" xr:uid="{F17404D5-F447-4207-A2DD-EF27C8DD075D}"/>
    <cellStyle name="Normal 9 2 4 3 4 3" xfId="18597" xr:uid="{99E100C4-F38B-4A90-9723-D6ACC2539DB7}"/>
    <cellStyle name="Normal 9 2 4 3 5" xfId="19709" xr:uid="{6571511E-6C63-47C0-A5A8-63D4020216CB}"/>
    <cellStyle name="Normal 9 2 4 3 6" xfId="10410" xr:uid="{F2422BF5-CAFE-4489-ADBD-97C81975EE8C}"/>
    <cellStyle name="Normal 9 2 4 4" xfId="1407" xr:uid="{00000000-0005-0000-0000-0000751F0000}"/>
    <cellStyle name="Normal 9 2 4 4 2" xfId="3637" xr:uid="{00000000-0005-0000-0000-0000761F0000}"/>
    <cellStyle name="Normal 9 2 4 4 2 2" xfId="7859" xr:uid="{00000000-0005-0000-0000-0000771F0000}"/>
    <cellStyle name="Normal 9 2 4 4 2 2 2" xfId="26484" xr:uid="{29D7285E-BEF6-4E1D-981A-FB32F4B30BEB}"/>
    <cellStyle name="Normal 9 2 4 4 2 2 3" xfId="17185" xr:uid="{353EF34C-BB9A-4397-8AD8-6B59510EB1E5}"/>
    <cellStyle name="Normal 9 2 4 4 2 3" xfId="22267" xr:uid="{6FCD3F52-1190-4912-8204-D2D14B039083}"/>
    <cellStyle name="Normal 9 2 4 4 2 4" xfId="12968" xr:uid="{E3F238B5-8A84-4197-BFDE-0546C8FB842F}"/>
    <cellStyle name="Normal 9 2 4 4 3" xfId="5714" xr:uid="{00000000-0005-0000-0000-0000781F0000}"/>
    <cellStyle name="Normal 9 2 4 4 3 2" xfId="24339" xr:uid="{0F26891A-1D4A-4DF1-88B4-71590DA7A7C2}"/>
    <cellStyle name="Normal 9 2 4 4 3 3" xfId="15040" xr:uid="{1F846350-73E1-4200-BBC1-AFBCCC71454C}"/>
    <cellStyle name="Normal 9 2 4 4 4" xfId="20122" xr:uid="{CE12D600-5D5A-4E0B-ABC0-366821AA99B7}"/>
    <cellStyle name="Normal 9 2 4 4 5" xfId="10823" xr:uid="{5B6F182F-FE1E-4828-B957-E56BEF586B53}"/>
    <cellStyle name="Normal 9 2 4 5" xfId="1820" xr:uid="{00000000-0005-0000-0000-0000791F0000}"/>
    <cellStyle name="Normal 9 2 4 5 2" xfId="4050" xr:uid="{00000000-0005-0000-0000-00007A1F0000}"/>
    <cellStyle name="Normal 9 2 4 5 2 2" xfId="8272" xr:uid="{00000000-0005-0000-0000-00007B1F0000}"/>
    <cellStyle name="Normal 9 2 4 5 2 2 2" xfId="26897" xr:uid="{B4AF35BF-0CFA-4C51-AE86-E10447A0F443}"/>
    <cellStyle name="Normal 9 2 4 5 2 2 3" xfId="17598" xr:uid="{0E307DE1-12CE-406D-9ECD-748C39F28948}"/>
    <cellStyle name="Normal 9 2 4 5 2 3" xfId="22680" xr:uid="{28B6EC54-A33F-40FE-B56E-D4F2279B1FC8}"/>
    <cellStyle name="Normal 9 2 4 5 2 4" xfId="13381" xr:uid="{5F0281D0-B95D-44DF-B758-B8CB54B2DC11}"/>
    <cellStyle name="Normal 9 2 4 5 3" xfId="6127" xr:uid="{00000000-0005-0000-0000-00007C1F0000}"/>
    <cellStyle name="Normal 9 2 4 5 3 2" xfId="24752" xr:uid="{62C55555-670A-499C-B919-EE0681FF6693}"/>
    <cellStyle name="Normal 9 2 4 5 3 3" xfId="15453" xr:uid="{A268B0FC-72A2-4E27-A791-D4898A6497E4}"/>
    <cellStyle name="Normal 9 2 4 5 4" xfId="20535" xr:uid="{879244A1-9390-40E3-B928-90B808FB1E65}"/>
    <cellStyle name="Normal 9 2 4 5 5" xfId="11236" xr:uid="{4D25006A-41F0-4B5A-A51F-86483A767268}"/>
    <cellStyle name="Normal 9 2 4 6" xfId="2234" xr:uid="{00000000-0005-0000-0000-00007D1F0000}"/>
    <cellStyle name="Normal 9 2 4 6 2" xfId="4463" xr:uid="{00000000-0005-0000-0000-00007E1F0000}"/>
    <cellStyle name="Normal 9 2 4 6 2 2" xfId="8685" xr:uid="{00000000-0005-0000-0000-00007F1F0000}"/>
    <cellStyle name="Normal 9 2 4 6 2 2 2" xfId="27310" xr:uid="{3799F315-BC0B-4818-83D8-A322CC0BD5BB}"/>
    <cellStyle name="Normal 9 2 4 6 2 2 3" xfId="18011" xr:uid="{24C7DBA7-157D-41F2-90E9-59549C40B6AD}"/>
    <cellStyle name="Normal 9 2 4 6 2 3" xfId="23093" xr:uid="{1C17AD22-7F5A-412C-B3F6-91722FA8C901}"/>
    <cellStyle name="Normal 9 2 4 6 2 4" xfId="13794" xr:uid="{4F35F041-4645-43B9-8EEB-247D98D586C5}"/>
    <cellStyle name="Normal 9 2 4 6 3" xfId="6540" xr:uid="{00000000-0005-0000-0000-0000801F0000}"/>
    <cellStyle name="Normal 9 2 4 6 3 2" xfId="25165" xr:uid="{7C91F0C3-68DE-4E27-A3E2-D64C6A0EAB2A}"/>
    <cellStyle name="Normal 9 2 4 6 3 3" xfId="15866" xr:uid="{81411A24-9CF8-4F40-B641-2F67F22C69DB}"/>
    <cellStyle name="Normal 9 2 4 6 4" xfId="20948" xr:uid="{66B4BB54-BC82-4DA4-8526-7EC213F40B25}"/>
    <cellStyle name="Normal 9 2 4 6 5" xfId="11649" xr:uid="{0C27076C-32D1-4336-9920-CEE6C5CBC14D}"/>
    <cellStyle name="Normal 9 2 4 7" xfId="2670" xr:uid="{00000000-0005-0000-0000-0000811F0000}"/>
    <cellStyle name="Normal 9 2 4 7 2" xfId="6953" xr:uid="{00000000-0005-0000-0000-0000821F0000}"/>
    <cellStyle name="Normal 9 2 4 7 2 2" xfId="25578" xr:uid="{4AF0D9BA-CCE4-476B-BE7C-8C211EA32B39}"/>
    <cellStyle name="Normal 9 2 4 7 2 3" xfId="16279" xr:uid="{185AD4A2-6024-4F3E-8E9A-963C645A06F8}"/>
    <cellStyle name="Normal 9 2 4 7 3" xfId="21361" xr:uid="{EE68B476-6901-46EE-8E93-0E36DEA889C3}"/>
    <cellStyle name="Normal 9 2 4 7 4" xfId="12062" xr:uid="{DB09A488-008B-43E6-9296-2E673FFA7701}"/>
    <cellStyle name="Normal 9 2 4 8" xfId="4888" xr:uid="{00000000-0005-0000-0000-0000831F0000}"/>
    <cellStyle name="Normal 9 2 4 8 2" xfId="23513" xr:uid="{238D0399-35B1-4A9C-A643-767408A2A90F}"/>
    <cellStyle name="Normal 9 2 4 8 3" xfId="14214" xr:uid="{135AB6FA-6C11-4726-B21E-7A67EC5A6D81}"/>
    <cellStyle name="Normal 9 2 4 9" xfId="8857" xr:uid="{D785C0E6-B403-4CCC-AB0B-78E822EF1E40}"/>
    <cellStyle name="Normal 9 2 4 9 2" xfId="27480" xr:uid="{98F160A9-649F-4A6C-98E4-0C3DA43CE9D6}"/>
    <cellStyle name="Normal 9 2 4 9 3" xfId="18181" xr:uid="{3900136D-DE53-4DE1-ADCE-77AA36DC60CA}"/>
    <cellStyle name="Normal 9 2 5" xfId="526" xr:uid="{00000000-0005-0000-0000-0000841F0000}"/>
    <cellStyle name="Normal 9 2 5 10" xfId="9999" xr:uid="{60F4BAB5-CF04-47BF-A064-460431C7BBC3}"/>
    <cellStyle name="Normal 9 2 5 2" xfId="993" xr:uid="{00000000-0005-0000-0000-0000851F0000}"/>
    <cellStyle name="Normal 9 2 5 2 2" xfId="3226" xr:uid="{00000000-0005-0000-0000-0000861F0000}"/>
    <cellStyle name="Normal 9 2 5 2 2 2" xfId="7448" xr:uid="{00000000-0005-0000-0000-0000871F0000}"/>
    <cellStyle name="Normal 9 2 5 2 2 2 2" xfId="26073" xr:uid="{EBAA7AC8-5885-47DD-9492-FDD343D46EB0}"/>
    <cellStyle name="Normal 9 2 5 2 2 2 3" xfId="16774" xr:uid="{F1FEA5DF-A0E2-48CA-8AB8-199A3C73E732}"/>
    <cellStyle name="Normal 9 2 5 2 2 3" xfId="21856" xr:uid="{940A43BE-A8C7-4FE4-B4F8-7AE01875E601}"/>
    <cellStyle name="Normal 9 2 5 2 2 4" xfId="12557" xr:uid="{8AEBC0C7-61C8-4467-8C8C-424378406041}"/>
    <cellStyle name="Normal 9 2 5 2 3" xfId="5303" xr:uid="{00000000-0005-0000-0000-0000881F0000}"/>
    <cellStyle name="Normal 9 2 5 2 3 2" xfId="23928" xr:uid="{7EEBCB13-C504-48B1-A52F-2AC915A7A274}"/>
    <cellStyle name="Normal 9 2 5 2 3 3" xfId="14629" xr:uid="{C79FD0A0-678B-4205-AC53-AB511CB1770D}"/>
    <cellStyle name="Normal 9 2 5 2 4" xfId="9398" xr:uid="{5B2A416E-986C-4898-8893-9EAFDDDBCDD4}"/>
    <cellStyle name="Normal 9 2 5 2 4 2" xfId="28012" xr:uid="{04D34D36-B759-4154-A653-72CE56A823E0}"/>
    <cellStyle name="Normal 9 2 5 2 4 3" xfId="18713" xr:uid="{270B3465-BE93-4502-8D5B-DD4081CC5811}"/>
    <cellStyle name="Normal 9 2 5 2 5" xfId="19711" xr:uid="{D8E010D0-024F-4ED9-9406-FC1406F76BD7}"/>
    <cellStyle name="Normal 9 2 5 2 6" xfId="10412" xr:uid="{E8D8551B-F688-4ED6-91AC-63D6AB0BD352}"/>
    <cellStyle name="Normal 9 2 5 3" xfId="1409" xr:uid="{00000000-0005-0000-0000-0000891F0000}"/>
    <cellStyle name="Normal 9 2 5 3 2" xfId="3639" xr:uid="{00000000-0005-0000-0000-00008A1F0000}"/>
    <cellStyle name="Normal 9 2 5 3 2 2" xfId="7861" xr:uid="{00000000-0005-0000-0000-00008B1F0000}"/>
    <cellStyle name="Normal 9 2 5 3 2 2 2" xfId="26486" xr:uid="{1BC31268-360A-4662-80B2-730640CF6466}"/>
    <cellStyle name="Normal 9 2 5 3 2 2 3" xfId="17187" xr:uid="{7F0D4F7F-E9BD-4210-BAF6-531A4E7DFBA7}"/>
    <cellStyle name="Normal 9 2 5 3 2 3" xfId="22269" xr:uid="{2B6063DF-FAE8-4705-8CE2-53E0A4EA2FAF}"/>
    <cellStyle name="Normal 9 2 5 3 2 4" xfId="12970" xr:uid="{A5704A8F-FF1C-4CBF-81C8-9514243A3602}"/>
    <cellStyle name="Normal 9 2 5 3 3" xfId="5716" xr:uid="{00000000-0005-0000-0000-00008C1F0000}"/>
    <cellStyle name="Normal 9 2 5 3 3 2" xfId="24341" xr:uid="{317B143C-3FD8-47FA-912D-77311E0CF3FC}"/>
    <cellStyle name="Normal 9 2 5 3 3 3" xfId="15042" xr:uid="{BCCDA185-5348-4AF4-ABE9-04971724272D}"/>
    <cellStyle name="Normal 9 2 5 3 4" xfId="20124" xr:uid="{DDB50E0E-CC69-4DB1-AB35-6E9F8AC89830}"/>
    <cellStyle name="Normal 9 2 5 3 5" xfId="10825" xr:uid="{6DE87C07-BF9D-4D03-911C-F86FCF450E82}"/>
    <cellStyle name="Normal 9 2 5 4" xfId="1822" xr:uid="{00000000-0005-0000-0000-00008D1F0000}"/>
    <cellStyle name="Normal 9 2 5 4 2" xfId="4052" xr:uid="{00000000-0005-0000-0000-00008E1F0000}"/>
    <cellStyle name="Normal 9 2 5 4 2 2" xfId="8274" xr:uid="{00000000-0005-0000-0000-00008F1F0000}"/>
    <cellStyle name="Normal 9 2 5 4 2 2 2" xfId="26899" xr:uid="{11642503-9B7D-4243-86FC-476FA2932E3B}"/>
    <cellStyle name="Normal 9 2 5 4 2 2 3" xfId="17600" xr:uid="{55DF014B-B4C5-4E6D-83C8-C23A1EA232A9}"/>
    <cellStyle name="Normal 9 2 5 4 2 3" xfId="22682" xr:uid="{7FA49B6F-6128-46C3-A9B7-506C3C1FC2C7}"/>
    <cellStyle name="Normal 9 2 5 4 2 4" xfId="13383" xr:uid="{7EB58DCE-E339-45AC-BC69-8625B0D315A8}"/>
    <cellStyle name="Normal 9 2 5 4 3" xfId="6129" xr:uid="{00000000-0005-0000-0000-0000901F0000}"/>
    <cellStyle name="Normal 9 2 5 4 3 2" xfId="24754" xr:uid="{9603373C-F93D-48B7-8D53-8AFD691BE671}"/>
    <cellStyle name="Normal 9 2 5 4 3 3" xfId="15455" xr:uid="{05CDBC5F-4EDF-47C3-A03F-EBC01B23F495}"/>
    <cellStyle name="Normal 9 2 5 4 4" xfId="20537" xr:uid="{0C2BF870-03AE-42C6-A3B8-45BD14442C72}"/>
    <cellStyle name="Normal 9 2 5 4 5" xfId="11238" xr:uid="{B0673105-EAC8-4742-A3D5-BE1C0FDA5249}"/>
    <cellStyle name="Normal 9 2 5 5" xfId="2236" xr:uid="{00000000-0005-0000-0000-0000911F0000}"/>
    <cellStyle name="Normal 9 2 5 5 2" xfId="4465" xr:uid="{00000000-0005-0000-0000-0000921F0000}"/>
    <cellStyle name="Normal 9 2 5 5 2 2" xfId="8687" xr:uid="{00000000-0005-0000-0000-0000931F0000}"/>
    <cellStyle name="Normal 9 2 5 5 2 2 2" xfId="27312" xr:uid="{00A4C490-B900-46F4-89A9-6BA9B346E06B}"/>
    <cellStyle name="Normal 9 2 5 5 2 2 3" xfId="18013" xr:uid="{936CD97A-7A3C-48AD-8C27-FE286E8E8AF0}"/>
    <cellStyle name="Normal 9 2 5 5 2 3" xfId="23095" xr:uid="{54752800-D7D9-4857-BC2A-FCE10D351BD0}"/>
    <cellStyle name="Normal 9 2 5 5 2 4" xfId="13796" xr:uid="{A94DAE29-B6F0-4B84-8C52-133491C7222E}"/>
    <cellStyle name="Normal 9 2 5 5 3" xfId="6542" xr:uid="{00000000-0005-0000-0000-0000941F0000}"/>
    <cellStyle name="Normal 9 2 5 5 3 2" xfId="25167" xr:uid="{EDDF4B39-D589-42D2-AE57-F80E1069B14E}"/>
    <cellStyle name="Normal 9 2 5 5 3 3" xfId="15868" xr:uid="{2516CDB5-5177-479D-9CD3-294DEE54BA12}"/>
    <cellStyle name="Normal 9 2 5 5 4" xfId="20950" xr:uid="{00D07FB6-0703-4FF9-9B0A-8FB199B9DD42}"/>
    <cellStyle name="Normal 9 2 5 5 5" xfId="11651" xr:uid="{59560A56-C47C-40B4-9AA0-2B4A651A4330}"/>
    <cellStyle name="Normal 9 2 5 6" xfId="2672" xr:uid="{00000000-0005-0000-0000-0000951F0000}"/>
    <cellStyle name="Normal 9 2 5 6 2" xfId="6955" xr:uid="{00000000-0005-0000-0000-0000961F0000}"/>
    <cellStyle name="Normal 9 2 5 6 2 2" xfId="25580" xr:uid="{ED49335F-94C5-4235-A441-5108833B8971}"/>
    <cellStyle name="Normal 9 2 5 6 2 3" xfId="16281" xr:uid="{10987A28-3894-46A1-BAA6-EA5D5B7DEB96}"/>
    <cellStyle name="Normal 9 2 5 6 3" xfId="21363" xr:uid="{0F81F889-3ED6-4E87-9F12-022FACB78D87}"/>
    <cellStyle name="Normal 9 2 5 6 4" xfId="12064" xr:uid="{7C747BD0-CAB6-49F0-BB90-BC21F33B16DE}"/>
    <cellStyle name="Normal 9 2 5 7" xfId="4890" xr:uid="{00000000-0005-0000-0000-0000971F0000}"/>
    <cellStyle name="Normal 9 2 5 7 2" xfId="23515" xr:uid="{47BABDEE-AE21-44A0-B4D8-0C66BF39956B}"/>
    <cellStyle name="Normal 9 2 5 7 3" xfId="14216" xr:uid="{3A580197-739B-48CD-A38F-8D83A69EDD7F}"/>
    <cellStyle name="Normal 9 2 5 8" xfId="8973" xr:uid="{BA9464C2-72F7-4B38-B1BD-6986FFA433D9}"/>
    <cellStyle name="Normal 9 2 5 8 2" xfId="27596" xr:uid="{F5F95B3F-DA75-48CF-A72F-4249707D88E7}"/>
    <cellStyle name="Normal 9 2 5 8 3" xfId="18297" xr:uid="{8F2743E4-2996-4296-B91B-9723ED0809D3}"/>
    <cellStyle name="Normal 9 2 5 9" xfId="19298" xr:uid="{3F21DBE1-39EB-4751-8D15-44923B326BDF}"/>
    <cellStyle name="Normal 9 2 6" xfId="978" xr:uid="{00000000-0005-0000-0000-0000981F0000}"/>
    <cellStyle name="Normal 9 2 6 2" xfId="3211" xr:uid="{00000000-0005-0000-0000-0000991F0000}"/>
    <cellStyle name="Normal 9 2 6 2 2" xfId="7433" xr:uid="{00000000-0005-0000-0000-00009A1F0000}"/>
    <cellStyle name="Normal 9 2 6 2 2 2" xfId="26058" xr:uid="{88F2DD9A-9946-46D1-BF9A-84D6C7A400D7}"/>
    <cellStyle name="Normal 9 2 6 2 2 3" xfId="16759" xr:uid="{367F3EDD-DEE1-46F6-AF21-5E5BD599F21B}"/>
    <cellStyle name="Normal 9 2 6 2 3" xfId="21841" xr:uid="{C3E3BB5E-022B-4EB7-92C8-31E8F5BD6CD1}"/>
    <cellStyle name="Normal 9 2 6 2 4" xfId="12542" xr:uid="{67957648-64C0-4E62-95D1-B60C3BADDEC7}"/>
    <cellStyle name="Normal 9 2 6 3" xfId="5288" xr:uid="{00000000-0005-0000-0000-00009B1F0000}"/>
    <cellStyle name="Normal 9 2 6 3 2" xfId="23913" xr:uid="{9F4443A4-CB4D-4352-BB77-FDCE019E6841}"/>
    <cellStyle name="Normal 9 2 6 3 3" xfId="14614" xr:uid="{C966615F-61D7-44FB-9C4B-27CBE21C7669}"/>
    <cellStyle name="Normal 9 2 6 4" xfId="9176" xr:uid="{F3933A08-5B20-47C9-B0FC-7B73F4B0BA7D}"/>
    <cellStyle name="Normal 9 2 6 4 2" xfId="27793" xr:uid="{E043A890-1A93-407A-A0D4-71A55E1B4B7D}"/>
    <cellStyle name="Normal 9 2 6 4 3" xfId="18494" xr:uid="{409F657C-F2B7-45E3-A706-A1E27EEF05EB}"/>
    <cellStyle name="Normal 9 2 6 5" xfId="19696" xr:uid="{07624A7D-056E-43D6-B1F7-E7A63EF8F71A}"/>
    <cellStyle name="Normal 9 2 6 6" xfId="10397" xr:uid="{84BBD981-40C5-429A-9ACD-D72E2CD8A8B1}"/>
    <cellStyle name="Normal 9 2 7" xfId="1394" xr:uid="{00000000-0005-0000-0000-00009C1F0000}"/>
    <cellStyle name="Normal 9 2 7 2" xfId="3624" xr:uid="{00000000-0005-0000-0000-00009D1F0000}"/>
    <cellStyle name="Normal 9 2 7 2 2" xfId="7846" xr:uid="{00000000-0005-0000-0000-00009E1F0000}"/>
    <cellStyle name="Normal 9 2 7 2 2 2" xfId="26471" xr:uid="{D0AC0B58-C428-48CD-A4FA-EFDD3D720D89}"/>
    <cellStyle name="Normal 9 2 7 2 2 3" xfId="17172" xr:uid="{5D039FD9-F481-48C0-87B8-BD31C77F0B92}"/>
    <cellStyle name="Normal 9 2 7 2 3" xfId="22254" xr:uid="{AB9BA079-DE44-43F1-932E-2EDA5093DDA5}"/>
    <cellStyle name="Normal 9 2 7 2 4" xfId="12955" xr:uid="{F7A2FABE-3974-4187-AEEA-815FB9971B7A}"/>
    <cellStyle name="Normal 9 2 7 3" xfId="5701" xr:uid="{00000000-0005-0000-0000-00009F1F0000}"/>
    <cellStyle name="Normal 9 2 7 3 2" xfId="24326" xr:uid="{A6F2853F-9D68-4732-8AB7-86296A228256}"/>
    <cellStyle name="Normal 9 2 7 3 3" xfId="15027" xr:uid="{1F3876E2-767A-433C-B437-A413CD1FD79F}"/>
    <cellStyle name="Normal 9 2 7 4" xfId="20109" xr:uid="{FE3920CB-79E9-4757-8EA1-586AEA00DDB1}"/>
    <cellStyle name="Normal 9 2 7 5" xfId="10810" xr:uid="{A073F7DA-B9A3-488D-ABB8-C403BDFADEA3}"/>
    <cellStyle name="Normal 9 2 8" xfId="1807" xr:uid="{00000000-0005-0000-0000-0000A01F0000}"/>
    <cellStyle name="Normal 9 2 8 2" xfId="4037" xr:uid="{00000000-0005-0000-0000-0000A11F0000}"/>
    <cellStyle name="Normal 9 2 8 2 2" xfId="8259" xr:uid="{00000000-0005-0000-0000-0000A21F0000}"/>
    <cellStyle name="Normal 9 2 8 2 2 2" xfId="26884" xr:uid="{D2D207DB-1222-491E-B12B-98FC3E613179}"/>
    <cellStyle name="Normal 9 2 8 2 2 3" xfId="17585" xr:uid="{E0C46639-4D0A-474A-96EF-B244391BB6A2}"/>
    <cellStyle name="Normal 9 2 8 2 3" xfId="22667" xr:uid="{3D3D26F3-0E4D-471B-B73C-2036628F7FC1}"/>
    <cellStyle name="Normal 9 2 8 2 4" xfId="13368" xr:uid="{A154783D-9ECF-42EF-A432-588C9AF458CF}"/>
    <cellStyle name="Normal 9 2 8 3" xfId="6114" xr:uid="{00000000-0005-0000-0000-0000A31F0000}"/>
    <cellStyle name="Normal 9 2 8 3 2" xfId="24739" xr:uid="{714B0369-3861-4790-BAC7-3A0D4D4B82AE}"/>
    <cellStyle name="Normal 9 2 8 3 3" xfId="15440" xr:uid="{6CF4C07D-B663-4711-949E-A80D1A202390}"/>
    <cellStyle name="Normal 9 2 8 4" xfId="20522" xr:uid="{55680C12-8D39-4D07-A222-7482685277D1}"/>
    <cellStyle name="Normal 9 2 8 5" xfId="11223" xr:uid="{A291C3B0-8D15-48E6-8435-BAB3CFB9B149}"/>
    <cellStyle name="Normal 9 2 9" xfId="2221" xr:uid="{00000000-0005-0000-0000-0000A41F0000}"/>
    <cellStyle name="Normal 9 2 9 2" xfId="4450" xr:uid="{00000000-0005-0000-0000-0000A51F0000}"/>
    <cellStyle name="Normal 9 2 9 2 2" xfId="8672" xr:uid="{00000000-0005-0000-0000-0000A61F0000}"/>
    <cellStyle name="Normal 9 2 9 2 2 2" xfId="27297" xr:uid="{D133449D-E8C3-49DA-990B-5B8A37648DE2}"/>
    <cellStyle name="Normal 9 2 9 2 2 3" xfId="17998" xr:uid="{3366F004-9DD1-406F-A4F9-853AC87EC9D0}"/>
    <cellStyle name="Normal 9 2 9 2 3" xfId="23080" xr:uid="{970386A0-FFD7-4519-8E7B-0194B39D8AC0}"/>
    <cellStyle name="Normal 9 2 9 2 4" xfId="13781" xr:uid="{489B0F9F-419B-48D2-AC11-A47FBDC583C8}"/>
    <cellStyle name="Normal 9 2 9 3" xfId="6527" xr:uid="{00000000-0005-0000-0000-0000A71F0000}"/>
    <cellStyle name="Normal 9 2 9 3 2" xfId="25152" xr:uid="{E8DBF234-3D33-48CD-BC00-921FDD00027F}"/>
    <cellStyle name="Normal 9 2 9 3 3" xfId="15853" xr:uid="{658BEFFB-CFDB-446D-BF0E-F5C3BD32480A}"/>
    <cellStyle name="Normal 9 2 9 4" xfId="20935" xr:uid="{8D20C2A2-CCCE-4DF7-A2DD-A535BACE9D16}"/>
    <cellStyle name="Normal 9 2 9 5" xfId="11636" xr:uid="{A185936A-D209-4D62-BDD5-FC49972EE19D}"/>
    <cellStyle name="Normal 9 3" xfId="527" xr:uid="{00000000-0005-0000-0000-0000A81F0000}"/>
    <cellStyle name="Normal 9 3 10" xfId="4891" xr:uid="{00000000-0005-0000-0000-0000A91F0000}"/>
    <cellStyle name="Normal 9 3 10 2" xfId="23516" xr:uid="{66EA1472-76E3-4D8B-8D77-9F41667E3DAC}"/>
    <cellStyle name="Normal 9 3 10 3" xfId="14217" xr:uid="{A9E0C030-1298-4E1E-98B7-B2BA46332869}"/>
    <cellStyle name="Normal 9 3 11" xfId="8777" xr:uid="{1F3D7E21-FC22-4F0C-9371-3D8250746BB7}"/>
    <cellStyle name="Normal 9 3 11 2" xfId="27400" xr:uid="{D230138E-679F-4956-9F14-BFAAA1EEC535}"/>
    <cellStyle name="Normal 9 3 11 3" xfId="18101" xr:uid="{1586C0D4-A71C-49C1-872D-2FD793C8B871}"/>
    <cellStyle name="Normal 9 3 12" xfId="19299" xr:uid="{82A033D3-481D-4EA6-8BF5-560CCF6581DF}"/>
    <cellStyle name="Normal 9 3 13" xfId="10000" xr:uid="{E63757B9-5172-4B72-A107-B22FBD469BCA}"/>
    <cellStyle name="Normal 9 3 2" xfId="528" xr:uid="{00000000-0005-0000-0000-0000AA1F0000}"/>
    <cellStyle name="Normal 9 3 2 10" xfId="8840" xr:uid="{94797BE2-1721-4871-A768-79D4D45F48BB}"/>
    <cellStyle name="Normal 9 3 2 10 2" xfId="27463" xr:uid="{B4722F6B-49E8-462E-9C6E-723E1C53D3E5}"/>
    <cellStyle name="Normal 9 3 2 10 3" xfId="18164" xr:uid="{4550C44B-4683-4690-8CBD-6418A85C45FF}"/>
    <cellStyle name="Normal 9 3 2 11" xfId="19300" xr:uid="{ACBAE37F-FE6B-4417-8D78-0E1404A2C39C}"/>
    <cellStyle name="Normal 9 3 2 12" xfId="10001" xr:uid="{80C5316D-99D2-4845-8EF3-785A51DE2E39}"/>
    <cellStyle name="Normal 9 3 2 2" xfId="529" xr:uid="{00000000-0005-0000-0000-0000AB1F0000}"/>
    <cellStyle name="Normal 9 3 2 2 10" xfId="19301" xr:uid="{3E8DB67A-D8F9-4D8C-A3DA-16C3B366144C}"/>
    <cellStyle name="Normal 9 3 2 2 11" xfId="10002" xr:uid="{14E40D36-1266-4650-A80A-0268B1E705B6}"/>
    <cellStyle name="Normal 9 3 2 2 2" xfId="530" xr:uid="{00000000-0005-0000-0000-0000AC1F0000}"/>
    <cellStyle name="Normal 9 3 2 2 2 10" xfId="10003" xr:uid="{BA3CFF83-2FE7-4A6F-8D4D-7A338B4A142E}"/>
    <cellStyle name="Normal 9 3 2 2 2 2" xfId="997" xr:uid="{00000000-0005-0000-0000-0000AD1F0000}"/>
    <cellStyle name="Normal 9 3 2 2 2 2 2" xfId="3230" xr:uid="{00000000-0005-0000-0000-0000AE1F0000}"/>
    <cellStyle name="Normal 9 3 2 2 2 2 2 2" xfId="7452" xr:uid="{00000000-0005-0000-0000-0000AF1F0000}"/>
    <cellStyle name="Normal 9 3 2 2 2 2 2 2 2" xfId="26077" xr:uid="{0FF48EDE-A42A-4D63-A6E1-CDC52E1466CB}"/>
    <cellStyle name="Normal 9 3 2 2 2 2 2 2 3" xfId="16778" xr:uid="{ACA2A13C-AB5B-4FBF-9B08-D0EAC103DD9E}"/>
    <cellStyle name="Normal 9 3 2 2 2 2 2 3" xfId="21860" xr:uid="{5D430644-9E4B-41D2-A43A-AE2378F5FF15}"/>
    <cellStyle name="Normal 9 3 2 2 2 2 2 4" xfId="12561" xr:uid="{C69846DA-D766-4BF2-8C04-AA2EFA709D9E}"/>
    <cellStyle name="Normal 9 3 2 2 2 2 3" xfId="5307" xr:uid="{00000000-0005-0000-0000-0000B01F0000}"/>
    <cellStyle name="Normal 9 3 2 2 2 2 3 2" xfId="23932" xr:uid="{85B8A889-DC10-4CF9-BA8D-384DCD99B7C1}"/>
    <cellStyle name="Normal 9 3 2 2 2 2 3 3" xfId="14633" xr:uid="{B5F6AAC0-7CD6-40FA-8CCC-F4104432C013}"/>
    <cellStyle name="Normal 9 3 2 2 2 2 4" xfId="9575" xr:uid="{DA05DE06-1987-4B8E-8439-C692853FF296}"/>
    <cellStyle name="Normal 9 3 2 2 2 2 4 2" xfId="28189" xr:uid="{949C203E-9715-486C-9DE6-7887609A33CB}"/>
    <cellStyle name="Normal 9 3 2 2 2 2 4 3" xfId="18890" xr:uid="{357F9B49-3380-479E-9F1E-4B155ABA3701}"/>
    <cellStyle name="Normal 9 3 2 2 2 2 5" xfId="19715" xr:uid="{0A9EC26D-2F6B-46E3-BE41-147750DB3A64}"/>
    <cellStyle name="Normal 9 3 2 2 2 2 6" xfId="10416" xr:uid="{946AB24F-5FA2-4619-923A-05648789800C}"/>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2 2 2" xfId="26490" xr:uid="{1CFBDFCB-8C68-439D-A3B6-9C48E59BB79B}"/>
    <cellStyle name="Normal 9 3 2 2 2 3 2 2 3" xfId="17191" xr:uid="{F689170E-AE6A-4DFE-B220-4830D60B1CEC}"/>
    <cellStyle name="Normal 9 3 2 2 2 3 2 3" xfId="22273" xr:uid="{13D8B864-F947-48D6-A2AA-BCE34E1DC996}"/>
    <cellStyle name="Normal 9 3 2 2 2 3 2 4" xfId="12974" xr:uid="{DC4D79F7-9E48-456A-894A-1D1A2C2659F2}"/>
    <cellStyle name="Normal 9 3 2 2 2 3 3" xfId="5720" xr:uid="{00000000-0005-0000-0000-0000B41F0000}"/>
    <cellStyle name="Normal 9 3 2 2 2 3 3 2" xfId="24345" xr:uid="{087D575D-BD49-4C65-A616-F99A9E7176DD}"/>
    <cellStyle name="Normal 9 3 2 2 2 3 3 3" xfId="15046" xr:uid="{20AB7B0D-8B83-415D-AF7A-03AA1D021FBE}"/>
    <cellStyle name="Normal 9 3 2 2 2 3 4" xfId="20128" xr:uid="{D5816F15-1960-4B8D-A03D-F95B54CB9D93}"/>
    <cellStyle name="Normal 9 3 2 2 2 3 5" xfId="10829" xr:uid="{41AFAD98-C278-44A3-9A34-713A563241DF}"/>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2 2 2" xfId="26903" xr:uid="{BE0646D2-A275-40F4-9C23-559DDAAC545A}"/>
    <cellStyle name="Normal 9 3 2 2 2 4 2 2 3" xfId="17604" xr:uid="{362BB1F8-FBAC-4460-82A0-6A22279A6894}"/>
    <cellStyle name="Normal 9 3 2 2 2 4 2 3" xfId="22686" xr:uid="{04A4AA10-5C4D-4AAD-9772-BBBB823491F1}"/>
    <cellStyle name="Normal 9 3 2 2 2 4 2 4" xfId="13387" xr:uid="{C83A036D-7678-4870-A79D-16D99B625D8E}"/>
    <cellStyle name="Normal 9 3 2 2 2 4 3" xfId="6133" xr:uid="{00000000-0005-0000-0000-0000B81F0000}"/>
    <cellStyle name="Normal 9 3 2 2 2 4 3 2" xfId="24758" xr:uid="{2488A6E8-A54D-446C-AD05-F26F81A031B1}"/>
    <cellStyle name="Normal 9 3 2 2 2 4 3 3" xfId="15459" xr:uid="{B25630A0-4B3B-4E54-AC51-48FE1F0DAF29}"/>
    <cellStyle name="Normal 9 3 2 2 2 4 4" xfId="20541" xr:uid="{F1D18E18-F47D-4E75-A1BA-47D0D3579F85}"/>
    <cellStyle name="Normal 9 3 2 2 2 4 5" xfId="11242" xr:uid="{506271FE-C221-448E-87F1-465C3E22B603}"/>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2 2 2" xfId="27316" xr:uid="{6602926D-2981-495C-9080-A351FFEF8954}"/>
    <cellStyle name="Normal 9 3 2 2 2 5 2 2 3" xfId="18017" xr:uid="{7FEBC92C-AE8C-44E5-AB86-A838F29F9A41}"/>
    <cellStyle name="Normal 9 3 2 2 2 5 2 3" xfId="23099" xr:uid="{A293AB46-AC79-4656-9CDC-C1445B3C6618}"/>
    <cellStyle name="Normal 9 3 2 2 2 5 2 4" xfId="13800" xr:uid="{A40ED793-0FF1-4A65-83D8-108CD2DE7AC8}"/>
    <cellStyle name="Normal 9 3 2 2 2 5 3" xfId="6546" xr:uid="{00000000-0005-0000-0000-0000BC1F0000}"/>
    <cellStyle name="Normal 9 3 2 2 2 5 3 2" xfId="25171" xr:uid="{4C5C9D51-B1DD-4913-BD11-F51C41DAD896}"/>
    <cellStyle name="Normal 9 3 2 2 2 5 3 3" xfId="15872" xr:uid="{9BE5FB0B-EF5C-499B-9F00-2CE4DF3D8742}"/>
    <cellStyle name="Normal 9 3 2 2 2 5 4" xfId="20954" xr:uid="{3FF3109B-973F-4AEF-B36A-FD830EB0CFDE}"/>
    <cellStyle name="Normal 9 3 2 2 2 5 5" xfId="11655" xr:uid="{B5A54FA4-0E71-4DFC-8B67-D5EF50A7562E}"/>
    <cellStyle name="Normal 9 3 2 2 2 6" xfId="2676" xr:uid="{00000000-0005-0000-0000-0000BD1F0000}"/>
    <cellStyle name="Normal 9 3 2 2 2 6 2" xfId="6959" xr:uid="{00000000-0005-0000-0000-0000BE1F0000}"/>
    <cellStyle name="Normal 9 3 2 2 2 6 2 2" xfId="25584" xr:uid="{5CE4F12F-7075-4C42-B7C7-D5F162096240}"/>
    <cellStyle name="Normal 9 3 2 2 2 6 2 3" xfId="16285" xr:uid="{C6436283-F7F8-4502-B5EF-A95CCDA48FA5}"/>
    <cellStyle name="Normal 9 3 2 2 2 6 3" xfId="21367" xr:uid="{FFB9BF35-3AB1-41B1-9697-60083ED9C7E7}"/>
    <cellStyle name="Normal 9 3 2 2 2 6 4" xfId="12068" xr:uid="{8B6B86A0-4131-4BCA-87F1-5D6A8675EE3C}"/>
    <cellStyle name="Normal 9 3 2 2 2 7" xfId="4894" xr:uid="{00000000-0005-0000-0000-0000BF1F0000}"/>
    <cellStyle name="Normal 9 3 2 2 2 7 2" xfId="23519" xr:uid="{DB57719F-851A-4EE6-A4E9-838F3D66C7D1}"/>
    <cellStyle name="Normal 9 3 2 2 2 7 3" xfId="14220" xr:uid="{3C59433F-3775-4E0A-A975-BE112ADCEB51}"/>
    <cellStyle name="Normal 9 3 2 2 2 8" xfId="9150" xr:uid="{F54F74BE-A583-4C94-A198-8E0D27AD7F4F}"/>
    <cellStyle name="Normal 9 3 2 2 2 8 2" xfId="27773" xr:uid="{0EDF1143-7F71-40B0-9A01-B35C63C80E3B}"/>
    <cellStyle name="Normal 9 3 2 2 2 8 3" xfId="18474" xr:uid="{5A671018-F32B-49FE-9AF9-FC2864BDA94B}"/>
    <cellStyle name="Normal 9 3 2 2 2 9" xfId="19302" xr:uid="{16D4E5E7-1A14-4939-B4CD-5A37EE44441A}"/>
    <cellStyle name="Normal 9 3 2 2 3" xfId="996" xr:uid="{00000000-0005-0000-0000-0000C01F0000}"/>
    <cellStyle name="Normal 9 3 2 2 3 2" xfId="3229" xr:uid="{00000000-0005-0000-0000-0000C11F0000}"/>
    <cellStyle name="Normal 9 3 2 2 3 2 2" xfId="7451" xr:uid="{00000000-0005-0000-0000-0000C21F0000}"/>
    <cellStyle name="Normal 9 3 2 2 3 2 2 2" xfId="26076" xr:uid="{BBFE7413-88B2-4B25-AB70-01DEC5452D93}"/>
    <cellStyle name="Normal 9 3 2 2 3 2 2 3" xfId="16777" xr:uid="{17CFCF97-C9CD-427C-83A5-F9446A361063}"/>
    <cellStyle name="Normal 9 3 2 2 3 2 3" xfId="21859" xr:uid="{539E819B-DD4A-43D2-8DE5-0C2C8D0F1258}"/>
    <cellStyle name="Normal 9 3 2 2 3 2 4" xfId="12560" xr:uid="{C90C09B7-9C3E-4F6D-B5A0-BB2656E80D24}"/>
    <cellStyle name="Normal 9 3 2 2 3 3" xfId="5306" xr:uid="{00000000-0005-0000-0000-0000C31F0000}"/>
    <cellStyle name="Normal 9 3 2 2 3 3 2" xfId="23931" xr:uid="{989ED8EC-4A8F-414A-9F94-31C128C15FEF}"/>
    <cellStyle name="Normal 9 3 2 2 3 3 3" xfId="14632" xr:uid="{558E2616-61CF-477A-99C4-05EDC21782DF}"/>
    <cellStyle name="Normal 9 3 2 2 3 4" xfId="9368" xr:uid="{B3189122-1774-442D-BD5B-8DA329618536}"/>
    <cellStyle name="Normal 9 3 2 2 3 4 2" xfId="27982" xr:uid="{3AF3E2E0-F9A4-4C6C-9034-4A1C25354969}"/>
    <cellStyle name="Normal 9 3 2 2 3 4 3" xfId="18683" xr:uid="{65BB8373-F95C-4D94-A93E-7614FFD7ABF2}"/>
    <cellStyle name="Normal 9 3 2 2 3 5" xfId="19714" xr:uid="{24EAF677-1AD6-47BC-A178-1F408CDAD2B7}"/>
    <cellStyle name="Normal 9 3 2 2 3 6" xfId="10415" xr:uid="{0831E1E4-C2AB-4AE8-B291-D46F7D07759F}"/>
    <cellStyle name="Normal 9 3 2 2 4" xfId="1412" xr:uid="{00000000-0005-0000-0000-0000C41F0000}"/>
    <cellStyle name="Normal 9 3 2 2 4 2" xfId="3642" xr:uid="{00000000-0005-0000-0000-0000C51F0000}"/>
    <cellStyle name="Normal 9 3 2 2 4 2 2" xfId="7864" xr:uid="{00000000-0005-0000-0000-0000C61F0000}"/>
    <cellStyle name="Normal 9 3 2 2 4 2 2 2" xfId="26489" xr:uid="{8B26C0B1-50FD-4241-8E13-DFF88B9F4FB1}"/>
    <cellStyle name="Normal 9 3 2 2 4 2 2 3" xfId="17190" xr:uid="{3C4CD081-FC19-4D9D-8067-5E29A4D987A8}"/>
    <cellStyle name="Normal 9 3 2 2 4 2 3" xfId="22272" xr:uid="{76AF4BDC-AC83-4762-95C7-A79D0AD3FF7C}"/>
    <cellStyle name="Normal 9 3 2 2 4 2 4" xfId="12973" xr:uid="{26AEE197-F7DF-4C1B-BC66-92A93A868FB0}"/>
    <cellStyle name="Normal 9 3 2 2 4 3" xfId="5719" xr:uid="{00000000-0005-0000-0000-0000C71F0000}"/>
    <cellStyle name="Normal 9 3 2 2 4 3 2" xfId="24344" xr:uid="{6C49720E-58C4-4E08-B0E6-46F595AEFBFB}"/>
    <cellStyle name="Normal 9 3 2 2 4 3 3" xfId="15045" xr:uid="{B5EBF070-CAAA-4B99-BF54-23DC41384B9B}"/>
    <cellStyle name="Normal 9 3 2 2 4 4" xfId="20127" xr:uid="{1F009CE8-D02B-4B60-8F9D-8CB9D0353252}"/>
    <cellStyle name="Normal 9 3 2 2 4 5" xfId="10828" xr:uid="{1B52EDE2-B3CD-45D9-B848-53196DB5B5DC}"/>
    <cellStyle name="Normal 9 3 2 2 5" xfId="1825" xr:uid="{00000000-0005-0000-0000-0000C81F0000}"/>
    <cellStyle name="Normal 9 3 2 2 5 2" xfId="4055" xr:uid="{00000000-0005-0000-0000-0000C91F0000}"/>
    <cellStyle name="Normal 9 3 2 2 5 2 2" xfId="8277" xr:uid="{00000000-0005-0000-0000-0000CA1F0000}"/>
    <cellStyle name="Normal 9 3 2 2 5 2 2 2" xfId="26902" xr:uid="{EF495BBA-5500-4FA6-9A7C-AB610756A557}"/>
    <cellStyle name="Normal 9 3 2 2 5 2 2 3" xfId="17603" xr:uid="{AB424440-1A4D-44F0-8655-1FCDC7961C5B}"/>
    <cellStyle name="Normal 9 3 2 2 5 2 3" xfId="22685" xr:uid="{0DD4B072-51E7-4898-831B-406750F11D3F}"/>
    <cellStyle name="Normal 9 3 2 2 5 2 4" xfId="13386" xr:uid="{25B6E666-0972-4366-A70D-6AF1E1153573}"/>
    <cellStyle name="Normal 9 3 2 2 5 3" xfId="6132" xr:uid="{00000000-0005-0000-0000-0000CB1F0000}"/>
    <cellStyle name="Normal 9 3 2 2 5 3 2" xfId="24757" xr:uid="{BA4B43CD-4561-41F5-822C-640992C7BB7C}"/>
    <cellStyle name="Normal 9 3 2 2 5 3 3" xfId="15458" xr:uid="{3AB61082-BA57-45D5-8E8D-ABC95DA596AE}"/>
    <cellStyle name="Normal 9 3 2 2 5 4" xfId="20540" xr:uid="{8E6B379F-1EE1-494A-81EF-9D7BF78B1DC7}"/>
    <cellStyle name="Normal 9 3 2 2 5 5" xfId="11241" xr:uid="{A973B5CF-8123-4407-B0CC-2221A2D0D074}"/>
    <cellStyle name="Normal 9 3 2 2 6" xfId="2239" xr:uid="{00000000-0005-0000-0000-0000CC1F0000}"/>
    <cellStyle name="Normal 9 3 2 2 6 2" xfId="4468" xr:uid="{00000000-0005-0000-0000-0000CD1F0000}"/>
    <cellStyle name="Normal 9 3 2 2 6 2 2" xfId="8690" xr:uid="{00000000-0005-0000-0000-0000CE1F0000}"/>
    <cellStyle name="Normal 9 3 2 2 6 2 2 2" xfId="27315" xr:uid="{FC469063-F687-47C0-87D7-45EEC45AA97C}"/>
    <cellStyle name="Normal 9 3 2 2 6 2 2 3" xfId="18016" xr:uid="{F3A799B8-B936-4747-9C98-89CE525FB2EC}"/>
    <cellStyle name="Normal 9 3 2 2 6 2 3" xfId="23098" xr:uid="{C288ACB6-E9A6-4C90-8F58-B0050C5232CA}"/>
    <cellStyle name="Normal 9 3 2 2 6 2 4" xfId="13799" xr:uid="{BDE4AA77-67C4-4E49-9D71-03BEED257EB6}"/>
    <cellStyle name="Normal 9 3 2 2 6 3" xfId="6545" xr:uid="{00000000-0005-0000-0000-0000CF1F0000}"/>
    <cellStyle name="Normal 9 3 2 2 6 3 2" xfId="25170" xr:uid="{AAC4A938-C809-4608-9733-B2516D276A25}"/>
    <cellStyle name="Normal 9 3 2 2 6 3 3" xfId="15871" xr:uid="{99C1F902-4F75-4739-B5FF-E997A5C3ECB7}"/>
    <cellStyle name="Normal 9 3 2 2 6 4" xfId="20953" xr:uid="{62266B16-A247-48D7-973E-32A4AC48E5BD}"/>
    <cellStyle name="Normal 9 3 2 2 6 5" xfId="11654" xr:uid="{63735054-48D7-40D8-8A8F-F60798125F28}"/>
    <cellStyle name="Normal 9 3 2 2 7" xfId="2675" xr:uid="{00000000-0005-0000-0000-0000D01F0000}"/>
    <cellStyle name="Normal 9 3 2 2 7 2" xfId="6958" xr:uid="{00000000-0005-0000-0000-0000D11F0000}"/>
    <cellStyle name="Normal 9 3 2 2 7 2 2" xfId="25583" xr:uid="{56A0C6E7-41B3-49E5-95E2-35872E224D57}"/>
    <cellStyle name="Normal 9 3 2 2 7 2 3" xfId="16284" xr:uid="{D52A96BD-4183-4E0C-A976-04BC5E987C34}"/>
    <cellStyle name="Normal 9 3 2 2 7 3" xfId="21366" xr:uid="{9305F319-E4B8-4F9E-A36C-D59272E99240}"/>
    <cellStyle name="Normal 9 3 2 2 7 4" xfId="12067" xr:uid="{BE8ACBBD-254A-4E39-9F1C-DE3A2F7AF854}"/>
    <cellStyle name="Normal 9 3 2 2 8" xfId="4893" xr:uid="{00000000-0005-0000-0000-0000D21F0000}"/>
    <cellStyle name="Normal 9 3 2 2 8 2" xfId="23518" xr:uid="{47449249-DCC9-40EF-A119-BB73701E2838}"/>
    <cellStyle name="Normal 9 3 2 2 8 3" xfId="14219" xr:uid="{75B33D6B-1215-4C40-98F8-AC50A76A8C90}"/>
    <cellStyle name="Normal 9 3 2 2 9" xfId="8943" xr:uid="{1E59706A-169E-45B8-A6E4-1A0514B9DDBD}"/>
    <cellStyle name="Normal 9 3 2 2 9 2" xfId="27566" xr:uid="{30ACC367-B823-4611-BCE6-9A20B716A28C}"/>
    <cellStyle name="Normal 9 3 2 2 9 3" xfId="18267" xr:uid="{B9536428-16DD-4CCA-81CD-E772BE74E1A5}"/>
    <cellStyle name="Normal 9 3 2 3" xfId="531" xr:uid="{00000000-0005-0000-0000-0000D31F0000}"/>
    <cellStyle name="Normal 9 3 2 3 10" xfId="10004" xr:uid="{004D43E8-1F6E-4C32-9474-902F9CC44AA0}"/>
    <cellStyle name="Normal 9 3 2 3 2" xfId="998" xr:uid="{00000000-0005-0000-0000-0000D41F0000}"/>
    <cellStyle name="Normal 9 3 2 3 2 2" xfId="3231" xr:uid="{00000000-0005-0000-0000-0000D51F0000}"/>
    <cellStyle name="Normal 9 3 2 3 2 2 2" xfId="7453" xr:uid="{00000000-0005-0000-0000-0000D61F0000}"/>
    <cellStyle name="Normal 9 3 2 3 2 2 2 2" xfId="26078" xr:uid="{E4243F8B-10F9-4F6C-B891-DFFA6795B9DC}"/>
    <cellStyle name="Normal 9 3 2 3 2 2 2 3" xfId="16779" xr:uid="{0A77F976-9C5B-413D-AD53-A25604CDE4B2}"/>
    <cellStyle name="Normal 9 3 2 3 2 2 3" xfId="21861" xr:uid="{7F2505A2-8956-4365-9AE2-DF1609FD4837}"/>
    <cellStyle name="Normal 9 3 2 3 2 2 4" xfId="12562" xr:uid="{06A6D5CA-0229-4C5C-BA7B-C5002CD4C27F}"/>
    <cellStyle name="Normal 9 3 2 3 2 3" xfId="5308" xr:uid="{00000000-0005-0000-0000-0000D71F0000}"/>
    <cellStyle name="Normal 9 3 2 3 2 3 2" xfId="23933" xr:uid="{0CD36CF1-45AF-4FA5-BD2D-CD8F788E1177}"/>
    <cellStyle name="Normal 9 3 2 3 2 3 3" xfId="14634" xr:uid="{73170E4E-01D5-4AC6-BEBF-4DBF46BD8830}"/>
    <cellStyle name="Normal 9 3 2 3 2 4" xfId="9472" xr:uid="{427A8E71-9BC4-47C0-A855-6886AF96C97E}"/>
    <cellStyle name="Normal 9 3 2 3 2 4 2" xfId="28086" xr:uid="{AD0B5D46-2365-4113-8363-721DA50F3E91}"/>
    <cellStyle name="Normal 9 3 2 3 2 4 3" xfId="18787" xr:uid="{72680322-D558-46A1-B50F-7D0E69462976}"/>
    <cellStyle name="Normal 9 3 2 3 2 5" xfId="19716" xr:uid="{7E31AB2F-B51A-45D4-ACA3-AF1AAF201559}"/>
    <cellStyle name="Normal 9 3 2 3 2 6" xfId="10417" xr:uid="{9D240341-94A1-4FE1-805F-582350B967BC}"/>
    <cellStyle name="Normal 9 3 2 3 3" xfId="1414" xr:uid="{00000000-0005-0000-0000-0000D81F0000}"/>
    <cellStyle name="Normal 9 3 2 3 3 2" xfId="3644" xr:uid="{00000000-0005-0000-0000-0000D91F0000}"/>
    <cellStyle name="Normal 9 3 2 3 3 2 2" xfId="7866" xr:uid="{00000000-0005-0000-0000-0000DA1F0000}"/>
    <cellStyle name="Normal 9 3 2 3 3 2 2 2" xfId="26491" xr:uid="{7797CD3D-EB43-4BBF-84BE-048240DA5A99}"/>
    <cellStyle name="Normal 9 3 2 3 3 2 2 3" xfId="17192" xr:uid="{A0A3602B-9A2F-4495-824E-8BD7BEB3D158}"/>
    <cellStyle name="Normal 9 3 2 3 3 2 3" xfId="22274" xr:uid="{529C04C9-8C40-49E8-9101-EF115422ECC1}"/>
    <cellStyle name="Normal 9 3 2 3 3 2 4" xfId="12975" xr:uid="{05ACAD81-2BEA-4FA6-B045-9929EC468562}"/>
    <cellStyle name="Normal 9 3 2 3 3 3" xfId="5721" xr:uid="{00000000-0005-0000-0000-0000DB1F0000}"/>
    <cellStyle name="Normal 9 3 2 3 3 3 2" xfId="24346" xr:uid="{8AE53456-B083-4D83-9846-93D87794B357}"/>
    <cellStyle name="Normal 9 3 2 3 3 3 3" xfId="15047" xr:uid="{E667DAA3-A927-4425-9ED2-2850B204D6DD}"/>
    <cellStyle name="Normal 9 3 2 3 3 4" xfId="20129" xr:uid="{D8B7DC8E-69A0-4F96-8377-B63BDE77D2CD}"/>
    <cellStyle name="Normal 9 3 2 3 3 5" xfId="10830" xr:uid="{2010DAA7-D955-4ADA-8503-8C46D437D060}"/>
    <cellStyle name="Normal 9 3 2 3 4" xfId="1827" xr:uid="{00000000-0005-0000-0000-0000DC1F0000}"/>
    <cellStyle name="Normal 9 3 2 3 4 2" xfId="4057" xr:uid="{00000000-0005-0000-0000-0000DD1F0000}"/>
    <cellStyle name="Normal 9 3 2 3 4 2 2" xfId="8279" xr:uid="{00000000-0005-0000-0000-0000DE1F0000}"/>
    <cellStyle name="Normal 9 3 2 3 4 2 2 2" xfId="26904" xr:uid="{EACD9D18-C8F6-417F-8996-7AD87D1B4F62}"/>
    <cellStyle name="Normal 9 3 2 3 4 2 2 3" xfId="17605" xr:uid="{9FADC3B7-DB41-4B44-90A0-D440093104CC}"/>
    <cellStyle name="Normal 9 3 2 3 4 2 3" xfId="22687" xr:uid="{18954642-56B9-47CB-9944-A3480828B110}"/>
    <cellStyle name="Normal 9 3 2 3 4 2 4" xfId="13388" xr:uid="{774FA971-64E5-43BE-A179-A354556C70B5}"/>
    <cellStyle name="Normal 9 3 2 3 4 3" xfId="6134" xr:uid="{00000000-0005-0000-0000-0000DF1F0000}"/>
    <cellStyle name="Normal 9 3 2 3 4 3 2" xfId="24759" xr:uid="{9E94EC48-5D14-41E8-A3C6-66F2B3551116}"/>
    <cellStyle name="Normal 9 3 2 3 4 3 3" xfId="15460" xr:uid="{EE3FD8DC-3FE5-46E0-B7DE-0C325B98C193}"/>
    <cellStyle name="Normal 9 3 2 3 4 4" xfId="20542" xr:uid="{DF4FAC23-AC47-4150-9E27-D1B530720F02}"/>
    <cellStyle name="Normal 9 3 2 3 4 5" xfId="11243" xr:uid="{E550A20D-C3F0-41CA-8110-1B3AA30C8F26}"/>
    <cellStyle name="Normal 9 3 2 3 5" xfId="2241" xr:uid="{00000000-0005-0000-0000-0000E01F0000}"/>
    <cellStyle name="Normal 9 3 2 3 5 2" xfId="4470" xr:uid="{00000000-0005-0000-0000-0000E11F0000}"/>
    <cellStyle name="Normal 9 3 2 3 5 2 2" xfId="8692" xr:uid="{00000000-0005-0000-0000-0000E21F0000}"/>
    <cellStyle name="Normal 9 3 2 3 5 2 2 2" xfId="27317" xr:uid="{7B1A7126-E21E-4DC0-9764-688CD10B4D54}"/>
    <cellStyle name="Normal 9 3 2 3 5 2 2 3" xfId="18018" xr:uid="{AB4F0EEB-9652-4E46-B935-317DFD055686}"/>
    <cellStyle name="Normal 9 3 2 3 5 2 3" xfId="23100" xr:uid="{B0F196CA-9306-4F7B-B6D8-E55CFDD3D01B}"/>
    <cellStyle name="Normal 9 3 2 3 5 2 4" xfId="13801" xr:uid="{5B1403E1-B11B-4F38-B3D3-BCCB2173FE69}"/>
    <cellStyle name="Normal 9 3 2 3 5 3" xfId="6547" xr:uid="{00000000-0005-0000-0000-0000E31F0000}"/>
    <cellStyle name="Normal 9 3 2 3 5 3 2" xfId="25172" xr:uid="{58BED4D1-FE44-41F5-A73F-A5E88FF10DB4}"/>
    <cellStyle name="Normal 9 3 2 3 5 3 3" xfId="15873" xr:uid="{AD2D2148-E777-44E2-9A5F-BAD652D9EE5D}"/>
    <cellStyle name="Normal 9 3 2 3 5 4" xfId="20955" xr:uid="{B2384422-55AC-4D7E-837E-830F951B41EA}"/>
    <cellStyle name="Normal 9 3 2 3 5 5" xfId="11656" xr:uid="{484A21DE-9A2D-4EF6-A30C-D6E6CE86ECBC}"/>
    <cellStyle name="Normal 9 3 2 3 6" xfId="2677" xr:uid="{00000000-0005-0000-0000-0000E41F0000}"/>
    <cellStyle name="Normal 9 3 2 3 6 2" xfId="6960" xr:uid="{00000000-0005-0000-0000-0000E51F0000}"/>
    <cellStyle name="Normal 9 3 2 3 6 2 2" xfId="25585" xr:uid="{FEC26524-F10D-454E-9982-7406C5D1F339}"/>
    <cellStyle name="Normal 9 3 2 3 6 2 3" xfId="16286" xr:uid="{CAA36DBA-E292-4491-9A5E-4140CF1694F5}"/>
    <cellStyle name="Normal 9 3 2 3 6 3" xfId="21368" xr:uid="{947854A9-2078-4236-99B1-577CC779CADA}"/>
    <cellStyle name="Normal 9 3 2 3 6 4" xfId="12069" xr:uid="{90288BEA-4126-456A-A84D-38E6ECC6AACD}"/>
    <cellStyle name="Normal 9 3 2 3 7" xfId="4895" xr:uid="{00000000-0005-0000-0000-0000E61F0000}"/>
    <cellStyle name="Normal 9 3 2 3 7 2" xfId="23520" xr:uid="{8A448506-730B-40B7-B0DA-00042E7FE086}"/>
    <cellStyle name="Normal 9 3 2 3 7 3" xfId="14221" xr:uid="{0096D269-43BC-4609-9D15-9EFECB0FCD84}"/>
    <cellStyle name="Normal 9 3 2 3 8" xfId="9047" xr:uid="{4CBBBE80-D24B-484D-910E-0072EA0E95DD}"/>
    <cellStyle name="Normal 9 3 2 3 8 2" xfId="27670" xr:uid="{5293E42F-3E37-47BA-B9FE-FDFBC0A2111F}"/>
    <cellStyle name="Normal 9 3 2 3 8 3" xfId="18371" xr:uid="{C15CF0DB-9904-4CD1-8E46-2DEDC2A491BE}"/>
    <cellStyle name="Normal 9 3 2 3 9" xfId="19303" xr:uid="{3EC8CD08-D02D-419B-A589-EBBDC79782E0}"/>
    <cellStyle name="Normal 9 3 2 4" xfId="995" xr:uid="{00000000-0005-0000-0000-0000E71F0000}"/>
    <cellStyle name="Normal 9 3 2 4 2" xfId="3228" xr:uid="{00000000-0005-0000-0000-0000E81F0000}"/>
    <cellStyle name="Normal 9 3 2 4 2 2" xfId="7450" xr:uid="{00000000-0005-0000-0000-0000E91F0000}"/>
    <cellStyle name="Normal 9 3 2 4 2 2 2" xfId="26075" xr:uid="{01E26A3A-E04C-48DF-B951-D5C52D386E7A}"/>
    <cellStyle name="Normal 9 3 2 4 2 2 3" xfId="16776" xr:uid="{33900595-400E-4060-A39A-6510B0E62C5E}"/>
    <cellStyle name="Normal 9 3 2 4 2 3" xfId="21858" xr:uid="{459BD304-A5B3-4C29-93A4-5170F796F70F}"/>
    <cellStyle name="Normal 9 3 2 4 2 4" xfId="12559" xr:uid="{4473245A-F0EC-4AC1-A24B-77094EDF29BF}"/>
    <cellStyle name="Normal 9 3 2 4 3" xfId="5305" xr:uid="{00000000-0005-0000-0000-0000EA1F0000}"/>
    <cellStyle name="Normal 9 3 2 4 3 2" xfId="23930" xr:uid="{0012DAA4-8307-41FB-A597-36D37DB1990E}"/>
    <cellStyle name="Normal 9 3 2 4 3 3" xfId="14631" xr:uid="{18BAC1BB-C643-401A-9F94-8451DE68C196}"/>
    <cellStyle name="Normal 9 3 2 4 4" xfId="9265" xr:uid="{BF00A9B8-67BA-48F6-8D48-0E4380D60577}"/>
    <cellStyle name="Normal 9 3 2 4 4 2" xfId="27879" xr:uid="{3851E615-5C45-466E-A637-0F50D367DDE3}"/>
    <cellStyle name="Normal 9 3 2 4 4 3" xfId="18580" xr:uid="{FA6073C3-F9FA-4498-BF0F-A52FD29F9413}"/>
    <cellStyle name="Normal 9 3 2 4 5" xfId="19713" xr:uid="{0913E1C8-4B10-4898-96A0-211AEA13A0CA}"/>
    <cellStyle name="Normal 9 3 2 4 6" xfId="10414" xr:uid="{046F7B19-59DB-47FE-B6DC-05B0A351839E}"/>
    <cellStyle name="Normal 9 3 2 5" xfId="1411" xr:uid="{00000000-0005-0000-0000-0000EB1F0000}"/>
    <cellStyle name="Normal 9 3 2 5 2" xfId="3641" xr:uid="{00000000-0005-0000-0000-0000EC1F0000}"/>
    <cellStyle name="Normal 9 3 2 5 2 2" xfId="7863" xr:uid="{00000000-0005-0000-0000-0000ED1F0000}"/>
    <cellStyle name="Normal 9 3 2 5 2 2 2" xfId="26488" xr:uid="{AC4D6167-2A57-4419-A671-713244D52738}"/>
    <cellStyle name="Normal 9 3 2 5 2 2 3" xfId="17189" xr:uid="{65952FC0-4A26-4985-8410-B2D1F7041B01}"/>
    <cellStyle name="Normal 9 3 2 5 2 3" xfId="22271" xr:uid="{2E40D98D-1D39-4C7C-9420-696642123B4F}"/>
    <cellStyle name="Normal 9 3 2 5 2 4" xfId="12972" xr:uid="{DC21034F-52C3-4B8D-9569-B7E7242114FC}"/>
    <cellStyle name="Normal 9 3 2 5 3" xfId="5718" xr:uid="{00000000-0005-0000-0000-0000EE1F0000}"/>
    <cellStyle name="Normal 9 3 2 5 3 2" xfId="24343" xr:uid="{C52FC4F6-3AF0-45E7-BA59-4EC580F541D4}"/>
    <cellStyle name="Normal 9 3 2 5 3 3" xfId="15044" xr:uid="{81D5E660-E758-4BD5-968D-C5042FFD9871}"/>
    <cellStyle name="Normal 9 3 2 5 4" xfId="20126" xr:uid="{B0DB30B4-ECEC-4191-A833-4DBF6D185B7F}"/>
    <cellStyle name="Normal 9 3 2 5 5" xfId="10827" xr:uid="{A14BA396-72E2-4BE5-9928-DFBA462D7408}"/>
    <cellStyle name="Normal 9 3 2 6" xfId="1824" xr:uid="{00000000-0005-0000-0000-0000EF1F0000}"/>
    <cellStyle name="Normal 9 3 2 6 2" xfId="4054" xr:uid="{00000000-0005-0000-0000-0000F01F0000}"/>
    <cellStyle name="Normal 9 3 2 6 2 2" xfId="8276" xr:uid="{00000000-0005-0000-0000-0000F11F0000}"/>
    <cellStyle name="Normal 9 3 2 6 2 2 2" xfId="26901" xr:uid="{6A45690E-FF3A-4E6A-A259-83DA176504C7}"/>
    <cellStyle name="Normal 9 3 2 6 2 2 3" xfId="17602" xr:uid="{993BBD65-E00F-4427-9001-25694A1E0A75}"/>
    <cellStyle name="Normal 9 3 2 6 2 3" xfId="22684" xr:uid="{767C02A3-C651-47AD-9888-DAA1B457C233}"/>
    <cellStyle name="Normal 9 3 2 6 2 4" xfId="13385" xr:uid="{98E60BB8-32BB-4AEA-AEF0-F133E4F01870}"/>
    <cellStyle name="Normal 9 3 2 6 3" xfId="6131" xr:uid="{00000000-0005-0000-0000-0000F21F0000}"/>
    <cellStyle name="Normal 9 3 2 6 3 2" xfId="24756" xr:uid="{1DBD1CE5-210B-4150-BE0F-07647122B394}"/>
    <cellStyle name="Normal 9 3 2 6 3 3" xfId="15457" xr:uid="{EB998DA9-6082-4726-96A0-4D9397AB5E4D}"/>
    <cellStyle name="Normal 9 3 2 6 4" xfId="20539" xr:uid="{AA8C47C0-B58A-4B07-80F6-A3A8F44C0E37}"/>
    <cellStyle name="Normal 9 3 2 6 5" xfId="11240" xr:uid="{E464B11C-37E2-4C28-BFC0-92BCAC0C2A0E}"/>
    <cellStyle name="Normal 9 3 2 7" xfId="2238" xr:uid="{00000000-0005-0000-0000-0000F31F0000}"/>
    <cellStyle name="Normal 9 3 2 7 2" xfId="4467" xr:uid="{00000000-0005-0000-0000-0000F41F0000}"/>
    <cellStyle name="Normal 9 3 2 7 2 2" xfId="8689" xr:uid="{00000000-0005-0000-0000-0000F51F0000}"/>
    <cellStyle name="Normal 9 3 2 7 2 2 2" xfId="27314" xr:uid="{542A4679-0E30-4E68-9028-3DF831E1B1E9}"/>
    <cellStyle name="Normal 9 3 2 7 2 2 3" xfId="18015" xr:uid="{FCB640FD-1BFE-4755-8B1B-E3988EC93F42}"/>
    <cellStyle name="Normal 9 3 2 7 2 3" xfId="23097" xr:uid="{EAAF848B-AFCF-4088-8343-8C295D261DFA}"/>
    <cellStyle name="Normal 9 3 2 7 2 4" xfId="13798" xr:uid="{C56574E4-0728-4AF2-9EE6-CF0F084CC84E}"/>
    <cellStyle name="Normal 9 3 2 7 3" xfId="6544" xr:uid="{00000000-0005-0000-0000-0000F61F0000}"/>
    <cellStyle name="Normal 9 3 2 7 3 2" xfId="25169" xr:uid="{0832EE1F-7690-401A-8BD6-9F6A64800401}"/>
    <cellStyle name="Normal 9 3 2 7 3 3" xfId="15870" xr:uid="{08C3C532-4F53-4EED-84F6-6B87756B9CB6}"/>
    <cellStyle name="Normal 9 3 2 7 4" xfId="20952" xr:uid="{6EA004B8-D096-4E0A-828F-4D14882F7B77}"/>
    <cellStyle name="Normal 9 3 2 7 5" xfId="11653" xr:uid="{60CA5E4D-81D9-469B-91BA-BBCC2D3EDB98}"/>
    <cellStyle name="Normal 9 3 2 8" xfId="2674" xr:uid="{00000000-0005-0000-0000-0000F71F0000}"/>
    <cellStyle name="Normal 9 3 2 8 2" xfId="6957" xr:uid="{00000000-0005-0000-0000-0000F81F0000}"/>
    <cellStyle name="Normal 9 3 2 8 2 2" xfId="25582" xr:uid="{A1CB2E15-6370-4954-8D7E-8E37818A8E21}"/>
    <cellStyle name="Normal 9 3 2 8 2 3" xfId="16283" xr:uid="{2FF1F8C6-4A55-446A-A605-6AD3FACA1BFC}"/>
    <cellStyle name="Normal 9 3 2 8 3" xfId="21365" xr:uid="{1997CF8E-DBFB-46A7-A836-8A6FA17DB521}"/>
    <cellStyle name="Normal 9 3 2 8 4" xfId="12066" xr:uid="{D5CD3629-9879-46EC-95CB-F74A28179965}"/>
    <cellStyle name="Normal 9 3 2 9" xfId="4892" xr:uid="{00000000-0005-0000-0000-0000F91F0000}"/>
    <cellStyle name="Normal 9 3 2 9 2" xfId="23517" xr:uid="{7DCFC6F6-9663-4EFA-A57C-9C5D75BDDEA3}"/>
    <cellStyle name="Normal 9 3 2 9 3" xfId="14218" xr:uid="{4EF2FDD8-A42C-4267-A06E-39816EB4E3F2}"/>
    <cellStyle name="Normal 9 3 3" xfId="532" xr:uid="{00000000-0005-0000-0000-0000FA1F0000}"/>
    <cellStyle name="Normal 9 3 3 10" xfId="19304" xr:uid="{6F550909-008E-49BB-818A-F4812465FD99}"/>
    <cellStyle name="Normal 9 3 3 11" xfId="10005" xr:uid="{18D73EA8-3919-4C35-9C30-BCFE40F99315}"/>
    <cellStyle name="Normal 9 3 3 2" xfId="533" xr:uid="{00000000-0005-0000-0000-0000FB1F0000}"/>
    <cellStyle name="Normal 9 3 3 2 10" xfId="10006" xr:uid="{2693F5BA-BE25-4DE7-B303-163261EAAEAB}"/>
    <cellStyle name="Normal 9 3 3 2 2" xfId="1000" xr:uid="{00000000-0005-0000-0000-0000FC1F0000}"/>
    <cellStyle name="Normal 9 3 3 2 2 2" xfId="3233" xr:uid="{00000000-0005-0000-0000-0000FD1F0000}"/>
    <cellStyle name="Normal 9 3 3 2 2 2 2" xfId="7455" xr:uid="{00000000-0005-0000-0000-0000FE1F0000}"/>
    <cellStyle name="Normal 9 3 3 2 2 2 2 2" xfId="26080" xr:uid="{5E0740D1-247A-45FE-84E1-D15AA5CCF14E}"/>
    <cellStyle name="Normal 9 3 3 2 2 2 2 3" xfId="16781" xr:uid="{7EB68032-EA74-4EC5-9B88-528765F58DF7}"/>
    <cellStyle name="Normal 9 3 3 2 2 2 3" xfId="21863" xr:uid="{851857E3-BE2E-4611-8F6F-7BBC1858A580}"/>
    <cellStyle name="Normal 9 3 3 2 2 2 4" xfId="12564" xr:uid="{2BB7047E-9E09-426C-AB04-7A0B77D2763D}"/>
    <cellStyle name="Normal 9 3 3 2 2 3" xfId="5310" xr:uid="{00000000-0005-0000-0000-0000FF1F0000}"/>
    <cellStyle name="Normal 9 3 3 2 2 3 2" xfId="23935" xr:uid="{5C874301-3B08-4ED2-8553-143BD5D806D6}"/>
    <cellStyle name="Normal 9 3 3 2 2 3 3" xfId="14636" xr:uid="{758082F0-AF39-4989-AF3C-1F469CC5D1A3}"/>
    <cellStyle name="Normal 9 3 3 2 2 4" xfId="9512" xr:uid="{2D87B26D-94B2-43FF-B3AD-59DF0A117D21}"/>
    <cellStyle name="Normal 9 3 3 2 2 4 2" xfId="28126" xr:uid="{ED509C84-C6A2-42E6-A8CB-31A7ECB7E4BE}"/>
    <cellStyle name="Normal 9 3 3 2 2 4 3" xfId="18827" xr:uid="{9D5D74E4-B1EE-420A-A0D8-D614B5753DF0}"/>
    <cellStyle name="Normal 9 3 3 2 2 5" xfId="19718" xr:uid="{4F9CB9A8-E55F-47F8-92A1-19B974DBC9A0}"/>
    <cellStyle name="Normal 9 3 3 2 2 6" xfId="10419" xr:uid="{E2F3A597-5A43-4368-9082-85C883355D2A}"/>
    <cellStyle name="Normal 9 3 3 2 3" xfId="1416" xr:uid="{00000000-0005-0000-0000-000000200000}"/>
    <cellStyle name="Normal 9 3 3 2 3 2" xfId="3646" xr:uid="{00000000-0005-0000-0000-000001200000}"/>
    <cellStyle name="Normal 9 3 3 2 3 2 2" xfId="7868" xr:uid="{00000000-0005-0000-0000-000002200000}"/>
    <cellStyle name="Normal 9 3 3 2 3 2 2 2" xfId="26493" xr:uid="{51CB88B0-B4E2-40A7-973C-C580EC53D353}"/>
    <cellStyle name="Normal 9 3 3 2 3 2 2 3" xfId="17194" xr:uid="{DAE24772-D30B-4BE3-9D97-0705A6FDA0D6}"/>
    <cellStyle name="Normal 9 3 3 2 3 2 3" xfId="22276" xr:uid="{4841E56A-87C4-4DB8-B158-186A9A4F12FF}"/>
    <cellStyle name="Normal 9 3 3 2 3 2 4" xfId="12977" xr:uid="{0F1B477A-1244-4749-9642-7132925A7A83}"/>
    <cellStyle name="Normal 9 3 3 2 3 3" xfId="5723" xr:uid="{00000000-0005-0000-0000-000003200000}"/>
    <cellStyle name="Normal 9 3 3 2 3 3 2" xfId="24348" xr:uid="{0B371033-65FE-4F6D-957D-A3DCA5C86C16}"/>
    <cellStyle name="Normal 9 3 3 2 3 3 3" xfId="15049" xr:uid="{E4E56BE2-E883-4111-883C-56E7F857FA30}"/>
    <cellStyle name="Normal 9 3 3 2 3 4" xfId="20131" xr:uid="{B83B92D6-F48C-47E4-8E72-C860614D7ABD}"/>
    <cellStyle name="Normal 9 3 3 2 3 5" xfId="10832" xr:uid="{2D277238-3245-4C7E-89ED-6027691940CF}"/>
    <cellStyle name="Normal 9 3 3 2 4" xfId="1829" xr:uid="{00000000-0005-0000-0000-000004200000}"/>
    <cellStyle name="Normal 9 3 3 2 4 2" xfId="4059" xr:uid="{00000000-0005-0000-0000-000005200000}"/>
    <cellStyle name="Normal 9 3 3 2 4 2 2" xfId="8281" xr:uid="{00000000-0005-0000-0000-000006200000}"/>
    <cellStyle name="Normal 9 3 3 2 4 2 2 2" xfId="26906" xr:uid="{D6A9B119-A50F-45ED-9C42-3CEB3798FF82}"/>
    <cellStyle name="Normal 9 3 3 2 4 2 2 3" xfId="17607" xr:uid="{DDBECB8F-67C9-4868-9AFD-A5663A3E8500}"/>
    <cellStyle name="Normal 9 3 3 2 4 2 3" xfId="22689" xr:uid="{2475BE15-2AF1-46CA-B584-C0ED33E243F8}"/>
    <cellStyle name="Normal 9 3 3 2 4 2 4" xfId="13390" xr:uid="{70814D05-117E-431C-A066-567373CABB6B}"/>
    <cellStyle name="Normal 9 3 3 2 4 3" xfId="6136" xr:uid="{00000000-0005-0000-0000-000007200000}"/>
    <cellStyle name="Normal 9 3 3 2 4 3 2" xfId="24761" xr:uid="{ABCD8FF8-5FAA-4511-B403-22A79236D2BF}"/>
    <cellStyle name="Normal 9 3 3 2 4 3 3" xfId="15462" xr:uid="{2878BC34-FA10-4E27-A208-EA4B98FC5F7A}"/>
    <cellStyle name="Normal 9 3 3 2 4 4" xfId="20544" xr:uid="{B8E9C086-C486-4330-A9F3-6C0F823011B5}"/>
    <cellStyle name="Normal 9 3 3 2 4 5" xfId="11245" xr:uid="{5D59B0F6-B028-422A-8E25-6848CDA687AD}"/>
    <cellStyle name="Normal 9 3 3 2 5" xfId="2243" xr:uid="{00000000-0005-0000-0000-000008200000}"/>
    <cellStyle name="Normal 9 3 3 2 5 2" xfId="4472" xr:uid="{00000000-0005-0000-0000-000009200000}"/>
    <cellStyle name="Normal 9 3 3 2 5 2 2" xfId="8694" xr:uid="{00000000-0005-0000-0000-00000A200000}"/>
    <cellStyle name="Normal 9 3 3 2 5 2 2 2" xfId="27319" xr:uid="{2886F822-1593-40F6-8E5E-B1D86DFA784B}"/>
    <cellStyle name="Normal 9 3 3 2 5 2 2 3" xfId="18020" xr:uid="{3C7245BB-BA5F-40C9-A15C-8D024165DD6B}"/>
    <cellStyle name="Normal 9 3 3 2 5 2 3" xfId="23102" xr:uid="{EE885EA9-78E9-45CF-92CF-FFC322F049C3}"/>
    <cellStyle name="Normal 9 3 3 2 5 2 4" xfId="13803" xr:uid="{403044DC-39BA-47E2-9257-154AD2DF5369}"/>
    <cellStyle name="Normal 9 3 3 2 5 3" xfId="6549" xr:uid="{00000000-0005-0000-0000-00000B200000}"/>
    <cellStyle name="Normal 9 3 3 2 5 3 2" xfId="25174" xr:uid="{8F5B3999-6D63-41BC-B9CD-C4F92CFE0DF0}"/>
    <cellStyle name="Normal 9 3 3 2 5 3 3" xfId="15875" xr:uid="{1DF4885D-EDAB-4ADE-B06D-8F6422F49485}"/>
    <cellStyle name="Normal 9 3 3 2 5 4" xfId="20957" xr:uid="{747BCAC3-BB9A-472E-9F7C-162EB7E06969}"/>
    <cellStyle name="Normal 9 3 3 2 5 5" xfId="11658" xr:uid="{07AB519F-17A1-4963-AEC3-A3E58C99E81B}"/>
    <cellStyle name="Normal 9 3 3 2 6" xfId="2679" xr:uid="{00000000-0005-0000-0000-00000C200000}"/>
    <cellStyle name="Normal 9 3 3 2 6 2" xfId="6962" xr:uid="{00000000-0005-0000-0000-00000D200000}"/>
    <cellStyle name="Normal 9 3 3 2 6 2 2" xfId="25587" xr:uid="{E482B2D9-86B3-4F3C-AF0B-F9565E1A404B}"/>
    <cellStyle name="Normal 9 3 3 2 6 2 3" xfId="16288" xr:uid="{D80CCA8B-18EC-444F-8D5E-F6569446A452}"/>
    <cellStyle name="Normal 9 3 3 2 6 3" xfId="21370" xr:uid="{736A2761-C02B-4E98-9E7F-C51040A63994}"/>
    <cellStyle name="Normal 9 3 3 2 6 4" xfId="12071" xr:uid="{DB991057-520D-4253-8AD7-718BEEFE5D6D}"/>
    <cellStyle name="Normal 9 3 3 2 7" xfId="4897" xr:uid="{00000000-0005-0000-0000-00000E200000}"/>
    <cellStyle name="Normal 9 3 3 2 7 2" xfId="23522" xr:uid="{62FD0DB2-D527-4B5A-A926-AAFA966965EB}"/>
    <cellStyle name="Normal 9 3 3 2 7 3" xfId="14223" xr:uid="{DDC845CA-CF57-49DA-AFB1-B316E53199E7}"/>
    <cellStyle name="Normal 9 3 3 2 8" xfId="9087" xr:uid="{B1C8DB1F-59B6-4D6A-B3E7-0CFC4D29D9A9}"/>
    <cellStyle name="Normal 9 3 3 2 8 2" xfId="27710" xr:uid="{1DAA19BD-2964-4A8E-91FF-31FC804130D2}"/>
    <cellStyle name="Normal 9 3 3 2 8 3" xfId="18411" xr:uid="{8CD3219B-714A-4940-98C7-FB366CC07617}"/>
    <cellStyle name="Normal 9 3 3 2 9" xfId="19305" xr:uid="{EBF1B5F9-7884-4684-8FB8-2B1AC3CE07CE}"/>
    <cellStyle name="Normal 9 3 3 3" xfId="999" xr:uid="{00000000-0005-0000-0000-00000F200000}"/>
    <cellStyle name="Normal 9 3 3 3 2" xfId="3232" xr:uid="{00000000-0005-0000-0000-000010200000}"/>
    <cellStyle name="Normal 9 3 3 3 2 2" xfId="7454" xr:uid="{00000000-0005-0000-0000-000011200000}"/>
    <cellStyle name="Normal 9 3 3 3 2 2 2" xfId="26079" xr:uid="{6905648A-97BC-4A1D-AFF2-D9A0BCB87C1F}"/>
    <cellStyle name="Normal 9 3 3 3 2 2 3" xfId="16780" xr:uid="{36C633C1-BC90-48C7-B2DB-AC53D111E66F}"/>
    <cellStyle name="Normal 9 3 3 3 2 3" xfId="21862" xr:uid="{60BB575F-0EF3-4406-B284-4EB5D3CD3F6B}"/>
    <cellStyle name="Normal 9 3 3 3 2 4" xfId="12563" xr:uid="{32F90BD2-AABD-44E7-8CE0-B5D6567AAD0A}"/>
    <cellStyle name="Normal 9 3 3 3 3" xfId="5309" xr:uid="{00000000-0005-0000-0000-000012200000}"/>
    <cellStyle name="Normal 9 3 3 3 3 2" xfId="23934" xr:uid="{BDDBD73B-A780-48EF-B323-7CA1C96EB266}"/>
    <cellStyle name="Normal 9 3 3 3 3 3" xfId="14635" xr:uid="{FBF72D99-976A-4FC2-AB55-16B5CBF2D083}"/>
    <cellStyle name="Normal 9 3 3 3 4" xfId="9305" xr:uid="{F54F3A88-B268-4905-B4D1-34B996B920C6}"/>
    <cellStyle name="Normal 9 3 3 3 4 2" xfId="27919" xr:uid="{9DB5850E-9DF8-479F-83B6-87320DF4D00B}"/>
    <cellStyle name="Normal 9 3 3 3 4 3" xfId="18620" xr:uid="{403D827D-C9FD-4131-8641-9F81902FE3D3}"/>
    <cellStyle name="Normal 9 3 3 3 5" xfId="19717" xr:uid="{1FEA8889-B40F-47B8-AC29-571305D2E983}"/>
    <cellStyle name="Normal 9 3 3 3 6" xfId="10418" xr:uid="{06C61E34-60D4-42E1-8B05-B8E80714812E}"/>
    <cellStyle name="Normal 9 3 3 4" xfId="1415" xr:uid="{00000000-0005-0000-0000-000013200000}"/>
    <cellStyle name="Normal 9 3 3 4 2" xfId="3645" xr:uid="{00000000-0005-0000-0000-000014200000}"/>
    <cellStyle name="Normal 9 3 3 4 2 2" xfId="7867" xr:uid="{00000000-0005-0000-0000-000015200000}"/>
    <cellStyle name="Normal 9 3 3 4 2 2 2" xfId="26492" xr:uid="{B6273B26-FCB6-4AE5-9341-2EC4AB22168F}"/>
    <cellStyle name="Normal 9 3 3 4 2 2 3" xfId="17193" xr:uid="{692609EF-BB49-4AA9-8EAA-657619DCFA2F}"/>
    <cellStyle name="Normal 9 3 3 4 2 3" xfId="22275" xr:uid="{ADAB2B57-9739-4A6A-861A-70D4FC3086D4}"/>
    <cellStyle name="Normal 9 3 3 4 2 4" xfId="12976" xr:uid="{5CCF8679-E843-4C79-A7D2-3F314086369E}"/>
    <cellStyle name="Normal 9 3 3 4 3" xfId="5722" xr:uid="{00000000-0005-0000-0000-000016200000}"/>
    <cellStyle name="Normal 9 3 3 4 3 2" xfId="24347" xr:uid="{39A3FCB0-7C62-4E89-AB25-55D420CC847F}"/>
    <cellStyle name="Normal 9 3 3 4 3 3" xfId="15048" xr:uid="{5379FAE6-5805-4BB2-AA76-C47C3ACB3B01}"/>
    <cellStyle name="Normal 9 3 3 4 4" xfId="20130" xr:uid="{45340DCE-8296-418A-BD1C-C8D3F9A00ECD}"/>
    <cellStyle name="Normal 9 3 3 4 5" xfId="10831" xr:uid="{4FB0F757-9D67-482D-9056-1DCB39EF65BA}"/>
    <cellStyle name="Normal 9 3 3 5" xfId="1828" xr:uid="{00000000-0005-0000-0000-000017200000}"/>
    <cellStyle name="Normal 9 3 3 5 2" xfId="4058" xr:uid="{00000000-0005-0000-0000-000018200000}"/>
    <cellStyle name="Normal 9 3 3 5 2 2" xfId="8280" xr:uid="{00000000-0005-0000-0000-000019200000}"/>
    <cellStyle name="Normal 9 3 3 5 2 2 2" xfId="26905" xr:uid="{F12D865D-AFFF-416C-B5FC-CDF6DFC9B524}"/>
    <cellStyle name="Normal 9 3 3 5 2 2 3" xfId="17606" xr:uid="{D1D32972-BD16-4DB4-B9D1-739DB447E3AB}"/>
    <cellStyle name="Normal 9 3 3 5 2 3" xfId="22688" xr:uid="{CB8CEC80-7D89-4F39-A0FB-C2DE6780A4F5}"/>
    <cellStyle name="Normal 9 3 3 5 2 4" xfId="13389" xr:uid="{847910C5-0FB9-4CB4-B588-5AE4698C8F35}"/>
    <cellStyle name="Normal 9 3 3 5 3" xfId="6135" xr:uid="{00000000-0005-0000-0000-00001A200000}"/>
    <cellStyle name="Normal 9 3 3 5 3 2" xfId="24760" xr:uid="{133549FE-BA4B-4801-8276-7CD975C00D93}"/>
    <cellStyle name="Normal 9 3 3 5 3 3" xfId="15461" xr:uid="{E678BAEA-0FD7-4168-86F7-F58B56AFBEF0}"/>
    <cellStyle name="Normal 9 3 3 5 4" xfId="20543" xr:uid="{9E246EAB-DE67-4C7C-96B6-65A12876622C}"/>
    <cellStyle name="Normal 9 3 3 5 5" xfId="11244" xr:uid="{A9ADB5C0-120A-4AA4-ABC1-D293596F4CE4}"/>
    <cellStyle name="Normal 9 3 3 6" xfId="2242" xr:uid="{00000000-0005-0000-0000-00001B200000}"/>
    <cellStyle name="Normal 9 3 3 6 2" xfId="4471" xr:uid="{00000000-0005-0000-0000-00001C200000}"/>
    <cellStyle name="Normal 9 3 3 6 2 2" xfId="8693" xr:uid="{00000000-0005-0000-0000-00001D200000}"/>
    <cellStyle name="Normal 9 3 3 6 2 2 2" xfId="27318" xr:uid="{731D2090-C5D0-4FDA-9D3C-B44A3BECC807}"/>
    <cellStyle name="Normal 9 3 3 6 2 2 3" xfId="18019" xr:uid="{FF941209-44B7-4E58-88A5-62A3B4DD68AD}"/>
    <cellStyle name="Normal 9 3 3 6 2 3" xfId="23101" xr:uid="{B0569FBC-1036-499B-9781-35982304F437}"/>
    <cellStyle name="Normal 9 3 3 6 2 4" xfId="13802" xr:uid="{D480DE44-E4CB-4B8A-8AEE-9D27D342162C}"/>
    <cellStyle name="Normal 9 3 3 6 3" xfId="6548" xr:uid="{00000000-0005-0000-0000-00001E200000}"/>
    <cellStyle name="Normal 9 3 3 6 3 2" xfId="25173" xr:uid="{D2E2D706-0EDA-436D-9FB1-26E64B38E827}"/>
    <cellStyle name="Normal 9 3 3 6 3 3" xfId="15874" xr:uid="{F3779D7F-7E4E-4BB8-9B9F-159E78A363B3}"/>
    <cellStyle name="Normal 9 3 3 6 4" xfId="20956" xr:uid="{3DA4E2D9-8F7A-4EA3-A09E-3F580EAC9A2A}"/>
    <cellStyle name="Normal 9 3 3 6 5" xfId="11657" xr:uid="{186BC405-93AC-4A74-AA52-3B0B4E93B914}"/>
    <cellStyle name="Normal 9 3 3 7" xfId="2678" xr:uid="{00000000-0005-0000-0000-00001F200000}"/>
    <cellStyle name="Normal 9 3 3 7 2" xfId="6961" xr:uid="{00000000-0005-0000-0000-000020200000}"/>
    <cellStyle name="Normal 9 3 3 7 2 2" xfId="25586" xr:uid="{3DE580CC-C89F-4D8C-B565-6F142AF030D6}"/>
    <cellStyle name="Normal 9 3 3 7 2 3" xfId="16287" xr:uid="{12FC50FB-7A79-4DA8-A764-75F920FAA33D}"/>
    <cellStyle name="Normal 9 3 3 7 3" xfId="21369" xr:uid="{08DC5EEB-A395-45FF-9121-4C6F7BE96269}"/>
    <cellStyle name="Normal 9 3 3 7 4" xfId="12070" xr:uid="{64903A6F-E031-4D68-ADBA-D534FCFE669E}"/>
    <cellStyle name="Normal 9 3 3 8" xfId="4896" xr:uid="{00000000-0005-0000-0000-000021200000}"/>
    <cellStyle name="Normal 9 3 3 8 2" xfId="23521" xr:uid="{29A6EF90-C3DC-4CD3-8F8C-C637ABD267B6}"/>
    <cellStyle name="Normal 9 3 3 8 3" xfId="14222" xr:uid="{CA96127A-0548-4233-B01C-1E104899B83D}"/>
    <cellStyle name="Normal 9 3 3 9" xfId="8880" xr:uid="{36521590-FD5B-45F7-80A9-41BA557EA820}"/>
    <cellStyle name="Normal 9 3 3 9 2" xfId="27503" xr:uid="{5960ECE4-59F5-4194-B5C6-3DD55E9789AF}"/>
    <cellStyle name="Normal 9 3 3 9 3" xfId="18204" xr:uid="{877DFF25-F080-45C5-AC6E-9453A791F2F9}"/>
    <cellStyle name="Normal 9 3 4" xfId="534" xr:uid="{00000000-0005-0000-0000-000022200000}"/>
    <cellStyle name="Normal 9 3 4 10" xfId="10007" xr:uid="{99C853E8-DD31-48BF-9371-82B815D21834}"/>
    <cellStyle name="Normal 9 3 4 2" xfId="1001" xr:uid="{00000000-0005-0000-0000-000023200000}"/>
    <cellStyle name="Normal 9 3 4 2 2" xfId="3234" xr:uid="{00000000-0005-0000-0000-000024200000}"/>
    <cellStyle name="Normal 9 3 4 2 2 2" xfId="7456" xr:uid="{00000000-0005-0000-0000-000025200000}"/>
    <cellStyle name="Normal 9 3 4 2 2 2 2" xfId="26081" xr:uid="{E6997B49-DD0D-4ACC-A833-1D5F1800F9C2}"/>
    <cellStyle name="Normal 9 3 4 2 2 2 3" xfId="16782" xr:uid="{2652E6AA-3620-4EB3-AB06-5FE82C60223F}"/>
    <cellStyle name="Normal 9 3 4 2 2 3" xfId="21864" xr:uid="{1211FECB-6CA9-4E62-A27C-3574F4A73DCE}"/>
    <cellStyle name="Normal 9 3 4 2 2 4" xfId="12565" xr:uid="{178EDB59-A510-4089-9505-27385DF039D5}"/>
    <cellStyle name="Normal 9 3 4 2 3" xfId="5311" xr:uid="{00000000-0005-0000-0000-000026200000}"/>
    <cellStyle name="Normal 9 3 4 2 3 2" xfId="23936" xr:uid="{D03014F1-DA48-4299-8625-573AE83D878F}"/>
    <cellStyle name="Normal 9 3 4 2 3 3" xfId="14637" xr:uid="{F6D1EFE0-6E8C-46B3-8003-926E2B413E3D}"/>
    <cellStyle name="Normal 9 3 4 2 4" xfId="9409" xr:uid="{F8EFC02C-357C-44AD-9BF7-6459F3C595DA}"/>
    <cellStyle name="Normal 9 3 4 2 4 2" xfId="28023" xr:uid="{28B529D1-19DD-4DF2-B84C-2E8BA603CBC0}"/>
    <cellStyle name="Normal 9 3 4 2 4 3" xfId="18724" xr:uid="{72A7195E-497E-41A8-9728-32CE19E288A8}"/>
    <cellStyle name="Normal 9 3 4 2 5" xfId="19719" xr:uid="{E1570584-1297-4D6E-A00A-0C43EC986B96}"/>
    <cellStyle name="Normal 9 3 4 2 6" xfId="10420" xr:uid="{B35A01D6-FBCA-41E3-843F-83E48B6CE265}"/>
    <cellStyle name="Normal 9 3 4 3" xfId="1417" xr:uid="{00000000-0005-0000-0000-000027200000}"/>
    <cellStyle name="Normal 9 3 4 3 2" xfId="3647" xr:uid="{00000000-0005-0000-0000-000028200000}"/>
    <cellStyle name="Normal 9 3 4 3 2 2" xfId="7869" xr:uid="{00000000-0005-0000-0000-000029200000}"/>
    <cellStyle name="Normal 9 3 4 3 2 2 2" xfId="26494" xr:uid="{185B87C6-B9C0-4A6F-BE31-79FAF6160127}"/>
    <cellStyle name="Normal 9 3 4 3 2 2 3" xfId="17195" xr:uid="{2E552C6F-1F1D-44C7-962E-BBEB6D2E9288}"/>
    <cellStyle name="Normal 9 3 4 3 2 3" xfId="22277" xr:uid="{D07DB43E-959E-400E-8F20-3655DCDFDCCD}"/>
    <cellStyle name="Normal 9 3 4 3 2 4" xfId="12978" xr:uid="{F89C6D0C-7114-4F8E-B38C-29152FFDD802}"/>
    <cellStyle name="Normal 9 3 4 3 3" xfId="5724" xr:uid="{00000000-0005-0000-0000-00002A200000}"/>
    <cellStyle name="Normal 9 3 4 3 3 2" xfId="24349" xr:uid="{12B8AD56-6BCE-43F3-89C7-7030354E8AEC}"/>
    <cellStyle name="Normal 9 3 4 3 3 3" xfId="15050" xr:uid="{EB8DFAB4-408A-4023-881D-E8B16A2F7F43}"/>
    <cellStyle name="Normal 9 3 4 3 4" xfId="20132" xr:uid="{69C8A2D5-1E1A-4BF0-900E-822FF51751EC}"/>
    <cellStyle name="Normal 9 3 4 3 5" xfId="10833" xr:uid="{104B02FF-1EAB-49C5-837C-A8FBC215336E}"/>
    <cellStyle name="Normal 9 3 4 4" xfId="1830" xr:uid="{00000000-0005-0000-0000-00002B200000}"/>
    <cellStyle name="Normal 9 3 4 4 2" xfId="4060" xr:uid="{00000000-0005-0000-0000-00002C200000}"/>
    <cellStyle name="Normal 9 3 4 4 2 2" xfId="8282" xr:uid="{00000000-0005-0000-0000-00002D200000}"/>
    <cellStyle name="Normal 9 3 4 4 2 2 2" xfId="26907" xr:uid="{8BFF6D7A-9777-4239-BDE8-D8655E72AE97}"/>
    <cellStyle name="Normal 9 3 4 4 2 2 3" xfId="17608" xr:uid="{24EE1C89-A3CB-45C5-8F93-5FA9734E85F3}"/>
    <cellStyle name="Normal 9 3 4 4 2 3" xfId="22690" xr:uid="{81E31D4A-D860-41BB-BD4A-19C203B51B36}"/>
    <cellStyle name="Normal 9 3 4 4 2 4" xfId="13391" xr:uid="{FBE586AA-CBAA-46F4-AAED-3CD1DC1DB052}"/>
    <cellStyle name="Normal 9 3 4 4 3" xfId="6137" xr:uid="{00000000-0005-0000-0000-00002E200000}"/>
    <cellStyle name="Normal 9 3 4 4 3 2" xfId="24762" xr:uid="{11073254-711B-4AB9-AB53-15F2D832FFCD}"/>
    <cellStyle name="Normal 9 3 4 4 3 3" xfId="15463" xr:uid="{644ED86D-BCF0-4553-998B-42FC4D38A277}"/>
    <cellStyle name="Normal 9 3 4 4 4" xfId="20545" xr:uid="{B7E22C55-279B-4F19-BD63-A5A3EDD60BC6}"/>
    <cellStyle name="Normal 9 3 4 4 5" xfId="11246" xr:uid="{FB956B44-1D5B-4869-A9F9-EA0F73E9A846}"/>
    <cellStyle name="Normal 9 3 4 5" xfId="2244" xr:uid="{00000000-0005-0000-0000-00002F200000}"/>
    <cellStyle name="Normal 9 3 4 5 2" xfId="4473" xr:uid="{00000000-0005-0000-0000-000030200000}"/>
    <cellStyle name="Normal 9 3 4 5 2 2" xfId="8695" xr:uid="{00000000-0005-0000-0000-000031200000}"/>
    <cellStyle name="Normal 9 3 4 5 2 2 2" xfId="27320" xr:uid="{D938D2EF-4BF5-4D7E-ABEF-844F4B4CA27A}"/>
    <cellStyle name="Normal 9 3 4 5 2 2 3" xfId="18021" xr:uid="{09D0EC7B-6C78-46BE-937F-E74F2150C164}"/>
    <cellStyle name="Normal 9 3 4 5 2 3" xfId="23103" xr:uid="{70CA29A4-E695-4DD6-93F2-EFE9D22F2BF5}"/>
    <cellStyle name="Normal 9 3 4 5 2 4" xfId="13804" xr:uid="{31703DBF-AFCA-4F44-9F9E-1A1146E37759}"/>
    <cellStyle name="Normal 9 3 4 5 3" xfId="6550" xr:uid="{00000000-0005-0000-0000-000032200000}"/>
    <cellStyle name="Normal 9 3 4 5 3 2" xfId="25175" xr:uid="{E48B2D22-6922-41D8-AC96-9BFD7CDF5D28}"/>
    <cellStyle name="Normal 9 3 4 5 3 3" xfId="15876" xr:uid="{1C55276F-5B2C-4223-A708-5CF7CBA199DA}"/>
    <cellStyle name="Normal 9 3 4 5 4" xfId="20958" xr:uid="{9BBB2F19-90D2-4D70-AC86-B2B249DC3E7B}"/>
    <cellStyle name="Normal 9 3 4 5 5" xfId="11659" xr:uid="{8AABC999-9D3F-42AA-9C36-B65EA4E53490}"/>
    <cellStyle name="Normal 9 3 4 6" xfId="2680" xr:uid="{00000000-0005-0000-0000-000033200000}"/>
    <cellStyle name="Normal 9 3 4 6 2" xfId="6963" xr:uid="{00000000-0005-0000-0000-000034200000}"/>
    <cellStyle name="Normal 9 3 4 6 2 2" xfId="25588" xr:uid="{E168000C-7458-4252-8107-61C40F06931F}"/>
    <cellStyle name="Normal 9 3 4 6 2 3" xfId="16289" xr:uid="{317C2E7C-AC0F-4BD2-AD77-5EB6FCAC2343}"/>
    <cellStyle name="Normal 9 3 4 6 3" xfId="21371" xr:uid="{D5141E28-18DF-4233-8781-5CF46A8A1F95}"/>
    <cellStyle name="Normal 9 3 4 6 4" xfId="12072" xr:uid="{DAE8A527-AE81-421D-BF13-5D0719B8E1A4}"/>
    <cellStyle name="Normal 9 3 4 7" xfId="4898" xr:uid="{00000000-0005-0000-0000-000035200000}"/>
    <cellStyle name="Normal 9 3 4 7 2" xfId="23523" xr:uid="{724B1543-6247-4395-AB26-3FBFA9EBB6E2}"/>
    <cellStyle name="Normal 9 3 4 7 3" xfId="14224" xr:uid="{0B46B4B0-B362-41C9-B4D8-14F428A4917F}"/>
    <cellStyle name="Normal 9 3 4 8" xfId="8984" xr:uid="{A39B104A-EAEF-4D5B-B504-6104111E924B}"/>
    <cellStyle name="Normal 9 3 4 8 2" xfId="27607" xr:uid="{7C4DFF85-0ED4-431F-B1A0-964435D4CB28}"/>
    <cellStyle name="Normal 9 3 4 8 3" xfId="18308" xr:uid="{469C4BBA-8601-453C-A2C6-F304FD184B15}"/>
    <cellStyle name="Normal 9 3 4 9" xfId="19306" xr:uid="{D0AA0A31-E7B4-4E1E-B13A-3412EB697E73}"/>
    <cellStyle name="Normal 9 3 5" xfId="994" xr:uid="{00000000-0005-0000-0000-000036200000}"/>
    <cellStyle name="Normal 9 3 5 2" xfId="3227" xr:uid="{00000000-0005-0000-0000-000037200000}"/>
    <cellStyle name="Normal 9 3 5 2 2" xfId="7449" xr:uid="{00000000-0005-0000-0000-000038200000}"/>
    <cellStyle name="Normal 9 3 5 2 2 2" xfId="26074" xr:uid="{7D1EA73B-D897-4E1A-B939-DA2EAE0571E7}"/>
    <cellStyle name="Normal 9 3 5 2 2 3" xfId="16775" xr:uid="{626283FC-52B0-469A-83CC-FBC7DD82A1C1}"/>
    <cellStyle name="Normal 9 3 5 2 3" xfId="21857" xr:uid="{5FC3E5BA-416B-4FFA-AB95-D96CF7945AF8}"/>
    <cellStyle name="Normal 9 3 5 2 4" xfId="12558" xr:uid="{A7EDF2BE-FFC9-469F-B6DC-3E5EEF783BC2}"/>
    <cellStyle name="Normal 9 3 5 3" xfId="5304" xr:uid="{00000000-0005-0000-0000-000039200000}"/>
    <cellStyle name="Normal 9 3 5 3 2" xfId="23929" xr:uid="{723FA285-0728-4A76-85A8-A2639D44D540}"/>
    <cellStyle name="Normal 9 3 5 3 3" xfId="14630" xr:uid="{17E9C76E-F35E-44D5-BA00-D4CE82D0217F}"/>
    <cellStyle name="Normal 9 3 5 4" xfId="9201" xr:uid="{46D523D7-8DEB-46FB-8F1C-8CE8C2FC3AD3}"/>
    <cellStyle name="Normal 9 3 5 4 2" xfId="27816" xr:uid="{874CD57F-3C95-4470-8FCA-C1999A80894C}"/>
    <cellStyle name="Normal 9 3 5 4 3" xfId="18517" xr:uid="{77BD8588-CF4C-4261-A8E3-5A3F54B54F53}"/>
    <cellStyle name="Normal 9 3 5 5" xfId="19712" xr:uid="{1BE3223A-C126-44CC-919D-FE885883D109}"/>
    <cellStyle name="Normal 9 3 5 6" xfId="10413" xr:uid="{E9B797A8-C597-4A2E-AB98-8B08C4FD5EB5}"/>
    <cellStyle name="Normal 9 3 6" xfId="1410" xr:uid="{00000000-0005-0000-0000-00003A200000}"/>
    <cellStyle name="Normal 9 3 6 2" xfId="3640" xr:uid="{00000000-0005-0000-0000-00003B200000}"/>
    <cellStyle name="Normal 9 3 6 2 2" xfId="7862" xr:uid="{00000000-0005-0000-0000-00003C200000}"/>
    <cellStyle name="Normal 9 3 6 2 2 2" xfId="26487" xr:uid="{1EEA9F84-CE20-4E06-A0F4-CB72A094C3F9}"/>
    <cellStyle name="Normal 9 3 6 2 2 3" xfId="17188" xr:uid="{78FDCA87-53C1-46DA-883D-E297EA7BDD71}"/>
    <cellStyle name="Normal 9 3 6 2 3" xfId="22270" xr:uid="{64626F72-609E-444B-A172-69F16629243A}"/>
    <cellStyle name="Normal 9 3 6 2 4" xfId="12971" xr:uid="{45A76C38-30D3-402C-8E4F-0214A8056EB9}"/>
    <cellStyle name="Normal 9 3 6 3" xfId="5717" xr:uid="{00000000-0005-0000-0000-00003D200000}"/>
    <cellStyle name="Normal 9 3 6 3 2" xfId="24342" xr:uid="{5ADC06F8-D996-44CB-98F7-29BB2153C002}"/>
    <cellStyle name="Normal 9 3 6 3 3" xfId="15043" xr:uid="{62F35548-B732-4F39-B565-071BABBAAE83}"/>
    <cellStyle name="Normal 9 3 6 4" xfId="20125" xr:uid="{FCFC9780-C82F-49E4-8FF3-84B8BB7D6B00}"/>
    <cellStyle name="Normal 9 3 6 5" xfId="10826" xr:uid="{06F9F42A-B708-4D60-BDFA-1EFA88871DD3}"/>
    <cellStyle name="Normal 9 3 7" xfId="1823" xr:uid="{00000000-0005-0000-0000-00003E200000}"/>
    <cellStyle name="Normal 9 3 7 2" xfId="4053" xr:uid="{00000000-0005-0000-0000-00003F200000}"/>
    <cellStyle name="Normal 9 3 7 2 2" xfId="8275" xr:uid="{00000000-0005-0000-0000-000040200000}"/>
    <cellStyle name="Normal 9 3 7 2 2 2" xfId="26900" xr:uid="{73E4C233-5C87-4794-8286-B8EAD3B8A1F7}"/>
    <cellStyle name="Normal 9 3 7 2 2 3" xfId="17601" xr:uid="{D19C4A92-F41A-4C1A-A829-B5D1F88BFCEF}"/>
    <cellStyle name="Normal 9 3 7 2 3" xfId="22683" xr:uid="{8BDE7F49-A0CA-4BCB-B0C2-3F8D0C0B3238}"/>
    <cellStyle name="Normal 9 3 7 2 4" xfId="13384" xr:uid="{042269DB-C01E-44AA-9976-759A3F63F5A0}"/>
    <cellStyle name="Normal 9 3 7 3" xfId="6130" xr:uid="{00000000-0005-0000-0000-000041200000}"/>
    <cellStyle name="Normal 9 3 7 3 2" xfId="24755" xr:uid="{4EED0D63-2030-470D-BDCD-BE9463E536D0}"/>
    <cellStyle name="Normal 9 3 7 3 3" xfId="15456" xr:uid="{01ABEE02-8556-4505-881F-B7ABC16C2B77}"/>
    <cellStyle name="Normal 9 3 7 4" xfId="20538" xr:uid="{9B696FB2-63B3-4D93-AE60-F91FCDA54617}"/>
    <cellStyle name="Normal 9 3 7 5" xfId="11239" xr:uid="{153C9BA1-8916-40F8-8B7D-AA1F398C9F1F}"/>
    <cellStyle name="Normal 9 3 8" xfId="2237" xr:uid="{00000000-0005-0000-0000-000042200000}"/>
    <cellStyle name="Normal 9 3 8 2" xfId="4466" xr:uid="{00000000-0005-0000-0000-000043200000}"/>
    <cellStyle name="Normal 9 3 8 2 2" xfId="8688" xr:uid="{00000000-0005-0000-0000-000044200000}"/>
    <cellStyle name="Normal 9 3 8 2 2 2" xfId="27313" xr:uid="{36C932AC-F4EB-4F83-981E-CC18BE1DC5D6}"/>
    <cellStyle name="Normal 9 3 8 2 2 3" xfId="18014" xr:uid="{0E3B316C-7C12-430B-B603-1DBF25DC7930}"/>
    <cellStyle name="Normal 9 3 8 2 3" xfId="23096" xr:uid="{4C710875-E056-49E0-9AE5-1ED0535ED52D}"/>
    <cellStyle name="Normal 9 3 8 2 4" xfId="13797" xr:uid="{DF50241E-69E5-4538-9CB9-B34F1CDED8FA}"/>
    <cellStyle name="Normal 9 3 8 3" xfId="6543" xr:uid="{00000000-0005-0000-0000-000045200000}"/>
    <cellStyle name="Normal 9 3 8 3 2" xfId="25168" xr:uid="{C37DABCD-0626-4444-B837-9488F18AA38C}"/>
    <cellStyle name="Normal 9 3 8 3 3" xfId="15869" xr:uid="{291100FB-ED2B-41BE-9F6D-5AF50AEB1AFA}"/>
    <cellStyle name="Normal 9 3 8 4" xfId="20951" xr:uid="{AE68DB63-AE26-4FBF-84D3-D1CEC9D856A8}"/>
    <cellStyle name="Normal 9 3 8 5" xfId="11652" xr:uid="{3906411D-F1ED-4F1C-894B-A3EFB09E81FE}"/>
    <cellStyle name="Normal 9 3 9" xfId="2673" xr:uid="{00000000-0005-0000-0000-000046200000}"/>
    <cellStyle name="Normal 9 3 9 2" xfId="6956" xr:uid="{00000000-0005-0000-0000-000047200000}"/>
    <cellStyle name="Normal 9 3 9 2 2" xfId="25581" xr:uid="{A65A8D3F-C6A0-4BAD-863A-16310BA4D13D}"/>
    <cellStyle name="Normal 9 3 9 2 3" xfId="16282" xr:uid="{4F1FE8C5-2ED2-457D-9972-3E7127171F6F}"/>
    <cellStyle name="Normal 9 3 9 3" xfId="21364" xr:uid="{57475011-A654-49FD-8C59-28D3678CD4EB}"/>
    <cellStyle name="Normal 9 3 9 4" xfId="12065" xr:uid="{6F0FF4B4-B9DD-4FFE-8BE5-9D2EF8CA37A2}"/>
    <cellStyle name="Normal 9 4" xfId="535" xr:uid="{00000000-0005-0000-0000-000048200000}"/>
    <cellStyle name="Normal 9 4 2" xfId="1002" xr:uid="{00000000-0005-0000-0000-000049200000}"/>
    <cellStyle name="Normal 9 5" xfId="536" xr:uid="{00000000-0005-0000-0000-00004A200000}"/>
    <cellStyle name="Normal 9 5 10" xfId="19307" xr:uid="{46509FAF-D0FC-4884-82D8-96CA3E145BCA}"/>
    <cellStyle name="Normal 9 5 11" xfId="10008" xr:uid="{CD55655B-EF28-430D-9030-E03AFA31C6CB}"/>
    <cellStyle name="Normal 9 5 2" xfId="537" xr:uid="{00000000-0005-0000-0000-00004B200000}"/>
    <cellStyle name="Normal 9 5 2 10" xfId="10009" xr:uid="{26EE5A1C-0669-4FD2-8576-C8C169AC9C10}"/>
    <cellStyle name="Normal 9 5 2 2" xfId="1004" xr:uid="{00000000-0005-0000-0000-00004C200000}"/>
    <cellStyle name="Normal 9 5 2 2 2" xfId="3236" xr:uid="{00000000-0005-0000-0000-00004D200000}"/>
    <cellStyle name="Normal 9 5 2 2 2 2" xfId="7458" xr:uid="{00000000-0005-0000-0000-00004E200000}"/>
    <cellStyle name="Normal 9 5 2 2 2 2 2" xfId="26083" xr:uid="{32950348-B960-4738-B6F3-900265A99A27}"/>
    <cellStyle name="Normal 9 5 2 2 2 2 3" xfId="16784" xr:uid="{DE9CADAD-392B-4C8C-84EB-7458AB3BA52E}"/>
    <cellStyle name="Normal 9 5 2 2 2 3" xfId="21866" xr:uid="{18C39700-9080-4A22-A01F-6E80F192168C}"/>
    <cellStyle name="Normal 9 5 2 2 2 4" xfId="12567" xr:uid="{16FA707F-E903-4757-9071-643C9037CB41}"/>
    <cellStyle name="Normal 9 5 2 2 3" xfId="5313" xr:uid="{00000000-0005-0000-0000-00004F200000}"/>
    <cellStyle name="Normal 9 5 2 2 3 2" xfId="23938" xr:uid="{23D102A0-B19B-404E-B366-E90F5F03CA6F}"/>
    <cellStyle name="Normal 9 5 2 2 3 3" xfId="14639" xr:uid="{A8535B07-0B89-4A01-8F16-E121D36E846A}"/>
    <cellStyle name="Normal 9 5 2 2 4" xfId="9480" xr:uid="{BC9702BE-C2B3-450A-99DF-6FFE7C7A82FD}"/>
    <cellStyle name="Normal 9 5 2 2 4 2" xfId="28094" xr:uid="{BE83766E-F1A4-40C6-AA3F-819EAD793BCC}"/>
    <cellStyle name="Normal 9 5 2 2 4 3" xfId="18795" xr:uid="{5D61FD52-0A2D-4CD0-BC76-1745AD5BE742}"/>
    <cellStyle name="Normal 9 5 2 2 5" xfId="19721" xr:uid="{B89253E8-FEF7-491A-957A-DEA79485B738}"/>
    <cellStyle name="Normal 9 5 2 2 6" xfId="10422" xr:uid="{357CC873-A205-493F-9076-B2B23CE264BD}"/>
    <cellStyle name="Normal 9 5 2 3" xfId="1419" xr:uid="{00000000-0005-0000-0000-000050200000}"/>
    <cellStyle name="Normal 9 5 2 3 2" xfId="3649" xr:uid="{00000000-0005-0000-0000-000051200000}"/>
    <cellStyle name="Normal 9 5 2 3 2 2" xfId="7871" xr:uid="{00000000-0005-0000-0000-000052200000}"/>
    <cellStyle name="Normal 9 5 2 3 2 2 2" xfId="26496" xr:uid="{1E1E5B44-ACA3-4108-BE9C-A0BC06976936}"/>
    <cellStyle name="Normal 9 5 2 3 2 2 3" xfId="17197" xr:uid="{9666FFEE-BEDF-4E7A-A50B-314E414F736A}"/>
    <cellStyle name="Normal 9 5 2 3 2 3" xfId="22279" xr:uid="{02173757-903C-4C1E-8ECB-8EC39E78C339}"/>
    <cellStyle name="Normal 9 5 2 3 2 4" xfId="12980" xr:uid="{C25B6BB6-5283-4274-BF9B-AB3432F9CA51}"/>
    <cellStyle name="Normal 9 5 2 3 3" xfId="5726" xr:uid="{00000000-0005-0000-0000-000053200000}"/>
    <cellStyle name="Normal 9 5 2 3 3 2" xfId="24351" xr:uid="{20738CAC-08B2-4788-B2A4-2ADE2A4E5716}"/>
    <cellStyle name="Normal 9 5 2 3 3 3" xfId="15052" xr:uid="{24AA6C9B-E450-43C8-B1E5-60E1F1C949BC}"/>
    <cellStyle name="Normal 9 5 2 3 4" xfId="20134" xr:uid="{A7261FBD-58BE-4BB2-806D-9F92125FC175}"/>
    <cellStyle name="Normal 9 5 2 3 5" xfId="10835" xr:uid="{B20969DE-5311-427E-A4A6-34C99F79B2A3}"/>
    <cellStyle name="Normal 9 5 2 4" xfId="1832" xr:uid="{00000000-0005-0000-0000-000054200000}"/>
    <cellStyle name="Normal 9 5 2 4 2" xfId="4062" xr:uid="{00000000-0005-0000-0000-000055200000}"/>
    <cellStyle name="Normal 9 5 2 4 2 2" xfId="8284" xr:uid="{00000000-0005-0000-0000-000056200000}"/>
    <cellStyle name="Normal 9 5 2 4 2 2 2" xfId="26909" xr:uid="{967AFC64-D6B5-49D9-A66A-5DE2578E3D81}"/>
    <cellStyle name="Normal 9 5 2 4 2 2 3" xfId="17610" xr:uid="{D5225ADC-71C9-49FE-A7E1-93D4CA9E3D02}"/>
    <cellStyle name="Normal 9 5 2 4 2 3" xfId="22692" xr:uid="{D03AEDD6-CBBF-4291-A0DD-251A18ADFE57}"/>
    <cellStyle name="Normal 9 5 2 4 2 4" xfId="13393" xr:uid="{FC9EE042-7B41-40E3-9194-DFAABA86CF25}"/>
    <cellStyle name="Normal 9 5 2 4 3" xfId="6139" xr:uid="{00000000-0005-0000-0000-000057200000}"/>
    <cellStyle name="Normal 9 5 2 4 3 2" xfId="24764" xr:uid="{3ECB660E-F867-4B88-A75F-9865C2051475}"/>
    <cellStyle name="Normal 9 5 2 4 3 3" xfId="15465" xr:uid="{4FD305A9-1724-4DB6-8154-64721A8D75DA}"/>
    <cellStyle name="Normal 9 5 2 4 4" xfId="20547" xr:uid="{654CD842-A8D7-46F4-9430-8D7814F82AE8}"/>
    <cellStyle name="Normal 9 5 2 4 5" xfId="11248" xr:uid="{C100D5C5-65F5-4983-8504-CB16F8E06978}"/>
    <cellStyle name="Normal 9 5 2 5" xfId="2246" xr:uid="{00000000-0005-0000-0000-000058200000}"/>
    <cellStyle name="Normal 9 5 2 5 2" xfId="4475" xr:uid="{00000000-0005-0000-0000-000059200000}"/>
    <cellStyle name="Normal 9 5 2 5 2 2" xfId="8697" xr:uid="{00000000-0005-0000-0000-00005A200000}"/>
    <cellStyle name="Normal 9 5 2 5 2 2 2" xfId="27322" xr:uid="{1525A8F4-0A19-4BF5-B9A4-F7653CD0243B}"/>
    <cellStyle name="Normal 9 5 2 5 2 2 3" xfId="18023" xr:uid="{9272626B-3186-44E7-B721-61985825B51D}"/>
    <cellStyle name="Normal 9 5 2 5 2 3" xfId="23105" xr:uid="{C43B6891-78E6-4433-8769-C5EB32E7B1F7}"/>
    <cellStyle name="Normal 9 5 2 5 2 4" xfId="13806" xr:uid="{1639DC6B-277F-40BC-BADB-94692953A995}"/>
    <cellStyle name="Normal 9 5 2 5 3" xfId="6552" xr:uid="{00000000-0005-0000-0000-00005B200000}"/>
    <cellStyle name="Normal 9 5 2 5 3 2" xfId="25177" xr:uid="{1461D0F5-7648-4374-AFC8-68CA13758991}"/>
    <cellStyle name="Normal 9 5 2 5 3 3" xfId="15878" xr:uid="{B2EC3F77-AB7D-4869-BEE2-54F1B584F3A4}"/>
    <cellStyle name="Normal 9 5 2 5 4" xfId="20960" xr:uid="{950D3EA6-BF56-47BC-B871-0AE53139EED5}"/>
    <cellStyle name="Normal 9 5 2 5 5" xfId="11661" xr:uid="{5E321D17-7571-43A5-ADD0-423F673D285A}"/>
    <cellStyle name="Normal 9 5 2 6" xfId="2682" xr:uid="{00000000-0005-0000-0000-00005C200000}"/>
    <cellStyle name="Normal 9 5 2 6 2" xfId="6965" xr:uid="{00000000-0005-0000-0000-00005D200000}"/>
    <cellStyle name="Normal 9 5 2 6 2 2" xfId="25590" xr:uid="{5A07D16E-481F-4D74-9F02-FB7AFECFE4BF}"/>
    <cellStyle name="Normal 9 5 2 6 2 3" xfId="16291" xr:uid="{31ABC7BA-7366-451B-BBC3-B23F04FEBE43}"/>
    <cellStyle name="Normal 9 5 2 6 3" xfId="21373" xr:uid="{7FBD216B-4A43-489F-AAAB-1A4D1C7A0FAF}"/>
    <cellStyle name="Normal 9 5 2 6 4" xfId="12074" xr:uid="{EA442704-F636-4B1F-BA52-CCCA9631545C}"/>
    <cellStyle name="Normal 9 5 2 7" xfId="4900" xr:uid="{00000000-0005-0000-0000-00005E200000}"/>
    <cellStyle name="Normal 9 5 2 7 2" xfId="23525" xr:uid="{F6784642-B8D3-4A9F-81F5-08413BF7A389}"/>
    <cellStyle name="Normal 9 5 2 7 3" xfId="14226" xr:uid="{0A0E7741-DC24-445C-86F9-A40375CFA785}"/>
    <cellStyle name="Normal 9 5 2 8" xfId="9055" xr:uid="{3DD071E2-A4B3-45E3-9F20-3C2D5AEE5CB2}"/>
    <cellStyle name="Normal 9 5 2 8 2" xfId="27678" xr:uid="{8FEB4042-9FB5-47A7-8CD1-5DF20CF83A5C}"/>
    <cellStyle name="Normal 9 5 2 8 3" xfId="18379" xr:uid="{A6EF3B65-9E90-42C1-BA3E-98BC565BAFAC}"/>
    <cellStyle name="Normal 9 5 2 9" xfId="19308" xr:uid="{B1D88CAD-D422-4E91-B669-0830838BDF99}"/>
    <cellStyle name="Normal 9 5 3" xfId="1003" xr:uid="{00000000-0005-0000-0000-00005F200000}"/>
    <cellStyle name="Normal 9 5 3 2" xfId="3235" xr:uid="{00000000-0005-0000-0000-000060200000}"/>
    <cellStyle name="Normal 9 5 3 2 2" xfId="7457" xr:uid="{00000000-0005-0000-0000-000061200000}"/>
    <cellStyle name="Normal 9 5 3 2 2 2" xfId="26082" xr:uid="{EF8B1BF3-0EDC-4B40-AD5D-7839A4E9B9DF}"/>
    <cellStyle name="Normal 9 5 3 2 2 3" xfId="16783" xr:uid="{88515D0E-0AE3-4D7B-96AA-81919E45E9FA}"/>
    <cellStyle name="Normal 9 5 3 2 3" xfId="21865" xr:uid="{588C164E-C6E5-4AD0-A080-3EA5F7281E5E}"/>
    <cellStyle name="Normal 9 5 3 2 4" xfId="12566" xr:uid="{9C533F3A-6BDE-4180-8E0C-4531B4D16F00}"/>
    <cellStyle name="Normal 9 5 3 3" xfId="5312" xr:uid="{00000000-0005-0000-0000-000062200000}"/>
    <cellStyle name="Normal 9 5 3 3 2" xfId="23937" xr:uid="{37E93BBC-26F1-45C9-A745-3812A5FC66C5}"/>
    <cellStyle name="Normal 9 5 3 3 3" xfId="14638" xr:uid="{F19D25FA-D105-4477-B7B0-52D719C96782}"/>
    <cellStyle name="Normal 9 5 3 4" xfId="9273" xr:uid="{AE6CB61B-02C5-436E-A328-3B2AC8AC9E53}"/>
    <cellStyle name="Normal 9 5 3 4 2" xfId="27887" xr:uid="{98CBE359-BA52-4131-BACB-411FE514E9A6}"/>
    <cellStyle name="Normal 9 5 3 4 3" xfId="18588" xr:uid="{A63E0638-2BD8-452D-8C48-A6E2E689A624}"/>
    <cellStyle name="Normal 9 5 3 5" xfId="19720" xr:uid="{B9E302B7-69A2-4BD9-A043-28DF0366E41C}"/>
    <cellStyle name="Normal 9 5 3 6" xfId="10421" xr:uid="{5B9D6D7E-833E-4A42-9A1E-8220025AF8DF}"/>
    <cellStyle name="Normal 9 5 4" xfId="1418" xr:uid="{00000000-0005-0000-0000-000063200000}"/>
    <cellStyle name="Normal 9 5 4 2" xfId="3648" xr:uid="{00000000-0005-0000-0000-000064200000}"/>
    <cellStyle name="Normal 9 5 4 2 2" xfId="7870" xr:uid="{00000000-0005-0000-0000-000065200000}"/>
    <cellStyle name="Normal 9 5 4 2 2 2" xfId="26495" xr:uid="{BD6CFBD0-5E1A-4986-AA22-F56C4A8E8DD7}"/>
    <cellStyle name="Normal 9 5 4 2 2 3" xfId="17196" xr:uid="{970A827E-EB4A-468C-9D7A-26CD8DA20191}"/>
    <cellStyle name="Normal 9 5 4 2 3" xfId="22278" xr:uid="{41D8E826-0C6C-40B3-8A4B-C8E023C1364A}"/>
    <cellStyle name="Normal 9 5 4 2 4" xfId="12979" xr:uid="{E53F4A48-C51A-4533-A173-7AFA0B166123}"/>
    <cellStyle name="Normal 9 5 4 3" xfId="5725" xr:uid="{00000000-0005-0000-0000-000066200000}"/>
    <cellStyle name="Normal 9 5 4 3 2" xfId="24350" xr:uid="{11868C85-1B87-4A5D-9E61-E7F165C4FA38}"/>
    <cellStyle name="Normal 9 5 4 3 3" xfId="15051" xr:uid="{DD8D61C9-F137-4BB7-A1B9-0D36E58A7699}"/>
    <cellStyle name="Normal 9 5 4 4" xfId="20133" xr:uid="{6A7FB308-B4F8-4313-9EC7-A9C3A52A0797}"/>
    <cellStyle name="Normal 9 5 4 5" xfId="10834" xr:uid="{E7358BFA-966B-48CC-B07F-B4C83A2315A1}"/>
    <cellStyle name="Normal 9 5 5" xfId="1831" xr:uid="{00000000-0005-0000-0000-000067200000}"/>
    <cellStyle name="Normal 9 5 5 2" xfId="4061" xr:uid="{00000000-0005-0000-0000-000068200000}"/>
    <cellStyle name="Normal 9 5 5 2 2" xfId="8283" xr:uid="{00000000-0005-0000-0000-000069200000}"/>
    <cellStyle name="Normal 9 5 5 2 2 2" xfId="26908" xr:uid="{B450AE79-8BC9-4373-974A-F330A337E80A}"/>
    <cellStyle name="Normal 9 5 5 2 2 3" xfId="17609" xr:uid="{2AEECE7C-171A-4BBD-B9F2-F8D48D285F4B}"/>
    <cellStyle name="Normal 9 5 5 2 3" xfId="22691" xr:uid="{811193A0-6B1D-4D5C-99BE-FFDAAB3CFBDA}"/>
    <cellStyle name="Normal 9 5 5 2 4" xfId="13392" xr:uid="{90A5F62F-46B3-4973-9883-02D818C5A585}"/>
    <cellStyle name="Normal 9 5 5 3" xfId="6138" xr:uid="{00000000-0005-0000-0000-00006A200000}"/>
    <cellStyle name="Normal 9 5 5 3 2" xfId="24763" xr:uid="{1B8355DF-9DF9-4BBF-870A-1247310FF026}"/>
    <cellStyle name="Normal 9 5 5 3 3" xfId="15464" xr:uid="{A392BB22-C358-412F-BC32-C0DEF1F1BF39}"/>
    <cellStyle name="Normal 9 5 5 4" xfId="20546" xr:uid="{0DDB3D71-07FE-4B6E-A0F2-94A26D72A33B}"/>
    <cellStyle name="Normal 9 5 5 5" xfId="11247" xr:uid="{C879CAB3-C77D-471C-AAE1-822EDF11D7C2}"/>
    <cellStyle name="Normal 9 5 6" xfId="2245" xr:uid="{00000000-0005-0000-0000-00006B200000}"/>
    <cellStyle name="Normal 9 5 6 2" xfId="4474" xr:uid="{00000000-0005-0000-0000-00006C200000}"/>
    <cellStyle name="Normal 9 5 6 2 2" xfId="8696" xr:uid="{00000000-0005-0000-0000-00006D200000}"/>
    <cellStyle name="Normal 9 5 6 2 2 2" xfId="27321" xr:uid="{391CA877-6D53-4F80-BA30-C1D54F114EFC}"/>
    <cellStyle name="Normal 9 5 6 2 2 3" xfId="18022" xr:uid="{11DF7F73-5466-4666-9E4C-818E8FACC3FD}"/>
    <cellStyle name="Normal 9 5 6 2 3" xfId="23104" xr:uid="{54296226-4993-4553-A818-2B9786C49532}"/>
    <cellStyle name="Normal 9 5 6 2 4" xfId="13805" xr:uid="{DA000F64-148A-49C1-83A7-6EEE4F89B941}"/>
    <cellStyle name="Normal 9 5 6 3" xfId="6551" xr:uid="{00000000-0005-0000-0000-00006E200000}"/>
    <cellStyle name="Normal 9 5 6 3 2" xfId="25176" xr:uid="{A1376FBC-2125-4AC2-BEC9-ABD43ADF4535}"/>
    <cellStyle name="Normal 9 5 6 3 3" xfId="15877" xr:uid="{4B030379-E4DE-4BB1-930F-D4CADA2330D9}"/>
    <cellStyle name="Normal 9 5 6 4" xfId="20959" xr:uid="{E999B34A-7371-43AB-AA13-6C87F5D0C552}"/>
    <cellStyle name="Normal 9 5 6 5" xfId="11660" xr:uid="{D04E3DE8-F4CC-45CA-96DC-7408CC0DFD45}"/>
    <cellStyle name="Normal 9 5 7" xfId="2681" xr:uid="{00000000-0005-0000-0000-00006F200000}"/>
    <cellStyle name="Normal 9 5 7 2" xfId="6964" xr:uid="{00000000-0005-0000-0000-000070200000}"/>
    <cellStyle name="Normal 9 5 7 2 2" xfId="25589" xr:uid="{2A23C378-2C7B-4982-80C9-D88FBB593572}"/>
    <cellStyle name="Normal 9 5 7 2 3" xfId="16290" xr:uid="{62AD2D0D-4B64-43DF-BBB9-5A1CA38D6174}"/>
    <cellStyle name="Normal 9 5 7 3" xfId="21372" xr:uid="{567CFAC3-E465-431A-B3FD-E0D226E3C522}"/>
    <cellStyle name="Normal 9 5 7 4" xfId="12073" xr:uid="{6F44E308-7D75-421F-A694-255DE793B2EA}"/>
    <cellStyle name="Normal 9 5 8" xfId="4899" xr:uid="{00000000-0005-0000-0000-000071200000}"/>
    <cellStyle name="Normal 9 5 8 2" xfId="23524" xr:uid="{9ADFE78D-F1E9-496B-B17A-DA3A308C5B31}"/>
    <cellStyle name="Normal 9 5 8 3" xfId="14225" xr:uid="{61163964-E481-43C5-A045-3DCD1CF4C13A}"/>
    <cellStyle name="Normal 9 5 9" xfId="8848" xr:uid="{B1BE5F70-14E5-42B6-9EBA-D267F3B60A08}"/>
    <cellStyle name="Normal 9 5 9 2" xfId="27471" xr:uid="{E170FEA7-DDE4-47D0-A462-ECC3F3BF5D76}"/>
    <cellStyle name="Normal 9 5 9 3" xfId="18172" xr:uid="{367384B8-436A-48F0-831E-CF47A25B975F}"/>
    <cellStyle name="Normal 9 6" xfId="538" xr:uid="{00000000-0005-0000-0000-000072200000}"/>
    <cellStyle name="Normal 9 6 10" xfId="10010" xr:uid="{BFA3EBE6-1455-4C02-B194-F846A5B08C7F}"/>
    <cellStyle name="Normal 9 6 2" xfId="1005" xr:uid="{00000000-0005-0000-0000-000073200000}"/>
    <cellStyle name="Normal 9 6 2 2" xfId="3237" xr:uid="{00000000-0005-0000-0000-000074200000}"/>
    <cellStyle name="Normal 9 6 2 2 2" xfId="7459" xr:uid="{00000000-0005-0000-0000-000075200000}"/>
    <cellStyle name="Normal 9 6 2 2 2 2" xfId="26084" xr:uid="{61CCD079-1329-4484-B74D-FA693234992B}"/>
    <cellStyle name="Normal 9 6 2 2 2 3" xfId="16785" xr:uid="{A4EAE2F1-905F-4496-8CA8-EC8CB84679EE}"/>
    <cellStyle name="Normal 9 6 2 2 3" xfId="21867" xr:uid="{4F58C34F-73FF-439C-8B4F-1DD54327BDD8}"/>
    <cellStyle name="Normal 9 6 2 2 4" xfId="12568" xr:uid="{4028FB8D-DCD8-4A12-A07C-92CC4539611C}"/>
    <cellStyle name="Normal 9 6 2 3" xfId="5314" xr:uid="{00000000-0005-0000-0000-000076200000}"/>
    <cellStyle name="Normal 9 6 2 3 2" xfId="23939" xr:uid="{34893F86-6FF2-4060-AFF7-C492A0589767}"/>
    <cellStyle name="Normal 9 6 2 3 3" xfId="14640" xr:uid="{D6E5D984-2498-4E5A-899B-4C070EFCA5F7}"/>
    <cellStyle name="Normal 9 6 2 4" xfId="9389" xr:uid="{2A0458F6-466A-4C3B-BA39-FF09FD770FDD}"/>
    <cellStyle name="Normal 9 6 2 4 2" xfId="28003" xr:uid="{6F7A9DB6-C532-4D8A-841E-C2F1E953AD51}"/>
    <cellStyle name="Normal 9 6 2 4 3" xfId="18704" xr:uid="{9ABAB7C0-5739-463C-B36E-2B500226B1FD}"/>
    <cellStyle name="Normal 9 6 2 5" xfId="19722" xr:uid="{5D029D71-BF71-4CE6-843B-10D513BFB649}"/>
    <cellStyle name="Normal 9 6 2 6" xfId="10423" xr:uid="{71B10CDE-960D-4794-9400-25EB8C172BA3}"/>
    <cellStyle name="Normal 9 6 3" xfId="1420" xr:uid="{00000000-0005-0000-0000-000077200000}"/>
    <cellStyle name="Normal 9 6 3 2" xfId="3650" xr:uid="{00000000-0005-0000-0000-000078200000}"/>
    <cellStyle name="Normal 9 6 3 2 2" xfId="7872" xr:uid="{00000000-0005-0000-0000-000079200000}"/>
    <cellStyle name="Normal 9 6 3 2 2 2" xfId="26497" xr:uid="{3F829815-D4CB-4855-9067-CBDBCB6539E9}"/>
    <cellStyle name="Normal 9 6 3 2 2 3" xfId="17198" xr:uid="{E9713A95-8FA1-47D9-84E0-4D253C716829}"/>
    <cellStyle name="Normal 9 6 3 2 3" xfId="22280" xr:uid="{41E7DA69-234A-4D33-B725-829A1F1E335C}"/>
    <cellStyle name="Normal 9 6 3 2 4" xfId="12981" xr:uid="{60BD1441-4231-4BE1-B01F-89FE7D3BF4BF}"/>
    <cellStyle name="Normal 9 6 3 3" xfId="5727" xr:uid="{00000000-0005-0000-0000-00007A200000}"/>
    <cellStyle name="Normal 9 6 3 3 2" xfId="24352" xr:uid="{1E488AE8-2D90-452D-9101-0BD5249C050C}"/>
    <cellStyle name="Normal 9 6 3 3 3" xfId="15053" xr:uid="{98458623-032E-42D0-99CA-4E56A20C42A6}"/>
    <cellStyle name="Normal 9 6 3 4" xfId="20135" xr:uid="{5766809C-CCB4-469D-A6D1-4B0EB5A4985E}"/>
    <cellStyle name="Normal 9 6 3 5" xfId="10836" xr:uid="{4F168599-BF15-4199-B0A1-C78D6E3901A0}"/>
    <cellStyle name="Normal 9 6 4" xfId="1833" xr:uid="{00000000-0005-0000-0000-00007B200000}"/>
    <cellStyle name="Normal 9 6 4 2" xfId="4063" xr:uid="{00000000-0005-0000-0000-00007C200000}"/>
    <cellStyle name="Normal 9 6 4 2 2" xfId="8285" xr:uid="{00000000-0005-0000-0000-00007D200000}"/>
    <cellStyle name="Normal 9 6 4 2 2 2" xfId="26910" xr:uid="{9F947831-B4D6-4271-84BA-63F8FB227F0C}"/>
    <cellStyle name="Normal 9 6 4 2 2 3" xfId="17611" xr:uid="{82A996F5-D06E-4B59-B336-A2A9A9C3EEF6}"/>
    <cellStyle name="Normal 9 6 4 2 3" xfId="22693" xr:uid="{8FFA460A-D9A7-447E-AD24-4409580CA683}"/>
    <cellStyle name="Normal 9 6 4 2 4" xfId="13394" xr:uid="{2097D746-3951-4E61-9263-1EFCAFA7F24D}"/>
    <cellStyle name="Normal 9 6 4 3" xfId="6140" xr:uid="{00000000-0005-0000-0000-00007E200000}"/>
    <cellStyle name="Normal 9 6 4 3 2" xfId="24765" xr:uid="{21D9BA32-B995-48DC-8864-5216C4CF4DA4}"/>
    <cellStyle name="Normal 9 6 4 3 3" xfId="15466" xr:uid="{156A6E9E-07B6-428A-8EBE-A3340048CE2A}"/>
    <cellStyle name="Normal 9 6 4 4" xfId="20548" xr:uid="{DF04A0CD-B440-4FA8-960F-66E1967E32B8}"/>
    <cellStyle name="Normal 9 6 4 5" xfId="11249" xr:uid="{C7BFE78C-20C7-4567-BD1A-3A813E56E91C}"/>
    <cellStyle name="Normal 9 6 5" xfId="2247" xr:uid="{00000000-0005-0000-0000-00007F200000}"/>
    <cellStyle name="Normal 9 6 5 2" xfId="4476" xr:uid="{00000000-0005-0000-0000-000080200000}"/>
    <cellStyle name="Normal 9 6 5 2 2" xfId="8698" xr:uid="{00000000-0005-0000-0000-000081200000}"/>
    <cellStyle name="Normal 9 6 5 2 2 2" xfId="27323" xr:uid="{BFB0C56B-5AF2-4926-9558-64BA3A212D8B}"/>
    <cellStyle name="Normal 9 6 5 2 2 3" xfId="18024" xr:uid="{2B6635D7-6A07-4301-A475-71B4EA0F3415}"/>
    <cellStyle name="Normal 9 6 5 2 3" xfId="23106" xr:uid="{DE2C4439-DDB4-4C95-BB40-5AF6A0A51235}"/>
    <cellStyle name="Normal 9 6 5 2 4" xfId="13807" xr:uid="{2EE1DBFA-0FB3-48C5-B592-CED241DF69A0}"/>
    <cellStyle name="Normal 9 6 5 3" xfId="6553" xr:uid="{00000000-0005-0000-0000-000082200000}"/>
    <cellStyle name="Normal 9 6 5 3 2" xfId="25178" xr:uid="{92980737-8D98-4256-BCF3-B20C5B603786}"/>
    <cellStyle name="Normal 9 6 5 3 3" xfId="15879" xr:uid="{AC8A9B73-E3B0-4B66-B367-6F8279453D61}"/>
    <cellStyle name="Normal 9 6 5 4" xfId="20961" xr:uid="{70262393-0C43-42BC-8311-1E48D35B1A77}"/>
    <cellStyle name="Normal 9 6 5 5" xfId="11662" xr:uid="{8204CF77-95C9-4D6E-9BE4-9F2B3300FF6F}"/>
    <cellStyle name="Normal 9 6 6" xfId="2683" xr:uid="{00000000-0005-0000-0000-000083200000}"/>
    <cellStyle name="Normal 9 6 6 2" xfId="6966" xr:uid="{00000000-0005-0000-0000-000084200000}"/>
    <cellStyle name="Normal 9 6 6 2 2" xfId="25591" xr:uid="{E049CFC1-A647-4035-A275-47579C013C84}"/>
    <cellStyle name="Normal 9 6 6 2 3" xfId="16292" xr:uid="{49631EB5-0D15-4937-91AF-3A8B2F2E6E38}"/>
    <cellStyle name="Normal 9 6 6 3" xfId="21374" xr:uid="{4E878182-B9BE-4C16-8738-854E3A1B4EDD}"/>
    <cellStyle name="Normal 9 6 6 4" xfId="12075" xr:uid="{CFEB1535-BAC2-4624-8A40-65D432F6542B}"/>
    <cellStyle name="Normal 9 6 7" xfId="4901" xr:uid="{00000000-0005-0000-0000-000085200000}"/>
    <cellStyle name="Normal 9 6 7 2" xfId="23526" xr:uid="{DD8F62B4-B8A2-4B66-9BEC-8D341A44F138}"/>
    <cellStyle name="Normal 9 6 7 3" xfId="14227" xr:uid="{AD16B9CC-4FC2-4004-ACF0-932797C309D4}"/>
    <cellStyle name="Normal 9 6 8" xfId="8964" xr:uid="{9BBC9C46-7A3A-4BC9-9542-DC33DFA165C2}"/>
    <cellStyle name="Normal 9 6 8 2" xfId="27587" xr:uid="{12D63BA3-96CE-43B5-99B6-E6D02F9A0EFB}"/>
    <cellStyle name="Normal 9 6 8 3" xfId="18288" xr:uid="{04306859-7944-4149-8356-46148751388A}"/>
    <cellStyle name="Normal 9 6 9" xfId="19309" xr:uid="{6B45F363-E1F8-475D-9ED4-4E8C4917C777}"/>
    <cellStyle name="Normal 9 7" xfId="977" xr:uid="{00000000-0005-0000-0000-000086200000}"/>
    <cellStyle name="Normal 9 7 2" xfId="9609" xr:uid="{1246D22D-2382-4FAF-A8D6-CB26E2B9F9CE}"/>
    <cellStyle name="Normal 9 7 3" xfId="9167" xr:uid="{F9EED645-1D44-43CF-99A5-77176BA4CE36}"/>
    <cellStyle name="Normal 9 7 3 2" xfId="27784" xr:uid="{1F27A3A4-1214-4DCE-A7C8-8F96FC180D8E}"/>
    <cellStyle name="Normal 9 7 3 3" xfId="18485" xr:uid="{FA0FD907-D92A-43E6-87A9-A9BEF710B593}"/>
    <cellStyle name="Normal 9 8" xfId="8745" xr:uid="{C1852A12-4F74-491B-976C-56AD8D4478B4}"/>
    <cellStyle name="Normal 9 8 2" xfId="27368" xr:uid="{5EFD64E4-445E-454C-8837-2BEB2616F8E8}"/>
    <cellStyle name="Normal 9 8 3" xfId="18069" xr:uid="{A0241686-B4BE-4A0B-A454-21C654307359}"/>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0 2 2" xfId="25672" xr:uid="{1F6273D3-E1C1-4E23-8894-8AC1FF5F58B3}"/>
    <cellStyle name="Note 2 2 10 2 3" xfId="16373" xr:uid="{FF7949EA-CBC4-4B18-BD9A-4EE551EC0CE1}"/>
    <cellStyle name="Note 2 2 10 3" xfId="21455" xr:uid="{4F7C2BF2-0F83-4232-9A15-1B37F34D299B}"/>
    <cellStyle name="Note 2 2 10 4" xfId="12156" xr:uid="{B6B670DD-1BDB-4AF6-83C7-39885EC4A95E}"/>
    <cellStyle name="Note 2 2 11" xfId="4902" xr:uid="{00000000-0005-0000-0000-000094200000}"/>
    <cellStyle name="Note 2 2 11 2" xfId="23527" xr:uid="{81478994-BADD-4156-85F4-34355DCFBF24}"/>
    <cellStyle name="Note 2 2 11 3" xfId="14228" xr:uid="{4DED5CBC-2FC4-48F4-B49A-007784065E8D}"/>
    <cellStyle name="Note 2 2 12" xfId="8841" xr:uid="{E94E1FD8-31C4-4718-9658-C7A587CBF323}"/>
    <cellStyle name="Note 2 2 12 2" xfId="27464" xr:uid="{7C6CF3CC-63C7-45C3-92B5-F8B84AC1375C}"/>
    <cellStyle name="Note 2 2 12 3" xfId="18165" xr:uid="{4701B3B7-020B-4FC8-81E2-5662560156B0}"/>
    <cellStyle name="Note 2 2 13" xfId="19310" xr:uid="{25BBF7E5-DFC7-4698-9463-F1AA65FA99EC}"/>
    <cellStyle name="Note 2 2 14" xfId="10011" xr:uid="{E07225FE-CE14-4912-95B2-77D5E98EDF51}"/>
    <cellStyle name="Note 2 2 2" xfId="546" xr:uid="{00000000-0005-0000-0000-000095200000}"/>
    <cellStyle name="Note 2 2 2 10" xfId="4903" xr:uid="{00000000-0005-0000-0000-000096200000}"/>
    <cellStyle name="Note 2 2 2 10 2" xfId="23528" xr:uid="{AEC9D265-FEBA-47D5-805F-048BD1DA2A33}"/>
    <cellStyle name="Note 2 2 2 10 3" xfId="14229" xr:uid="{FBF134A8-9DA6-4838-8D4A-9C8AF96D4230}"/>
    <cellStyle name="Note 2 2 2 11" xfId="8944" xr:uid="{B75A3404-A4A3-41D6-B6C3-54560C6DD592}"/>
    <cellStyle name="Note 2 2 2 11 2" xfId="27567" xr:uid="{85C70606-A729-429B-BFBA-1AD9B34B41D2}"/>
    <cellStyle name="Note 2 2 2 11 3" xfId="18268" xr:uid="{CE0A66FC-29CF-4D44-8B28-43EA50BA633C}"/>
    <cellStyle name="Note 2 2 2 12" xfId="19311" xr:uid="{AA6BDCEE-7761-4D3A-9B50-D28236F472AA}"/>
    <cellStyle name="Note 2 2 2 13" xfId="10012" xr:uid="{090B54FB-56B1-4443-8DE5-10E7F3EE505E}"/>
    <cellStyle name="Note 2 2 2 2" xfId="547" xr:uid="{00000000-0005-0000-0000-000097200000}"/>
    <cellStyle name="Note 2 2 2 2 10" xfId="9151" xr:uid="{DE810DD8-00EC-4339-9CFC-C84D5E182971}"/>
    <cellStyle name="Note 2 2 2 2 10 2" xfId="27774" xr:uid="{A1D7F90F-8884-40B4-A6B0-8FD45FA94CD7}"/>
    <cellStyle name="Note 2 2 2 2 10 3" xfId="18475" xr:uid="{64A6F746-81E8-44E3-8875-966379B3E8D1}"/>
    <cellStyle name="Note 2 2 2 2 11" xfId="19312" xr:uid="{009485B2-72FC-45BF-A225-54151DFC228D}"/>
    <cellStyle name="Note 2 2 2 2 12" xfId="10013" xr:uid="{A9960BB9-CCBB-4D92-B0B8-AC4817328514}"/>
    <cellStyle name="Note 2 2 2 2 2" xfId="1008" xr:uid="{00000000-0005-0000-0000-000098200000}"/>
    <cellStyle name="Note 2 2 2 2 2 2" xfId="3240" xr:uid="{00000000-0005-0000-0000-000099200000}"/>
    <cellStyle name="Note 2 2 2 2 2 2 2" xfId="7462" xr:uid="{00000000-0005-0000-0000-00009A200000}"/>
    <cellStyle name="Note 2 2 2 2 2 2 2 2" xfId="26087" xr:uid="{5695915F-E111-430F-81FD-EC55BBE22EED}"/>
    <cellStyle name="Note 2 2 2 2 2 2 2 3" xfId="16788" xr:uid="{755A0A2C-4F9C-417C-B917-91B9E7ABEE7E}"/>
    <cellStyle name="Note 2 2 2 2 2 2 3" xfId="21870" xr:uid="{669087D4-A647-496F-9C42-350F1F640E07}"/>
    <cellStyle name="Note 2 2 2 2 2 2 4" xfId="12571" xr:uid="{7A445D84-28D3-4434-9EBA-7AA2C26E1608}"/>
    <cellStyle name="Note 2 2 2 2 2 3" xfId="5317" xr:uid="{00000000-0005-0000-0000-00009B200000}"/>
    <cellStyle name="Note 2 2 2 2 2 3 2" xfId="23942" xr:uid="{AD01D9C4-C78A-4F48-92EA-7FAEA470E81F}"/>
    <cellStyle name="Note 2 2 2 2 2 3 3" xfId="14643" xr:uid="{A96F2D92-149D-466B-8EAB-0A379A48E710}"/>
    <cellStyle name="Note 2 2 2 2 2 4" xfId="9576" xr:uid="{375E296C-598F-454E-B7C4-9E851CE02ED2}"/>
    <cellStyle name="Note 2 2 2 2 2 4 2" xfId="28190" xr:uid="{6B556587-03FB-4626-A8AB-272A49E30326}"/>
    <cellStyle name="Note 2 2 2 2 2 4 3" xfId="18891" xr:uid="{EF9836DE-A8F4-4C2A-9F0D-AA0E35047806}"/>
    <cellStyle name="Note 2 2 2 2 2 5" xfId="19725" xr:uid="{EEB1D47D-2960-4A62-9A08-B3DCF2E3BE01}"/>
    <cellStyle name="Note 2 2 2 2 2 6" xfId="10426" xr:uid="{9DC98B7D-4806-4CE8-8190-87A82DBFECE8}"/>
    <cellStyle name="Note 2 2 2 2 3" xfId="1423" xr:uid="{00000000-0005-0000-0000-00009C200000}"/>
    <cellStyle name="Note 2 2 2 2 3 2" xfId="3653" xr:uid="{00000000-0005-0000-0000-00009D200000}"/>
    <cellStyle name="Note 2 2 2 2 3 2 2" xfId="7875" xr:uid="{00000000-0005-0000-0000-00009E200000}"/>
    <cellStyle name="Note 2 2 2 2 3 2 2 2" xfId="26500" xr:uid="{96F0AFE3-ED98-4592-AEDF-418ED919B6FD}"/>
    <cellStyle name="Note 2 2 2 2 3 2 2 3" xfId="17201" xr:uid="{90FD2303-7768-4A13-BD6D-BA9C6164E49D}"/>
    <cellStyle name="Note 2 2 2 2 3 2 3" xfId="22283" xr:uid="{85175B88-56E0-4B69-B367-447E3D82BAE7}"/>
    <cellStyle name="Note 2 2 2 2 3 2 4" xfId="12984" xr:uid="{72F23E87-E266-4F47-8181-9084193117BD}"/>
    <cellStyle name="Note 2 2 2 2 3 3" xfId="5730" xr:uid="{00000000-0005-0000-0000-00009F200000}"/>
    <cellStyle name="Note 2 2 2 2 3 3 2" xfId="24355" xr:uid="{4F59C7C8-8276-4BAA-9C1D-44980084480C}"/>
    <cellStyle name="Note 2 2 2 2 3 3 3" xfId="15056" xr:uid="{C790BA80-C170-4DFE-B874-5CFE5BD8AFAD}"/>
    <cellStyle name="Note 2 2 2 2 3 4" xfId="20138" xr:uid="{6C15AB8C-8A1A-407A-A3C2-7DB7A746283F}"/>
    <cellStyle name="Note 2 2 2 2 3 5" xfId="10839" xr:uid="{14C69784-3BEB-43E2-A8B7-36EC774C3A41}"/>
    <cellStyle name="Note 2 2 2 2 4" xfId="1837" xr:uid="{00000000-0005-0000-0000-0000A0200000}"/>
    <cellStyle name="Note 2 2 2 2 4 2" xfId="4066" xr:uid="{00000000-0005-0000-0000-0000A1200000}"/>
    <cellStyle name="Note 2 2 2 2 4 2 2" xfId="8288" xr:uid="{00000000-0005-0000-0000-0000A2200000}"/>
    <cellStyle name="Note 2 2 2 2 4 2 2 2" xfId="26913" xr:uid="{F29A5CAE-A91D-4F67-9E15-104AE5AB6B13}"/>
    <cellStyle name="Note 2 2 2 2 4 2 2 3" xfId="17614" xr:uid="{C668D4E8-2EF8-4CD8-A016-31D797F76E07}"/>
    <cellStyle name="Note 2 2 2 2 4 2 3" xfId="22696" xr:uid="{7C249422-CDA5-4C78-B830-67490E05E863}"/>
    <cellStyle name="Note 2 2 2 2 4 2 4" xfId="13397" xr:uid="{2CAEC064-3911-40D2-AE82-A52735BFBD56}"/>
    <cellStyle name="Note 2 2 2 2 4 3" xfId="6143" xr:uid="{00000000-0005-0000-0000-0000A3200000}"/>
    <cellStyle name="Note 2 2 2 2 4 3 2" xfId="24768" xr:uid="{C3E206F5-81A2-4D9E-8547-8606AAB891B5}"/>
    <cellStyle name="Note 2 2 2 2 4 3 3" xfId="15469" xr:uid="{78ACDAE9-0487-4C35-915B-D97B8D8E9FAA}"/>
    <cellStyle name="Note 2 2 2 2 4 4" xfId="20551" xr:uid="{165C729D-2901-4C44-A614-A09B9D3F5E5A}"/>
    <cellStyle name="Note 2 2 2 2 4 5" xfId="11252" xr:uid="{F3F3F0CE-A3AA-4AC1-B59E-272D3AE76DA4}"/>
    <cellStyle name="Note 2 2 2 2 5" xfId="2250" xr:uid="{00000000-0005-0000-0000-0000A4200000}"/>
    <cellStyle name="Note 2 2 2 2 5 2" xfId="4479" xr:uid="{00000000-0005-0000-0000-0000A5200000}"/>
    <cellStyle name="Note 2 2 2 2 5 2 2" xfId="8701" xr:uid="{00000000-0005-0000-0000-0000A6200000}"/>
    <cellStyle name="Note 2 2 2 2 5 2 2 2" xfId="27326" xr:uid="{5E781422-55E5-48A7-9751-A736350F36E6}"/>
    <cellStyle name="Note 2 2 2 2 5 2 2 3" xfId="18027" xr:uid="{0E1E0DF1-8A09-4F62-90FD-571A31157DB0}"/>
    <cellStyle name="Note 2 2 2 2 5 2 3" xfId="23109" xr:uid="{C9CD716E-9C1A-4194-8BD5-0333A72F2554}"/>
    <cellStyle name="Note 2 2 2 2 5 2 4" xfId="13810" xr:uid="{8DCF94E8-B1EC-4F3C-8D51-622A1FAEE246}"/>
    <cellStyle name="Note 2 2 2 2 5 3" xfId="6556" xr:uid="{00000000-0005-0000-0000-0000A7200000}"/>
    <cellStyle name="Note 2 2 2 2 5 3 2" xfId="25181" xr:uid="{C807E2F8-DD2F-4E7F-A56A-D81B2269FEC1}"/>
    <cellStyle name="Note 2 2 2 2 5 3 3" xfId="15882" xr:uid="{7A8685AF-36B2-4A2E-BE22-E89FE7EECFF4}"/>
    <cellStyle name="Note 2 2 2 2 5 4" xfId="20964" xr:uid="{13CAEF0F-DC92-4845-8E60-96748CE064BC}"/>
    <cellStyle name="Note 2 2 2 2 5 5" xfId="11665" xr:uid="{B8E976EB-A8C7-4BDD-8861-B0007A27E685}"/>
    <cellStyle name="Note 2 2 2 2 6" xfId="2686" xr:uid="{00000000-0005-0000-0000-0000A8200000}"/>
    <cellStyle name="Note 2 2 2 2 6 2" xfId="6969" xr:uid="{00000000-0005-0000-0000-0000A9200000}"/>
    <cellStyle name="Note 2 2 2 2 6 2 2" xfId="25594" xr:uid="{F66A635A-5905-42DB-B013-08D310D6209D}"/>
    <cellStyle name="Note 2 2 2 2 6 2 3" xfId="16295" xr:uid="{B37ECFE4-A30B-49F2-A045-14056414B046}"/>
    <cellStyle name="Note 2 2 2 2 6 3" xfId="21377" xr:uid="{4A57E867-8DA4-41DD-A851-EEBDDFAEF6BC}"/>
    <cellStyle name="Note 2 2 2 2 6 4" xfId="12078" xr:uid="{2D0C4FA6-55DF-40B3-8081-3C2F624AB82B}"/>
    <cellStyle name="Note 2 2 2 2 7" xfId="2745" xr:uid="{00000000-0005-0000-0000-0000AA200000}"/>
    <cellStyle name="Note 2 2 2 2 8" xfId="2826" xr:uid="{00000000-0005-0000-0000-0000AB200000}"/>
    <cellStyle name="Note 2 2 2 2 8 2" xfId="7049" xr:uid="{00000000-0005-0000-0000-0000AC200000}"/>
    <cellStyle name="Note 2 2 2 2 8 2 2" xfId="25674" xr:uid="{CF92A267-BB72-4DF0-B881-A84B0F56D1E2}"/>
    <cellStyle name="Note 2 2 2 2 8 2 3" xfId="16375" xr:uid="{37622269-6C9C-4D7A-AF04-E8DB421E9A1D}"/>
    <cellStyle name="Note 2 2 2 2 8 3" xfId="21457" xr:uid="{D408D1D8-95CC-4D26-9464-562A5D0CF3F1}"/>
    <cellStyle name="Note 2 2 2 2 8 4" xfId="12158" xr:uid="{BB0185D3-7C4D-4FE7-8913-60324FFEC336}"/>
    <cellStyle name="Note 2 2 2 2 9" xfId="4904" xr:uid="{00000000-0005-0000-0000-0000AD200000}"/>
    <cellStyle name="Note 2 2 2 2 9 2" xfId="23529" xr:uid="{DDA071B0-0B0D-404D-AD66-F9DAFD0AAF62}"/>
    <cellStyle name="Note 2 2 2 2 9 3" xfId="14230" xr:uid="{AF74445C-FD48-4BCF-94BE-D5980960EE83}"/>
    <cellStyle name="Note 2 2 2 3" xfId="1007" xr:uid="{00000000-0005-0000-0000-0000AE200000}"/>
    <cellStyle name="Note 2 2 2 3 2" xfId="3239" xr:uid="{00000000-0005-0000-0000-0000AF200000}"/>
    <cellStyle name="Note 2 2 2 3 2 2" xfId="7461" xr:uid="{00000000-0005-0000-0000-0000B0200000}"/>
    <cellStyle name="Note 2 2 2 3 2 2 2" xfId="26086" xr:uid="{6384866C-85CD-44B2-9ADD-8B4B5BF6C597}"/>
    <cellStyle name="Note 2 2 2 3 2 2 3" xfId="16787" xr:uid="{C4773F11-12FA-4BD9-BF6F-F5DC25FF8491}"/>
    <cellStyle name="Note 2 2 2 3 2 3" xfId="21869" xr:uid="{C89B89DA-F77B-4FBB-B58E-A82500306417}"/>
    <cellStyle name="Note 2 2 2 3 2 4" xfId="12570" xr:uid="{ED01D731-EA1A-453C-8E1F-416E9068A795}"/>
    <cellStyle name="Note 2 2 2 3 3" xfId="5316" xr:uid="{00000000-0005-0000-0000-0000B1200000}"/>
    <cellStyle name="Note 2 2 2 3 3 2" xfId="23941" xr:uid="{8D1918BF-4764-4100-BABB-8D5056A95511}"/>
    <cellStyle name="Note 2 2 2 3 3 3" xfId="14642" xr:uid="{64ED8E8C-ADF0-4B05-9C41-72594CA9E384}"/>
    <cellStyle name="Note 2 2 2 3 4" xfId="9369" xr:uid="{37FCA23B-964B-404F-A343-B489211FDCDC}"/>
    <cellStyle name="Note 2 2 2 3 4 2" xfId="27983" xr:uid="{7D674C53-3248-49B0-B511-281E9AF2A536}"/>
    <cellStyle name="Note 2 2 2 3 4 3" xfId="18684" xr:uid="{7D29C440-4C4B-4EFD-966A-A8F3C2723827}"/>
    <cellStyle name="Note 2 2 2 3 5" xfId="19724" xr:uid="{289FDCA3-C19E-43D1-9DC7-9D5D3749AC63}"/>
    <cellStyle name="Note 2 2 2 3 6" xfId="10425" xr:uid="{10EFE4FC-5E25-47FE-AC22-50C09E2F1294}"/>
    <cellStyle name="Note 2 2 2 4" xfId="1422" xr:uid="{00000000-0005-0000-0000-0000B2200000}"/>
    <cellStyle name="Note 2 2 2 4 2" xfId="3652" xr:uid="{00000000-0005-0000-0000-0000B3200000}"/>
    <cellStyle name="Note 2 2 2 4 2 2" xfId="7874" xr:uid="{00000000-0005-0000-0000-0000B4200000}"/>
    <cellStyle name="Note 2 2 2 4 2 2 2" xfId="26499" xr:uid="{EE1B98DC-EEB0-4222-96ED-84360A2DC409}"/>
    <cellStyle name="Note 2 2 2 4 2 2 3" xfId="17200" xr:uid="{AA5B44A5-C5B9-4B94-B21C-B504CFCFF99E}"/>
    <cellStyle name="Note 2 2 2 4 2 3" xfId="22282" xr:uid="{2C7BAA4E-C642-4D0C-AFAD-53EA6147E6FE}"/>
    <cellStyle name="Note 2 2 2 4 2 4" xfId="12983" xr:uid="{2267DE6A-03CF-40F0-9A7D-1D5947747B93}"/>
    <cellStyle name="Note 2 2 2 4 3" xfId="5729" xr:uid="{00000000-0005-0000-0000-0000B5200000}"/>
    <cellStyle name="Note 2 2 2 4 3 2" xfId="24354" xr:uid="{7A60644E-49B6-461F-93FC-B5FBA74C94BD}"/>
    <cellStyle name="Note 2 2 2 4 3 3" xfId="15055" xr:uid="{DBA82E2F-9E0D-4C5A-8936-8C670286B084}"/>
    <cellStyle name="Note 2 2 2 4 4" xfId="20137" xr:uid="{AEB472D6-38BA-44BA-A895-52E9AED371C1}"/>
    <cellStyle name="Note 2 2 2 4 5" xfId="10838" xr:uid="{642EE58A-EF4E-4C67-941C-5EB11E8E2316}"/>
    <cellStyle name="Note 2 2 2 5" xfId="1836" xr:uid="{00000000-0005-0000-0000-0000B6200000}"/>
    <cellStyle name="Note 2 2 2 5 2" xfId="4065" xr:uid="{00000000-0005-0000-0000-0000B7200000}"/>
    <cellStyle name="Note 2 2 2 5 2 2" xfId="8287" xr:uid="{00000000-0005-0000-0000-0000B8200000}"/>
    <cellStyle name="Note 2 2 2 5 2 2 2" xfId="26912" xr:uid="{12EC0F16-CFBC-4643-8111-6AB78BC89441}"/>
    <cellStyle name="Note 2 2 2 5 2 2 3" xfId="17613" xr:uid="{15A9C3D1-AD55-499E-AF98-749A0FAFC3A1}"/>
    <cellStyle name="Note 2 2 2 5 2 3" xfId="22695" xr:uid="{5F944DD8-2123-4B03-BD1E-735638BD173C}"/>
    <cellStyle name="Note 2 2 2 5 2 4" xfId="13396" xr:uid="{351057C2-3C59-48DE-AD60-77AF672A4AD6}"/>
    <cellStyle name="Note 2 2 2 5 3" xfId="6142" xr:uid="{00000000-0005-0000-0000-0000B9200000}"/>
    <cellStyle name="Note 2 2 2 5 3 2" xfId="24767" xr:uid="{0FFF771C-F473-4549-BA8E-A916846C7E3C}"/>
    <cellStyle name="Note 2 2 2 5 3 3" xfId="15468" xr:uid="{E20A6D9A-BDE0-4FDC-86DC-E43E049A7262}"/>
    <cellStyle name="Note 2 2 2 5 4" xfId="20550" xr:uid="{BA63F00A-3911-49EE-A99F-14F7C4873C17}"/>
    <cellStyle name="Note 2 2 2 5 5" xfId="11251" xr:uid="{917F520D-34FF-4DDF-BB94-41650505F9E0}"/>
    <cellStyle name="Note 2 2 2 6" xfId="2249" xr:uid="{00000000-0005-0000-0000-0000BA200000}"/>
    <cellStyle name="Note 2 2 2 6 2" xfId="4478" xr:uid="{00000000-0005-0000-0000-0000BB200000}"/>
    <cellStyle name="Note 2 2 2 6 2 2" xfId="8700" xr:uid="{00000000-0005-0000-0000-0000BC200000}"/>
    <cellStyle name="Note 2 2 2 6 2 2 2" xfId="27325" xr:uid="{6AB49959-F2A8-46BE-B258-597108C8D22A}"/>
    <cellStyle name="Note 2 2 2 6 2 2 3" xfId="18026" xr:uid="{7A8F6091-68E3-49F3-BDE8-9F27B75EC368}"/>
    <cellStyle name="Note 2 2 2 6 2 3" xfId="23108" xr:uid="{201A990F-0D13-41D4-9DAC-3DE446670D8F}"/>
    <cellStyle name="Note 2 2 2 6 2 4" xfId="13809" xr:uid="{811BC0C8-830C-4C0E-9820-4C646D307EA6}"/>
    <cellStyle name="Note 2 2 2 6 3" xfId="6555" xr:uid="{00000000-0005-0000-0000-0000BD200000}"/>
    <cellStyle name="Note 2 2 2 6 3 2" xfId="25180" xr:uid="{1F212392-7307-45DF-A714-A0D1297787FA}"/>
    <cellStyle name="Note 2 2 2 6 3 3" xfId="15881" xr:uid="{4242F203-3EFE-4EA0-998E-57E423149E9F}"/>
    <cellStyle name="Note 2 2 2 6 4" xfId="20963" xr:uid="{785A2C77-122A-42AC-8C5C-A8AA39D9642D}"/>
    <cellStyle name="Note 2 2 2 6 5" xfId="11664" xr:uid="{5AEE078E-0B51-47AD-ADC6-8DCEBE330436}"/>
    <cellStyle name="Note 2 2 2 7" xfId="2685" xr:uid="{00000000-0005-0000-0000-0000BE200000}"/>
    <cellStyle name="Note 2 2 2 7 2" xfId="6968" xr:uid="{00000000-0005-0000-0000-0000BF200000}"/>
    <cellStyle name="Note 2 2 2 7 2 2" xfId="25593" xr:uid="{83104AC8-AC62-4EAA-AC7F-6B995D8A3282}"/>
    <cellStyle name="Note 2 2 2 7 2 3" xfId="16294" xr:uid="{943722B7-A43A-4BB4-9727-E12E7556B3B1}"/>
    <cellStyle name="Note 2 2 2 7 3" xfId="21376" xr:uid="{A4CFA408-B9CF-4779-83CC-1E44C63A2CED}"/>
    <cellStyle name="Note 2 2 2 7 4" xfId="12077" xr:uid="{17B82C44-42D0-49E5-AA22-AEDEE03FC330}"/>
    <cellStyle name="Note 2 2 2 8" xfId="2744" xr:uid="{00000000-0005-0000-0000-0000C0200000}"/>
    <cellStyle name="Note 2 2 2 9" xfId="2825" xr:uid="{00000000-0005-0000-0000-0000C1200000}"/>
    <cellStyle name="Note 2 2 2 9 2" xfId="7048" xr:uid="{00000000-0005-0000-0000-0000C2200000}"/>
    <cellStyle name="Note 2 2 2 9 2 2" xfId="25673" xr:uid="{38C3853A-C533-4335-9D05-0B3724E585A0}"/>
    <cellStyle name="Note 2 2 2 9 2 3" xfId="16374" xr:uid="{AE178B3E-D816-41F1-B8F4-B6BE4B73D02F}"/>
    <cellStyle name="Note 2 2 2 9 3" xfId="21456" xr:uid="{86CD75D3-1BDC-432A-AB53-30D35784445F}"/>
    <cellStyle name="Note 2 2 2 9 4" xfId="12157" xr:uid="{113F980E-4AF0-44B0-8778-C435887ECCD5}"/>
    <cellStyle name="Note 2 2 3" xfId="548" xr:uid="{00000000-0005-0000-0000-0000C3200000}"/>
    <cellStyle name="Note 2 2 3 10" xfId="9048" xr:uid="{894401FF-B7D8-49E8-91E6-A1C42DD04D54}"/>
    <cellStyle name="Note 2 2 3 10 2" xfId="27671" xr:uid="{BBEC0422-DF96-4D3F-8777-9BECD895F6D6}"/>
    <cellStyle name="Note 2 2 3 10 3" xfId="18372" xr:uid="{DF066079-64F9-4CB4-AA91-198D1864A15F}"/>
    <cellStyle name="Note 2 2 3 11" xfId="19313" xr:uid="{A7E44075-0850-47BD-80E0-29222089AC8C}"/>
    <cellStyle name="Note 2 2 3 12" xfId="10014" xr:uid="{B87E8941-D6B5-4DF2-8B86-B5D221214465}"/>
    <cellStyle name="Note 2 2 3 2" xfId="1009" xr:uid="{00000000-0005-0000-0000-0000C4200000}"/>
    <cellStyle name="Note 2 2 3 2 2" xfId="3241" xr:uid="{00000000-0005-0000-0000-0000C5200000}"/>
    <cellStyle name="Note 2 2 3 2 2 2" xfId="7463" xr:uid="{00000000-0005-0000-0000-0000C6200000}"/>
    <cellStyle name="Note 2 2 3 2 2 2 2" xfId="26088" xr:uid="{C01CBD2F-0B36-4F8D-8DE1-5E7112256ADE}"/>
    <cellStyle name="Note 2 2 3 2 2 2 3" xfId="16789" xr:uid="{C23799B7-29D3-4971-941E-9F70D9AC5CAF}"/>
    <cellStyle name="Note 2 2 3 2 2 3" xfId="21871" xr:uid="{04E27C09-9EC7-4140-994A-F80D0172F161}"/>
    <cellStyle name="Note 2 2 3 2 2 4" xfId="12572" xr:uid="{B5AEDD2E-677B-48D5-BDD9-588B2B5047F0}"/>
    <cellStyle name="Note 2 2 3 2 3" xfId="5318" xr:uid="{00000000-0005-0000-0000-0000C7200000}"/>
    <cellStyle name="Note 2 2 3 2 3 2" xfId="23943" xr:uid="{6C01E8FF-81E6-44AB-83FF-B4643808E420}"/>
    <cellStyle name="Note 2 2 3 2 3 3" xfId="14644" xr:uid="{35328464-9C65-478B-B724-9A5BBE2A7844}"/>
    <cellStyle name="Note 2 2 3 2 4" xfId="9473" xr:uid="{7711F4E0-385B-44CD-ACEA-5E9D7E4CD8DC}"/>
    <cellStyle name="Note 2 2 3 2 4 2" xfId="28087" xr:uid="{2F6E0781-8134-474A-82D6-28113E581288}"/>
    <cellStyle name="Note 2 2 3 2 4 3" xfId="18788" xr:uid="{BDD0AC0C-43F5-4EB0-9149-82635D2BF13A}"/>
    <cellStyle name="Note 2 2 3 2 5" xfId="19726" xr:uid="{B2E4BDC6-1CF4-4EA9-AA4F-F18FB661514D}"/>
    <cellStyle name="Note 2 2 3 2 6" xfId="10427" xr:uid="{5043AEDA-CED2-47F1-8980-F4201144471A}"/>
    <cellStyle name="Note 2 2 3 3" xfId="1424" xr:uid="{00000000-0005-0000-0000-0000C8200000}"/>
    <cellStyle name="Note 2 2 3 3 2" xfId="3654" xr:uid="{00000000-0005-0000-0000-0000C9200000}"/>
    <cellStyle name="Note 2 2 3 3 2 2" xfId="7876" xr:uid="{00000000-0005-0000-0000-0000CA200000}"/>
    <cellStyle name="Note 2 2 3 3 2 2 2" xfId="26501" xr:uid="{418CB577-C08C-4FE2-B6EA-B81114D137E6}"/>
    <cellStyle name="Note 2 2 3 3 2 2 3" xfId="17202" xr:uid="{9E1CF2F2-CE01-41C6-B8FD-CD0FE25475D8}"/>
    <cellStyle name="Note 2 2 3 3 2 3" xfId="22284" xr:uid="{C6F18A6B-CEC2-45E6-BDA2-261013D7B482}"/>
    <cellStyle name="Note 2 2 3 3 2 4" xfId="12985" xr:uid="{4881A1F4-D459-459D-A1CE-B1D70A838E19}"/>
    <cellStyle name="Note 2 2 3 3 3" xfId="5731" xr:uid="{00000000-0005-0000-0000-0000CB200000}"/>
    <cellStyle name="Note 2 2 3 3 3 2" xfId="24356" xr:uid="{FCCC03E5-529D-4362-82C7-EFB43791F3EC}"/>
    <cellStyle name="Note 2 2 3 3 3 3" xfId="15057" xr:uid="{FA2FF0E7-12A3-4C0B-B6EC-208C2EEA29E1}"/>
    <cellStyle name="Note 2 2 3 3 4" xfId="20139" xr:uid="{45DAF53E-FC24-43C1-A09D-ED11E98656C2}"/>
    <cellStyle name="Note 2 2 3 3 5" xfId="10840" xr:uid="{A1179D8E-2322-48D0-B3E4-B9423B7A9645}"/>
    <cellStyle name="Note 2 2 3 4" xfId="1838" xr:uid="{00000000-0005-0000-0000-0000CC200000}"/>
    <cellStyle name="Note 2 2 3 4 2" xfId="4067" xr:uid="{00000000-0005-0000-0000-0000CD200000}"/>
    <cellStyle name="Note 2 2 3 4 2 2" xfId="8289" xr:uid="{00000000-0005-0000-0000-0000CE200000}"/>
    <cellStyle name="Note 2 2 3 4 2 2 2" xfId="26914" xr:uid="{AFD66DC5-A812-4CDE-A3DC-5FE515745F70}"/>
    <cellStyle name="Note 2 2 3 4 2 2 3" xfId="17615" xr:uid="{E0D4D25B-100D-48A3-A6C6-211237546E04}"/>
    <cellStyle name="Note 2 2 3 4 2 3" xfId="22697" xr:uid="{1631CCE5-555D-41B6-82E6-9D02B9E790B0}"/>
    <cellStyle name="Note 2 2 3 4 2 4" xfId="13398" xr:uid="{1E9421F8-2567-4DDF-AA32-0F9B1E7B9408}"/>
    <cellStyle name="Note 2 2 3 4 3" xfId="6144" xr:uid="{00000000-0005-0000-0000-0000CF200000}"/>
    <cellStyle name="Note 2 2 3 4 3 2" xfId="24769" xr:uid="{B4308BDA-3E00-4485-9F63-6D59525B30BE}"/>
    <cellStyle name="Note 2 2 3 4 3 3" xfId="15470" xr:uid="{CABAFFC4-91D9-4C6B-9763-31918E91967F}"/>
    <cellStyle name="Note 2 2 3 4 4" xfId="20552" xr:uid="{F0625F6A-FDFB-49BB-8965-51D30E23EDF8}"/>
    <cellStyle name="Note 2 2 3 4 5" xfId="11253" xr:uid="{7006D2ED-ADEF-4640-A0F5-4464EDA4BF10}"/>
    <cellStyle name="Note 2 2 3 5" xfId="2251" xr:uid="{00000000-0005-0000-0000-0000D0200000}"/>
    <cellStyle name="Note 2 2 3 5 2" xfId="4480" xr:uid="{00000000-0005-0000-0000-0000D1200000}"/>
    <cellStyle name="Note 2 2 3 5 2 2" xfId="8702" xr:uid="{00000000-0005-0000-0000-0000D2200000}"/>
    <cellStyle name="Note 2 2 3 5 2 2 2" xfId="27327" xr:uid="{ED88E426-C021-4C59-B0F8-C1CE126BD497}"/>
    <cellStyle name="Note 2 2 3 5 2 2 3" xfId="18028" xr:uid="{515992F6-ADBE-4869-BB34-AE420BC18A9B}"/>
    <cellStyle name="Note 2 2 3 5 2 3" xfId="23110" xr:uid="{99B01BC7-3F7F-4379-B010-21BDA0699BB7}"/>
    <cellStyle name="Note 2 2 3 5 2 4" xfId="13811" xr:uid="{87D3D9B7-01D8-4CAA-9FFA-9D6F5BD60E0D}"/>
    <cellStyle name="Note 2 2 3 5 3" xfId="6557" xr:uid="{00000000-0005-0000-0000-0000D3200000}"/>
    <cellStyle name="Note 2 2 3 5 3 2" xfId="25182" xr:uid="{4819DF31-E7BB-457D-A6F5-3729377028E1}"/>
    <cellStyle name="Note 2 2 3 5 3 3" xfId="15883" xr:uid="{0CA0EC85-3218-44D0-B524-65ED7869CF49}"/>
    <cellStyle name="Note 2 2 3 5 4" xfId="20965" xr:uid="{F272D11A-D457-418B-89E5-789172034251}"/>
    <cellStyle name="Note 2 2 3 5 5" xfId="11666" xr:uid="{BB674D83-BA8C-4AB5-87B8-F84DE8F0FB77}"/>
    <cellStyle name="Note 2 2 3 6" xfId="2687" xr:uid="{00000000-0005-0000-0000-0000D4200000}"/>
    <cellStyle name="Note 2 2 3 6 2" xfId="6970" xr:uid="{00000000-0005-0000-0000-0000D5200000}"/>
    <cellStyle name="Note 2 2 3 6 2 2" xfId="25595" xr:uid="{BBC3A5AF-62E8-43C3-BAB3-E5C8C568C353}"/>
    <cellStyle name="Note 2 2 3 6 2 3" xfId="16296" xr:uid="{CB8D0E6B-B651-4081-9F9A-91A0630EF6EA}"/>
    <cellStyle name="Note 2 2 3 6 3" xfId="21378" xr:uid="{DF7448BF-1A18-4726-B4EA-CBD62750E02A}"/>
    <cellStyle name="Note 2 2 3 6 4" xfId="12079" xr:uid="{CE5A39DA-6EFB-4DC5-B541-27AA7C7B8B34}"/>
    <cellStyle name="Note 2 2 3 7" xfId="2746" xr:uid="{00000000-0005-0000-0000-0000D6200000}"/>
    <cellStyle name="Note 2 2 3 8" xfId="2827" xr:uid="{00000000-0005-0000-0000-0000D7200000}"/>
    <cellStyle name="Note 2 2 3 8 2" xfId="7050" xr:uid="{00000000-0005-0000-0000-0000D8200000}"/>
    <cellStyle name="Note 2 2 3 8 2 2" xfId="25675" xr:uid="{653E0B86-78AC-43B7-A3C6-B6D3D6419BBB}"/>
    <cellStyle name="Note 2 2 3 8 2 3" xfId="16376" xr:uid="{86C54BEC-EE01-46AF-9CB0-DAB5D8DF5852}"/>
    <cellStyle name="Note 2 2 3 8 3" xfId="21458" xr:uid="{0A777C28-6FA6-4BC0-80AF-C8B631F1607E}"/>
    <cellStyle name="Note 2 2 3 8 4" xfId="12159" xr:uid="{771E970D-70BB-48FA-A717-74E4C88BB002}"/>
    <cellStyle name="Note 2 2 3 9" xfId="4905" xr:uid="{00000000-0005-0000-0000-0000D9200000}"/>
    <cellStyle name="Note 2 2 3 9 2" xfId="23530" xr:uid="{58CEB29B-F7E4-4708-A274-9BB73D7A8E82}"/>
    <cellStyle name="Note 2 2 3 9 3" xfId="14231" xr:uid="{4332C53F-62EF-47C4-8BDB-45B7EFA52858}"/>
    <cellStyle name="Note 2 2 4" xfId="1006" xr:uid="{00000000-0005-0000-0000-0000DA200000}"/>
    <cellStyle name="Note 2 2 4 2" xfId="3238" xr:uid="{00000000-0005-0000-0000-0000DB200000}"/>
    <cellStyle name="Note 2 2 4 2 2" xfId="7460" xr:uid="{00000000-0005-0000-0000-0000DC200000}"/>
    <cellStyle name="Note 2 2 4 2 2 2" xfId="26085" xr:uid="{3A67E8DE-067A-4704-966C-F6E82A45D1B5}"/>
    <cellStyle name="Note 2 2 4 2 2 3" xfId="16786" xr:uid="{C2990FC9-98C5-4FE1-A6B2-ECCA44988FDA}"/>
    <cellStyle name="Note 2 2 4 2 3" xfId="21868" xr:uid="{B852B97E-DB24-4F06-B563-55317064439B}"/>
    <cellStyle name="Note 2 2 4 2 4" xfId="12569" xr:uid="{DEA4DCA9-C109-44DB-A17A-28AC6DB42C0D}"/>
    <cellStyle name="Note 2 2 4 3" xfId="5315" xr:uid="{00000000-0005-0000-0000-0000DD200000}"/>
    <cellStyle name="Note 2 2 4 3 2" xfId="23940" xr:uid="{A177124A-F343-4697-8A64-C5E09F1BB382}"/>
    <cellStyle name="Note 2 2 4 3 3" xfId="14641" xr:uid="{10373926-71A7-48A3-9AA8-C9F7257993AC}"/>
    <cellStyle name="Note 2 2 4 4" xfId="9266" xr:uid="{8B6F7B8D-50FA-47DA-836F-17B0F9492E54}"/>
    <cellStyle name="Note 2 2 4 4 2" xfId="27880" xr:uid="{45B6127F-756C-4EFC-A804-8E7B2B7A054F}"/>
    <cellStyle name="Note 2 2 4 4 3" xfId="18581" xr:uid="{539A24FB-9E9C-4F64-87ED-84F24FA9AE6D}"/>
    <cellStyle name="Note 2 2 4 5" xfId="19723" xr:uid="{053C5C89-CE98-4BB9-98CB-D84A0EDB7908}"/>
    <cellStyle name="Note 2 2 4 6" xfId="10424" xr:uid="{2DC3BDBE-302B-4540-A388-E55F0E02D25A}"/>
    <cellStyle name="Note 2 2 5" xfId="1421" xr:uid="{00000000-0005-0000-0000-0000DE200000}"/>
    <cellStyle name="Note 2 2 5 2" xfId="3651" xr:uid="{00000000-0005-0000-0000-0000DF200000}"/>
    <cellStyle name="Note 2 2 5 2 2" xfId="7873" xr:uid="{00000000-0005-0000-0000-0000E0200000}"/>
    <cellStyle name="Note 2 2 5 2 2 2" xfId="26498" xr:uid="{E0686CA7-33DE-4140-AEC1-2713EBBE6CA7}"/>
    <cellStyle name="Note 2 2 5 2 2 3" xfId="17199" xr:uid="{92D11063-6AFF-4C29-ABC7-A9E1B22EB190}"/>
    <cellStyle name="Note 2 2 5 2 3" xfId="22281" xr:uid="{B9D7EEF6-64E0-4B31-BD51-335035B26F1F}"/>
    <cellStyle name="Note 2 2 5 2 4" xfId="12982" xr:uid="{9958695C-E8D7-4FC1-977E-A0252F07BC61}"/>
    <cellStyle name="Note 2 2 5 3" xfId="5728" xr:uid="{00000000-0005-0000-0000-0000E1200000}"/>
    <cellStyle name="Note 2 2 5 3 2" xfId="24353" xr:uid="{D1A53C0E-8B32-46DF-9E42-4ABA932BCF8A}"/>
    <cellStyle name="Note 2 2 5 3 3" xfId="15054" xr:uid="{3B2C968E-F358-4821-8EA7-FC8FEE88B938}"/>
    <cellStyle name="Note 2 2 5 4" xfId="20136" xr:uid="{8312CB11-8D30-4B06-B8FA-54DF5BB2A079}"/>
    <cellStyle name="Note 2 2 5 5" xfId="10837" xr:uid="{2F7AAE99-C01F-4CEE-82E9-F339040EB97F}"/>
    <cellStyle name="Note 2 2 6" xfId="1835" xr:uid="{00000000-0005-0000-0000-0000E2200000}"/>
    <cellStyle name="Note 2 2 6 2" xfId="4064" xr:uid="{00000000-0005-0000-0000-0000E3200000}"/>
    <cellStyle name="Note 2 2 6 2 2" xfId="8286" xr:uid="{00000000-0005-0000-0000-0000E4200000}"/>
    <cellStyle name="Note 2 2 6 2 2 2" xfId="26911" xr:uid="{D114AF90-C131-4133-A1E7-F860DDA6DA8E}"/>
    <cellStyle name="Note 2 2 6 2 2 3" xfId="17612" xr:uid="{3CC7A4A0-2CEC-4214-AC0A-AA994D480A47}"/>
    <cellStyle name="Note 2 2 6 2 3" xfId="22694" xr:uid="{3F41CCF1-8ED0-49C5-A083-F333A1448D16}"/>
    <cellStyle name="Note 2 2 6 2 4" xfId="13395" xr:uid="{09476C76-C3AD-4C9F-9CBC-0CFDE0A0E0C2}"/>
    <cellStyle name="Note 2 2 6 3" xfId="6141" xr:uid="{00000000-0005-0000-0000-0000E5200000}"/>
    <cellStyle name="Note 2 2 6 3 2" xfId="24766" xr:uid="{47026F5D-EC95-414C-A9F3-871E011C6732}"/>
    <cellStyle name="Note 2 2 6 3 3" xfId="15467" xr:uid="{D0F439AB-906F-4390-A0D1-7C06A6AA6529}"/>
    <cellStyle name="Note 2 2 6 4" xfId="20549" xr:uid="{3135BFBB-88FA-4A80-A725-82415D71C012}"/>
    <cellStyle name="Note 2 2 6 5" xfId="11250" xr:uid="{2F00C503-21FE-498D-BDC5-269FFB4467D4}"/>
    <cellStyle name="Note 2 2 7" xfId="2248" xr:uid="{00000000-0005-0000-0000-0000E6200000}"/>
    <cellStyle name="Note 2 2 7 2" xfId="4477" xr:uid="{00000000-0005-0000-0000-0000E7200000}"/>
    <cellStyle name="Note 2 2 7 2 2" xfId="8699" xr:uid="{00000000-0005-0000-0000-0000E8200000}"/>
    <cellStyle name="Note 2 2 7 2 2 2" xfId="27324" xr:uid="{8D7B6ADA-BEC7-404A-BF04-CC639708D055}"/>
    <cellStyle name="Note 2 2 7 2 2 3" xfId="18025" xr:uid="{50BEB117-9B53-4D80-8E4A-AB87ADE0D479}"/>
    <cellStyle name="Note 2 2 7 2 3" xfId="23107" xr:uid="{3567C760-DA0C-4431-9B4F-C480F53F36EC}"/>
    <cellStyle name="Note 2 2 7 2 4" xfId="13808" xr:uid="{E282B435-220F-4A95-BCEC-42BE7494AA48}"/>
    <cellStyle name="Note 2 2 7 3" xfId="6554" xr:uid="{00000000-0005-0000-0000-0000E9200000}"/>
    <cellStyle name="Note 2 2 7 3 2" xfId="25179" xr:uid="{60BD13D9-3358-42B3-B0EC-C88A716ACD8F}"/>
    <cellStyle name="Note 2 2 7 3 3" xfId="15880" xr:uid="{83E1FB9E-46C2-46E8-8117-3E2E1335C54D}"/>
    <cellStyle name="Note 2 2 7 4" xfId="20962" xr:uid="{2B0BBDFC-4216-44E9-98BD-65D81D43CD38}"/>
    <cellStyle name="Note 2 2 7 5" xfId="11663" xr:uid="{84ADC929-7BC9-48A0-B3DE-62264111DE18}"/>
    <cellStyle name="Note 2 2 8" xfId="2684" xr:uid="{00000000-0005-0000-0000-0000EA200000}"/>
    <cellStyle name="Note 2 2 8 2" xfId="6967" xr:uid="{00000000-0005-0000-0000-0000EB200000}"/>
    <cellStyle name="Note 2 2 8 2 2" xfId="25592" xr:uid="{67C2E558-27BC-4CD1-A66C-497BA001EE4E}"/>
    <cellStyle name="Note 2 2 8 2 3" xfId="16293" xr:uid="{8CBB8C7D-B797-4183-AA73-0BBADB766F06}"/>
    <cellStyle name="Note 2 2 8 3" xfId="21375" xr:uid="{9E549057-4487-4BDE-BB6E-C568E80DCB64}"/>
    <cellStyle name="Note 2 2 8 4" xfId="12076" xr:uid="{B838FA5D-F2C3-47EB-94C0-03AC0B2FAA77}"/>
    <cellStyle name="Note 2 2 9" xfId="2743" xr:uid="{00000000-0005-0000-0000-0000EC200000}"/>
    <cellStyle name="Note 2 3" xfId="549" xr:uid="{00000000-0005-0000-0000-0000ED200000}"/>
    <cellStyle name="Note 2 3 10" xfId="4906" xr:uid="{00000000-0005-0000-0000-0000EE200000}"/>
    <cellStyle name="Note 2 3 10 2" xfId="23531" xr:uid="{495EF688-5177-4BA1-9B37-7DEB9ABB9D0C}"/>
    <cellStyle name="Note 2 3 10 3" xfId="14232" xr:uid="{9D516DF4-A6A2-4111-8DD6-28D02668DBB1}"/>
    <cellStyle name="Note 2 3 11" xfId="8894" xr:uid="{2BFFE8D0-DA42-4876-8895-58F80713E965}"/>
    <cellStyle name="Note 2 3 11 2" xfId="27517" xr:uid="{1302D2D0-1792-45B3-9F78-DE7BE4881B31}"/>
    <cellStyle name="Note 2 3 11 3" xfId="18218" xr:uid="{6FA8A013-5DA0-41FC-82D7-858FE9CE4E20}"/>
    <cellStyle name="Note 2 3 12" xfId="19314" xr:uid="{E3226759-EB2A-4715-9EFA-0C923707FAA9}"/>
    <cellStyle name="Note 2 3 13" xfId="10015" xr:uid="{3C7BDA09-304A-40F4-8663-88FD5B24CD7E}"/>
    <cellStyle name="Note 2 3 2" xfId="550" xr:uid="{00000000-0005-0000-0000-0000EF200000}"/>
    <cellStyle name="Note 2 3 2 10" xfId="9101" xr:uid="{1822EEA2-225E-465E-B4CD-D4615440EC62}"/>
    <cellStyle name="Note 2 3 2 10 2" xfId="27724" xr:uid="{637861AA-9DD6-4FE7-9874-9E7AEE9C4A65}"/>
    <cellStyle name="Note 2 3 2 10 3" xfId="18425" xr:uid="{1985D361-B351-4280-A784-E0F5EF0AB3EF}"/>
    <cellStyle name="Note 2 3 2 11" xfId="19315" xr:uid="{5BF23F36-D349-4795-BBB7-5D72A5220ED2}"/>
    <cellStyle name="Note 2 3 2 12" xfId="10016" xr:uid="{08475BE7-EB69-45EC-A14D-4A907C3F482F}"/>
    <cellStyle name="Note 2 3 2 2" xfId="1011" xr:uid="{00000000-0005-0000-0000-0000F0200000}"/>
    <cellStyle name="Note 2 3 2 2 2" xfId="3243" xr:uid="{00000000-0005-0000-0000-0000F1200000}"/>
    <cellStyle name="Note 2 3 2 2 2 2" xfId="7465" xr:uid="{00000000-0005-0000-0000-0000F2200000}"/>
    <cellStyle name="Note 2 3 2 2 2 2 2" xfId="26090" xr:uid="{395CC6B3-F49A-4AD4-9548-E3EB7DB270A2}"/>
    <cellStyle name="Note 2 3 2 2 2 2 3" xfId="16791" xr:uid="{16D4C97C-D51B-46EE-B313-948EF6B9EC6B}"/>
    <cellStyle name="Note 2 3 2 2 2 3" xfId="21873" xr:uid="{775A3AAB-93EA-459B-AFF5-8DD677B5EFAC}"/>
    <cellStyle name="Note 2 3 2 2 2 4" xfId="12574" xr:uid="{925AEC99-9A55-443D-943C-517BF6C30C34}"/>
    <cellStyle name="Note 2 3 2 2 3" xfId="5320" xr:uid="{00000000-0005-0000-0000-0000F3200000}"/>
    <cellStyle name="Note 2 3 2 2 3 2" xfId="23945" xr:uid="{BDDD90CA-7528-44FF-A233-2024DC4E7715}"/>
    <cellStyle name="Note 2 3 2 2 3 3" xfId="14646" xr:uid="{F904FD75-8443-46B5-ADCC-BC59FAECDAB9}"/>
    <cellStyle name="Note 2 3 2 2 4" xfId="9526" xr:uid="{1C428179-0C82-4F5D-9FE4-E11D597F9E89}"/>
    <cellStyle name="Note 2 3 2 2 4 2" xfId="28140" xr:uid="{F73C5772-8B60-4766-AF3A-D29CAA2C17E7}"/>
    <cellStyle name="Note 2 3 2 2 4 3" xfId="18841" xr:uid="{3EF79223-9840-4581-995D-C77DEA578D91}"/>
    <cellStyle name="Note 2 3 2 2 5" xfId="19728" xr:uid="{A5BFDEE3-3688-47DC-82FC-C6036C5BACED}"/>
    <cellStyle name="Note 2 3 2 2 6" xfId="10429" xr:uid="{B75646A7-A952-4A89-AF3D-7FE8C545D882}"/>
    <cellStyle name="Note 2 3 2 3" xfId="1426" xr:uid="{00000000-0005-0000-0000-0000F4200000}"/>
    <cellStyle name="Note 2 3 2 3 2" xfId="3656" xr:uid="{00000000-0005-0000-0000-0000F5200000}"/>
    <cellStyle name="Note 2 3 2 3 2 2" xfId="7878" xr:uid="{00000000-0005-0000-0000-0000F6200000}"/>
    <cellStyle name="Note 2 3 2 3 2 2 2" xfId="26503" xr:uid="{D5E9D5A7-268F-43B0-A027-6A94ADF9A86B}"/>
    <cellStyle name="Note 2 3 2 3 2 2 3" xfId="17204" xr:uid="{3570AB34-9DE5-4074-B596-34ED1C24FEF8}"/>
    <cellStyle name="Note 2 3 2 3 2 3" xfId="22286" xr:uid="{32A581C5-59B7-4B77-98BE-0B3BFC9DEB4A}"/>
    <cellStyle name="Note 2 3 2 3 2 4" xfId="12987" xr:uid="{61185597-CD2E-4FB4-A17E-5DBDAA75DC46}"/>
    <cellStyle name="Note 2 3 2 3 3" xfId="5733" xr:uid="{00000000-0005-0000-0000-0000F7200000}"/>
    <cellStyle name="Note 2 3 2 3 3 2" xfId="24358" xr:uid="{63EB6F58-0537-41D2-8B03-BADB4B37CD6E}"/>
    <cellStyle name="Note 2 3 2 3 3 3" xfId="15059" xr:uid="{D64DD497-55CE-4674-AEE0-4B0176375B60}"/>
    <cellStyle name="Note 2 3 2 3 4" xfId="20141" xr:uid="{8E668DC7-C1A5-425B-B3D5-38CEC5DCAF8D}"/>
    <cellStyle name="Note 2 3 2 3 5" xfId="10842" xr:uid="{F1EC3748-40EE-4A83-9255-AC82E069EE7B}"/>
    <cellStyle name="Note 2 3 2 4" xfId="1840" xr:uid="{00000000-0005-0000-0000-0000F8200000}"/>
    <cellStyle name="Note 2 3 2 4 2" xfId="4069" xr:uid="{00000000-0005-0000-0000-0000F9200000}"/>
    <cellStyle name="Note 2 3 2 4 2 2" xfId="8291" xr:uid="{00000000-0005-0000-0000-0000FA200000}"/>
    <cellStyle name="Note 2 3 2 4 2 2 2" xfId="26916" xr:uid="{487128AA-04B5-468C-AF29-A23E06C850EC}"/>
    <cellStyle name="Note 2 3 2 4 2 2 3" xfId="17617" xr:uid="{C726A1BC-41D5-4B07-8EA8-36E2114F7622}"/>
    <cellStyle name="Note 2 3 2 4 2 3" xfId="22699" xr:uid="{0B2941E3-0C24-48E1-82E3-8178BCF5BB3E}"/>
    <cellStyle name="Note 2 3 2 4 2 4" xfId="13400" xr:uid="{39FB8D94-DFF0-4710-92BB-15E06F367CE6}"/>
    <cellStyle name="Note 2 3 2 4 3" xfId="6146" xr:uid="{00000000-0005-0000-0000-0000FB200000}"/>
    <cellStyle name="Note 2 3 2 4 3 2" xfId="24771" xr:uid="{1EAC5E01-D45E-435A-A35E-7D1FC18ADBCD}"/>
    <cellStyle name="Note 2 3 2 4 3 3" xfId="15472" xr:uid="{B37DE2C4-BD5C-4ECE-AD5B-09FE02631E90}"/>
    <cellStyle name="Note 2 3 2 4 4" xfId="20554" xr:uid="{F2152DAC-11CC-4E5C-8FDB-61769353BBFE}"/>
    <cellStyle name="Note 2 3 2 4 5" xfId="11255" xr:uid="{98F0E441-1122-4C57-8013-949F1D221AD5}"/>
    <cellStyle name="Note 2 3 2 5" xfId="2253" xr:uid="{00000000-0005-0000-0000-0000FC200000}"/>
    <cellStyle name="Note 2 3 2 5 2" xfId="4482" xr:uid="{00000000-0005-0000-0000-0000FD200000}"/>
    <cellStyle name="Note 2 3 2 5 2 2" xfId="8704" xr:uid="{00000000-0005-0000-0000-0000FE200000}"/>
    <cellStyle name="Note 2 3 2 5 2 2 2" xfId="27329" xr:uid="{8D380AC6-2C2B-4433-8FC0-86F17CAACBE1}"/>
    <cellStyle name="Note 2 3 2 5 2 2 3" xfId="18030" xr:uid="{18E8EAF5-A88A-47FF-A231-228A0FE712F4}"/>
    <cellStyle name="Note 2 3 2 5 2 3" xfId="23112" xr:uid="{5779E8AF-8949-4C99-B6F6-70EDF294BC10}"/>
    <cellStyle name="Note 2 3 2 5 2 4" xfId="13813" xr:uid="{86003DD3-CAAE-490B-B2EB-1B1577DCB35C}"/>
    <cellStyle name="Note 2 3 2 5 3" xfId="6559" xr:uid="{00000000-0005-0000-0000-0000FF200000}"/>
    <cellStyle name="Note 2 3 2 5 3 2" xfId="25184" xr:uid="{CAB2F67C-9DE1-44BE-A3E3-DC8B189757C0}"/>
    <cellStyle name="Note 2 3 2 5 3 3" xfId="15885" xr:uid="{84C47C2A-B72E-47D2-9002-9EC6D4AA7C1E}"/>
    <cellStyle name="Note 2 3 2 5 4" xfId="20967" xr:uid="{2B7D7122-C504-46FC-9D6C-5EA23879F8B3}"/>
    <cellStyle name="Note 2 3 2 5 5" xfId="11668" xr:uid="{E0394D90-ED25-44CE-BA41-3E91D7ADA636}"/>
    <cellStyle name="Note 2 3 2 6" xfId="2689" xr:uid="{00000000-0005-0000-0000-000000210000}"/>
    <cellStyle name="Note 2 3 2 6 2" xfId="6972" xr:uid="{00000000-0005-0000-0000-000001210000}"/>
    <cellStyle name="Note 2 3 2 6 2 2" xfId="25597" xr:uid="{3ED4B657-2E0D-41CD-864B-B1B76BFDE6A8}"/>
    <cellStyle name="Note 2 3 2 6 2 3" xfId="16298" xr:uid="{21F3196F-56F9-4803-92A1-0C872B227983}"/>
    <cellStyle name="Note 2 3 2 6 3" xfId="21380" xr:uid="{3BA19FD2-B8FE-48C2-9B77-F00DAF496E2F}"/>
    <cellStyle name="Note 2 3 2 6 4" xfId="12081" xr:uid="{F9F1B996-AC7A-4F94-A2D9-E1E4421686E0}"/>
    <cellStyle name="Note 2 3 2 7" xfId="2748" xr:uid="{00000000-0005-0000-0000-000002210000}"/>
    <cellStyle name="Note 2 3 2 8" xfId="2829" xr:uid="{00000000-0005-0000-0000-000003210000}"/>
    <cellStyle name="Note 2 3 2 8 2" xfId="7052" xr:uid="{00000000-0005-0000-0000-000004210000}"/>
    <cellStyle name="Note 2 3 2 8 2 2" xfId="25677" xr:uid="{DAAC5F9C-9A1E-43A4-91E1-9A83D50D32BD}"/>
    <cellStyle name="Note 2 3 2 8 2 3" xfId="16378" xr:uid="{2B21AEFA-19CE-43E7-BE88-29056318B6BC}"/>
    <cellStyle name="Note 2 3 2 8 3" xfId="21460" xr:uid="{618FAC0F-10E4-4D12-AD66-758347BB2716}"/>
    <cellStyle name="Note 2 3 2 8 4" xfId="12161" xr:uid="{DC35BCC9-8BB1-45DF-A80E-4F44F069A0FF}"/>
    <cellStyle name="Note 2 3 2 9" xfId="4907" xr:uid="{00000000-0005-0000-0000-000005210000}"/>
    <cellStyle name="Note 2 3 2 9 2" xfId="23532" xr:uid="{76B8D2D5-6C04-4002-A231-0F49EC1470CD}"/>
    <cellStyle name="Note 2 3 2 9 3" xfId="14233" xr:uid="{546F4584-3E35-425D-82D6-A298368C2CCC}"/>
    <cellStyle name="Note 2 3 3" xfId="1010" xr:uid="{00000000-0005-0000-0000-000006210000}"/>
    <cellStyle name="Note 2 3 3 2" xfId="3242" xr:uid="{00000000-0005-0000-0000-000007210000}"/>
    <cellStyle name="Note 2 3 3 2 2" xfId="7464" xr:uid="{00000000-0005-0000-0000-000008210000}"/>
    <cellStyle name="Note 2 3 3 2 2 2" xfId="26089" xr:uid="{2A2AC878-B658-46C7-8533-E343539C3554}"/>
    <cellStyle name="Note 2 3 3 2 2 3" xfId="16790" xr:uid="{504D9014-05A4-41FA-B77C-6CB38A7FCC91}"/>
    <cellStyle name="Note 2 3 3 2 3" xfId="21872" xr:uid="{4CDDD65D-46FA-4811-AC6B-C89EAACA4296}"/>
    <cellStyle name="Note 2 3 3 2 4" xfId="12573" xr:uid="{AD0D4C8D-36F4-4C78-A7B3-61913A3F3A02}"/>
    <cellStyle name="Note 2 3 3 3" xfId="5319" xr:uid="{00000000-0005-0000-0000-000009210000}"/>
    <cellStyle name="Note 2 3 3 3 2" xfId="23944" xr:uid="{25AC7AC6-0DAD-4A24-892B-81BED9C3AD09}"/>
    <cellStyle name="Note 2 3 3 3 3" xfId="14645" xr:uid="{12FEE3A3-AB5E-475D-A619-4CB24B8CB1FD}"/>
    <cellStyle name="Note 2 3 3 4" xfId="9319" xr:uid="{06E4A3C6-5CAA-4424-B4C3-41162F21AE7D}"/>
    <cellStyle name="Note 2 3 3 4 2" xfId="27933" xr:uid="{2ED21968-5109-4FE5-AFFF-4C95E555B7C1}"/>
    <cellStyle name="Note 2 3 3 4 3" xfId="18634" xr:uid="{BCF527D2-A783-4CAB-A7BE-8A133E86F76B}"/>
    <cellStyle name="Note 2 3 3 5" xfId="19727" xr:uid="{51B44D08-71F0-445D-8F01-553E793F0D97}"/>
    <cellStyle name="Note 2 3 3 6" xfId="10428" xr:uid="{82533CA3-D712-4DCE-92D1-DAA31EFF8601}"/>
    <cellStyle name="Note 2 3 4" xfId="1425" xr:uid="{00000000-0005-0000-0000-00000A210000}"/>
    <cellStyle name="Note 2 3 4 2" xfId="3655" xr:uid="{00000000-0005-0000-0000-00000B210000}"/>
    <cellStyle name="Note 2 3 4 2 2" xfId="7877" xr:uid="{00000000-0005-0000-0000-00000C210000}"/>
    <cellStyle name="Note 2 3 4 2 2 2" xfId="26502" xr:uid="{243995C4-087C-4322-A7D0-41EDFD77A0FA}"/>
    <cellStyle name="Note 2 3 4 2 2 3" xfId="17203" xr:uid="{CD630F93-169B-4F76-866A-F6204ABAFAE2}"/>
    <cellStyle name="Note 2 3 4 2 3" xfId="22285" xr:uid="{A8136E5E-5E67-46C3-AF98-CE59CBC78BE1}"/>
    <cellStyle name="Note 2 3 4 2 4" xfId="12986" xr:uid="{7A23BD86-ED68-460B-8B21-A4D12EAC9E78}"/>
    <cellStyle name="Note 2 3 4 3" xfId="5732" xr:uid="{00000000-0005-0000-0000-00000D210000}"/>
    <cellStyle name="Note 2 3 4 3 2" xfId="24357" xr:uid="{EB53250D-AD19-4444-A188-2D6CB2455F6D}"/>
    <cellStyle name="Note 2 3 4 3 3" xfId="15058" xr:uid="{472FABEE-59DF-4DEA-8249-A9C3A2519338}"/>
    <cellStyle name="Note 2 3 4 4" xfId="20140" xr:uid="{A12A9111-EF26-4828-BCF6-A62CA31B4DC0}"/>
    <cellStyle name="Note 2 3 4 5" xfId="10841" xr:uid="{19D5E3B6-AB87-4CA3-823F-4ADA2825AADB}"/>
    <cellStyle name="Note 2 3 5" xfId="1839" xr:uid="{00000000-0005-0000-0000-00000E210000}"/>
    <cellStyle name="Note 2 3 5 2" xfId="4068" xr:uid="{00000000-0005-0000-0000-00000F210000}"/>
    <cellStyle name="Note 2 3 5 2 2" xfId="8290" xr:uid="{00000000-0005-0000-0000-000010210000}"/>
    <cellStyle name="Note 2 3 5 2 2 2" xfId="26915" xr:uid="{E615007E-5BFA-4AA9-A4DD-AB3E9EDF1187}"/>
    <cellStyle name="Note 2 3 5 2 2 3" xfId="17616" xr:uid="{352AAB31-3C91-45EB-BFEA-8D9C6AF6E283}"/>
    <cellStyle name="Note 2 3 5 2 3" xfId="22698" xr:uid="{8FF7DC9E-5FDB-42E6-99A5-2F6E7517D54C}"/>
    <cellStyle name="Note 2 3 5 2 4" xfId="13399" xr:uid="{6D54C716-3E58-4444-ACA6-9513B02CDFE1}"/>
    <cellStyle name="Note 2 3 5 3" xfId="6145" xr:uid="{00000000-0005-0000-0000-000011210000}"/>
    <cellStyle name="Note 2 3 5 3 2" xfId="24770" xr:uid="{7C593514-739E-40CA-B73F-B1BCD0E64D9B}"/>
    <cellStyle name="Note 2 3 5 3 3" xfId="15471" xr:uid="{4807943E-810A-43E1-A932-A1403B563077}"/>
    <cellStyle name="Note 2 3 5 4" xfId="20553" xr:uid="{F31D3D7D-BCEB-4420-9141-AD0550E84F3D}"/>
    <cellStyle name="Note 2 3 5 5" xfId="11254" xr:uid="{EA7BF762-1F5B-4F3D-BF75-F11BFD61B7EB}"/>
    <cellStyle name="Note 2 3 6" xfId="2252" xr:uid="{00000000-0005-0000-0000-000012210000}"/>
    <cellStyle name="Note 2 3 6 2" xfId="4481" xr:uid="{00000000-0005-0000-0000-000013210000}"/>
    <cellStyle name="Note 2 3 6 2 2" xfId="8703" xr:uid="{00000000-0005-0000-0000-000014210000}"/>
    <cellStyle name="Note 2 3 6 2 2 2" xfId="27328" xr:uid="{A87F94C0-4CC1-4E46-ACB8-A09F692082F7}"/>
    <cellStyle name="Note 2 3 6 2 2 3" xfId="18029" xr:uid="{EB11CAB7-E3BC-4143-B609-AA3316DCF2F3}"/>
    <cellStyle name="Note 2 3 6 2 3" xfId="23111" xr:uid="{B7BE9BC5-D60B-4D4D-A96D-09F071D71AEA}"/>
    <cellStyle name="Note 2 3 6 2 4" xfId="13812" xr:uid="{0569D7FB-798B-44CD-AB67-C1727C2C634B}"/>
    <cellStyle name="Note 2 3 6 3" xfId="6558" xr:uid="{00000000-0005-0000-0000-000015210000}"/>
    <cellStyle name="Note 2 3 6 3 2" xfId="25183" xr:uid="{88174F0D-F286-4CD5-A234-9194497C8519}"/>
    <cellStyle name="Note 2 3 6 3 3" xfId="15884" xr:uid="{CC057EFE-39C8-49E0-AFCC-FA3DD1AD7263}"/>
    <cellStyle name="Note 2 3 6 4" xfId="20966" xr:uid="{D720D459-3AF0-4373-82BD-46A65DDEED09}"/>
    <cellStyle name="Note 2 3 6 5" xfId="11667" xr:uid="{7254DB6B-1D61-4D01-9864-879DD5B06D25}"/>
    <cellStyle name="Note 2 3 7" xfId="2688" xr:uid="{00000000-0005-0000-0000-000016210000}"/>
    <cellStyle name="Note 2 3 7 2" xfId="6971" xr:uid="{00000000-0005-0000-0000-000017210000}"/>
    <cellStyle name="Note 2 3 7 2 2" xfId="25596" xr:uid="{99BC3A81-188B-4821-AE1D-740AE5A7393C}"/>
    <cellStyle name="Note 2 3 7 2 3" xfId="16297" xr:uid="{48F22197-0471-4261-A9A9-092A3FC633BA}"/>
    <cellStyle name="Note 2 3 7 3" xfId="21379" xr:uid="{52BC1EA3-4881-47F7-BD28-C0E19200D7AC}"/>
    <cellStyle name="Note 2 3 7 4" xfId="12080" xr:uid="{A46EB338-C54B-4FB7-95B9-DCE1CBACAA7D}"/>
    <cellStyle name="Note 2 3 8" xfId="2747" xr:uid="{00000000-0005-0000-0000-000018210000}"/>
    <cellStyle name="Note 2 3 9" xfId="2828" xr:uid="{00000000-0005-0000-0000-000019210000}"/>
    <cellStyle name="Note 2 3 9 2" xfId="7051" xr:uid="{00000000-0005-0000-0000-00001A210000}"/>
    <cellStyle name="Note 2 3 9 2 2" xfId="25676" xr:uid="{C3703956-7D90-4DB2-B695-95F09F510ED0}"/>
    <cellStyle name="Note 2 3 9 2 3" xfId="16377" xr:uid="{56986F37-8A2D-42D2-A190-9F344F6E17BB}"/>
    <cellStyle name="Note 2 3 9 3" xfId="21459" xr:uid="{22D54C16-CD57-4D2A-94C2-CFCA4130F8F1}"/>
    <cellStyle name="Note 2 3 9 4" xfId="12160" xr:uid="{30C4F916-ECF3-4CB6-A54B-413C2FA730A6}"/>
    <cellStyle name="Note 2 4" xfId="551" xr:uid="{00000000-0005-0000-0000-00001B210000}"/>
    <cellStyle name="Note 2 4 10" xfId="8998" xr:uid="{AC87C288-14A9-4FB3-A26C-1706964E6651}"/>
    <cellStyle name="Note 2 4 10 2" xfId="27621" xr:uid="{B6C143D5-098C-414F-8B85-E150A01F583B}"/>
    <cellStyle name="Note 2 4 10 3" xfId="18322" xr:uid="{5A2A0505-9C3D-4C5F-9AD6-913567C54047}"/>
    <cellStyle name="Note 2 4 11" xfId="19316" xr:uid="{F235F83C-C177-4C39-AE45-42D2981BA454}"/>
    <cellStyle name="Note 2 4 12" xfId="10017" xr:uid="{5E99D1D8-F5F1-4402-8E5C-64AA7A9876C4}"/>
    <cellStyle name="Note 2 4 2" xfId="1012" xr:uid="{00000000-0005-0000-0000-00001C210000}"/>
    <cellStyle name="Note 2 4 2 2" xfId="3244" xr:uid="{00000000-0005-0000-0000-00001D210000}"/>
    <cellStyle name="Note 2 4 2 2 2" xfId="7466" xr:uid="{00000000-0005-0000-0000-00001E210000}"/>
    <cellStyle name="Note 2 4 2 2 2 2" xfId="26091" xr:uid="{3161C7ED-5CBB-4231-9FC5-2299A1F27C5C}"/>
    <cellStyle name="Note 2 4 2 2 2 3" xfId="16792" xr:uid="{DDCB1F4B-7F7A-41DA-A15B-24982EFACA59}"/>
    <cellStyle name="Note 2 4 2 2 3" xfId="21874" xr:uid="{6181E296-563F-46AC-ABD9-7184B41C655B}"/>
    <cellStyle name="Note 2 4 2 2 4" xfId="12575" xr:uid="{42EE1ACD-2091-4AE6-9D66-BA56544CAE93}"/>
    <cellStyle name="Note 2 4 2 3" xfId="5321" xr:uid="{00000000-0005-0000-0000-00001F210000}"/>
    <cellStyle name="Note 2 4 2 3 2" xfId="23946" xr:uid="{2D586F50-C866-4691-8B86-2B1E0FF020A9}"/>
    <cellStyle name="Note 2 4 2 3 3" xfId="14647" xr:uid="{6AB76999-886D-4AF1-BC7D-CA8BF95662FE}"/>
    <cellStyle name="Note 2 4 2 4" xfId="9423" xr:uid="{43B93802-BE55-43D9-BEBC-4095E3C1FF74}"/>
    <cellStyle name="Note 2 4 2 4 2" xfId="28037" xr:uid="{D27E4E05-E950-4A5F-B8E7-D04E04D15D5B}"/>
    <cellStyle name="Note 2 4 2 4 3" xfId="18738" xr:uid="{A2124119-8C0A-4C06-BEEE-3A18F97ACF17}"/>
    <cellStyle name="Note 2 4 2 5" xfId="19729" xr:uid="{CB22172B-4131-407D-9416-BDC87B14C753}"/>
    <cellStyle name="Note 2 4 2 6" xfId="10430" xr:uid="{D4B64D7A-54A4-4780-B234-8590D06854CA}"/>
    <cellStyle name="Note 2 4 3" xfId="1427" xr:uid="{00000000-0005-0000-0000-000020210000}"/>
    <cellStyle name="Note 2 4 3 2" xfId="3657" xr:uid="{00000000-0005-0000-0000-000021210000}"/>
    <cellStyle name="Note 2 4 3 2 2" xfId="7879" xr:uid="{00000000-0005-0000-0000-000022210000}"/>
    <cellStyle name="Note 2 4 3 2 2 2" xfId="26504" xr:uid="{689A66E4-31D3-4291-AF05-0DCA5E580806}"/>
    <cellStyle name="Note 2 4 3 2 2 3" xfId="17205" xr:uid="{27E6422C-CC43-4C94-98AB-87F3A27F7896}"/>
    <cellStyle name="Note 2 4 3 2 3" xfId="22287" xr:uid="{81E638B0-2CD2-466E-8AE3-E0DF4B7B1F66}"/>
    <cellStyle name="Note 2 4 3 2 4" xfId="12988" xr:uid="{2C27213A-7F28-464F-B598-ACB49759B2F1}"/>
    <cellStyle name="Note 2 4 3 3" xfId="5734" xr:uid="{00000000-0005-0000-0000-000023210000}"/>
    <cellStyle name="Note 2 4 3 3 2" xfId="24359" xr:uid="{ED9A6CC3-6CD8-4F71-B57B-D1FC02819281}"/>
    <cellStyle name="Note 2 4 3 3 3" xfId="15060" xr:uid="{469261B2-B810-4B19-991A-1A2A230A198F}"/>
    <cellStyle name="Note 2 4 3 4" xfId="20142" xr:uid="{94AAA28F-8B03-46B3-B245-B0BF259F7E71}"/>
    <cellStyle name="Note 2 4 3 5" xfId="10843" xr:uid="{D118F387-90CD-4A12-A626-89388E08BEC5}"/>
    <cellStyle name="Note 2 4 4" xfId="1841" xr:uid="{00000000-0005-0000-0000-000024210000}"/>
    <cellStyle name="Note 2 4 4 2" xfId="4070" xr:uid="{00000000-0005-0000-0000-000025210000}"/>
    <cellStyle name="Note 2 4 4 2 2" xfId="8292" xr:uid="{00000000-0005-0000-0000-000026210000}"/>
    <cellStyle name="Note 2 4 4 2 2 2" xfId="26917" xr:uid="{29DE35B9-49CB-4F23-B9A2-E7608C8EB9F7}"/>
    <cellStyle name="Note 2 4 4 2 2 3" xfId="17618" xr:uid="{03B46576-CB5A-4F49-8E2A-919F7EC926E7}"/>
    <cellStyle name="Note 2 4 4 2 3" xfId="22700" xr:uid="{C1827104-7D3B-43E7-96D8-9CA0FDE9684F}"/>
    <cellStyle name="Note 2 4 4 2 4" xfId="13401" xr:uid="{4E050170-85C3-498A-ABDF-7887511CC1D6}"/>
    <cellStyle name="Note 2 4 4 3" xfId="6147" xr:uid="{00000000-0005-0000-0000-000027210000}"/>
    <cellStyle name="Note 2 4 4 3 2" xfId="24772" xr:uid="{E55503BE-1525-4120-9848-18821396DB85}"/>
    <cellStyle name="Note 2 4 4 3 3" xfId="15473" xr:uid="{009CCAF5-9904-4198-B991-451CDC070E78}"/>
    <cellStyle name="Note 2 4 4 4" xfId="20555" xr:uid="{8BC083DF-BA94-457E-88BE-FCA12DC74B00}"/>
    <cellStyle name="Note 2 4 4 5" xfId="11256" xr:uid="{E08E6281-B80E-4264-B3C8-32170A297F0B}"/>
    <cellStyle name="Note 2 4 5" xfId="2254" xr:uid="{00000000-0005-0000-0000-000028210000}"/>
    <cellStyle name="Note 2 4 5 2" xfId="4483" xr:uid="{00000000-0005-0000-0000-000029210000}"/>
    <cellStyle name="Note 2 4 5 2 2" xfId="8705" xr:uid="{00000000-0005-0000-0000-00002A210000}"/>
    <cellStyle name="Note 2 4 5 2 2 2" xfId="27330" xr:uid="{CDA344D0-013F-4CAE-8B38-09B6C02A8106}"/>
    <cellStyle name="Note 2 4 5 2 2 3" xfId="18031" xr:uid="{71D9B831-88E8-4FED-A431-B07468B6B178}"/>
    <cellStyle name="Note 2 4 5 2 3" xfId="23113" xr:uid="{98C36E4F-D37E-48BB-85B3-8F2328700744}"/>
    <cellStyle name="Note 2 4 5 2 4" xfId="13814" xr:uid="{EA2AF4C5-41D9-445E-A66A-BBC302FE0D95}"/>
    <cellStyle name="Note 2 4 5 3" xfId="6560" xr:uid="{00000000-0005-0000-0000-00002B210000}"/>
    <cellStyle name="Note 2 4 5 3 2" xfId="25185" xr:uid="{1E629CAB-0FC2-4B79-AB22-7296E8A74FCE}"/>
    <cellStyle name="Note 2 4 5 3 3" xfId="15886" xr:uid="{DF4D7CAE-4955-4A10-AF41-E22B0B73187F}"/>
    <cellStyle name="Note 2 4 5 4" xfId="20968" xr:uid="{88E0BB1A-64C1-4B3F-9947-A02074BAAD4C}"/>
    <cellStyle name="Note 2 4 5 5" xfId="11669" xr:uid="{3EB3CD8F-F204-4B28-9418-A724741ADF57}"/>
    <cellStyle name="Note 2 4 6" xfId="2690" xr:uid="{00000000-0005-0000-0000-00002C210000}"/>
    <cellStyle name="Note 2 4 6 2" xfId="6973" xr:uid="{00000000-0005-0000-0000-00002D210000}"/>
    <cellStyle name="Note 2 4 6 2 2" xfId="25598" xr:uid="{7532A754-ABF0-465D-99F6-D1519F68796D}"/>
    <cellStyle name="Note 2 4 6 2 3" xfId="16299" xr:uid="{22E2E6D9-F9F5-4F55-AE82-E9B65B850073}"/>
    <cellStyle name="Note 2 4 6 3" xfId="21381" xr:uid="{21C6A761-973C-44CF-86C8-469E79D1EDF8}"/>
    <cellStyle name="Note 2 4 6 4" xfId="12082" xr:uid="{CB52E201-0126-46B2-850E-9ADC56B3E53F}"/>
    <cellStyle name="Note 2 4 7" xfId="2749" xr:uid="{00000000-0005-0000-0000-00002E210000}"/>
    <cellStyle name="Note 2 4 8" xfId="2830" xr:uid="{00000000-0005-0000-0000-00002F210000}"/>
    <cellStyle name="Note 2 4 8 2" xfId="7053" xr:uid="{00000000-0005-0000-0000-000030210000}"/>
    <cellStyle name="Note 2 4 8 2 2" xfId="25678" xr:uid="{23DF8406-867C-4832-A5B2-52820561A578}"/>
    <cellStyle name="Note 2 4 8 2 3" xfId="16379" xr:uid="{BCF69CC0-7CAF-4BA9-9504-B34096BA315E}"/>
    <cellStyle name="Note 2 4 8 3" xfId="21461" xr:uid="{9D9CA94B-5DF0-4840-8BA3-28122ADB700C}"/>
    <cellStyle name="Note 2 4 8 4" xfId="12162" xr:uid="{FAA847A5-54D7-40E9-A00C-B1D34E2BEB3D}"/>
    <cellStyle name="Note 2 4 9" xfId="4908" xr:uid="{00000000-0005-0000-0000-000031210000}"/>
    <cellStyle name="Note 2 4 9 2" xfId="23533" xr:uid="{700C0C6D-651F-4707-9895-A21B66F540F2}"/>
    <cellStyle name="Note 2 4 9 3" xfId="14234" xr:uid="{B6205D2D-3B47-4841-A39F-11B825CBCB9E}"/>
    <cellStyle name="Note 2 5" xfId="552" xr:uid="{00000000-0005-0000-0000-000032210000}"/>
    <cellStyle name="Note 2 5 10" xfId="9215" xr:uid="{69947D86-0683-476F-9E74-96CA08091560}"/>
    <cellStyle name="Note 2 5 10 2" xfId="27830" xr:uid="{CE0D27B4-CDF1-411A-ABDD-52B0FB385342}"/>
    <cellStyle name="Note 2 5 10 3" xfId="18531" xr:uid="{02BE5415-2CB2-4D78-B976-05E17EC2ECC8}"/>
    <cellStyle name="Note 2 5 11" xfId="19317" xr:uid="{E64D9967-87F1-491F-9944-DC4AB57398C5}"/>
    <cellStyle name="Note 2 5 12" xfId="10018" xr:uid="{EB97F57C-AA91-4A2A-87F6-797E6A523C8B}"/>
    <cellStyle name="Note 2 5 2" xfId="1013" xr:uid="{00000000-0005-0000-0000-000033210000}"/>
    <cellStyle name="Note 2 5 2 2" xfId="3245" xr:uid="{00000000-0005-0000-0000-000034210000}"/>
    <cellStyle name="Note 2 5 2 2 2" xfId="7467" xr:uid="{00000000-0005-0000-0000-000035210000}"/>
    <cellStyle name="Note 2 5 2 2 2 2" xfId="26092" xr:uid="{4C759E6C-C379-45CD-B1F7-092104F26B94}"/>
    <cellStyle name="Note 2 5 2 2 2 3" xfId="16793" xr:uid="{03ECDA95-2B48-4B46-9439-56D2691AFF8D}"/>
    <cellStyle name="Note 2 5 2 2 3" xfId="21875" xr:uid="{99DDABB9-4101-4995-8AC7-D07BD5BEE9EC}"/>
    <cellStyle name="Note 2 5 2 2 4" xfId="12576" xr:uid="{531006C0-6DAC-4B0B-9578-0A6C3F3A670E}"/>
    <cellStyle name="Note 2 5 2 3" xfId="5322" xr:uid="{00000000-0005-0000-0000-000036210000}"/>
    <cellStyle name="Note 2 5 2 3 2" xfId="23947" xr:uid="{48CE3A73-E494-4D0D-9E1E-66B23A905107}"/>
    <cellStyle name="Note 2 5 2 3 3" xfId="14648" xr:uid="{1F7B0C51-7A30-40B0-9B02-35915288831C}"/>
    <cellStyle name="Note 2 5 2 4" xfId="9610" xr:uid="{26530D10-1DF8-4FA4-8FC9-4C945AA92A94}"/>
    <cellStyle name="Note 2 5 2 4 2" xfId="28209" xr:uid="{06908ADF-26ED-4098-AB64-4B34C28CC804}"/>
    <cellStyle name="Note 2 5 2 4 3" xfId="18910" xr:uid="{658A7E22-A1F8-476D-B461-64699EDD42CF}"/>
    <cellStyle name="Note 2 5 2 5" xfId="19730" xr:uid="{47BEC451-0CC1-474E-BC91-E54AA454FF5D}"/>
    <cellStyle name="Note 2 5 2 6" xfId="10431" xr:uid="{819B36DC-303E-446D-8435-C6350981A029}"/>
    <cellStyle name="Note 2 5 3" xfId="1428" xr:uid="{00000000-0005-0000-0000-000037210000}"/>
    <cellStyle name="Note 2 5 3 2" xfId="3658" xr:uid="{00000000-0005-0000-0000-000038210000}"/>
    <cellStyle name="Note 2 5 3 2 2" xfId="7880" xr:uid="{00000000-0005-0000-0000-000039210000}"/>
    <cellStyle name="Note 2 5 3 2 2 2" xfId="26505" xr:uid="{7CD1591D-7612-4928-B517-A612CFF09095}"/>
    <cellStyle name="Note 2 5 3 2 2 3" xfId="17206" xr:uid="{BEA0796D-FAA5-453C-9EFB-D81892CEDAB7}"/>
    <cellStyle name="Note 2 5 3 2 3" xfId="22288" xr:uid="{1EB6BDD5-9B61-405B-A4AF-8E3E4728F264}"/>
    <cellStyle name="Note 2 5 3 2 4" xfId="12989" xr:uid="{79315632-AB26-4E6B-8FB8-6BD2515374AF}"/>
    <cellStyle name="Note 2 5 3 3" xfId="5735" xr:uid="{00000000-0005-0000-0000-00003A210000}"/>
    <cellStyle name="Note 2 5 3 3 2" xfId="24360" xr:uid="{4129AA5D-56F5-4F62-B837-7A9D0CDA7B2D}"/>
    <cellStyle name="Note 2 5 3 3 3" xfId="15061" xr:uid="{4DFBD75B-6BC2-4F39-87B4-28601B824764}"/>
    <cellStyle name="Note 2 5 3 4" xfId="20143" xr:uid="{3FCA4D93-33F2-4576-A788-E04E7C49326B}"/>
    <cellStyle name="Note 2 5 3 5" xfId="10844" xr:uid="{A7D05880-852B-472B-9E83-DC0698DF9032}"/>
    <cellStyle name="Note 2 5 4" xfId="1842" xr:uid="{00000000-0005-0000-0000-00003B210000}"/>
    <cellStyle name="Note 2 5 4 2" xfId="4071" xr:uid="{00000000-0005-0000-0000-00003C210000}"/>
    <cellStyle name="Note 2 5 4 2 2" xfId="8293" xr:uid="{00000000-0005-0000-0000-00003D210000}"/>
    <cellStyle name="Note 2 5 4 2 2 2" xfId="26918" xr:uid="{8A96983F-4731-41CA-86C1-5D2E7141D531}"/>
    <cellStyle name="Note 2 5 4 2 2 3" xfId="17619" xr:uid="{B8E475BD-3CF9-42C6-8E6F-FA5A7171BECC}"/>
    <cellStyle name="Note 2 5 4 2 3" xfId="22701" xr:uid="{707C9F6E-EA7A-48C2-9561-DCDC6B1A45C8}"/>
    <cellStyle name="Note 2 5 4 2 4" xfId="13402" xr:uid="{FB653069-707C-4BD7-93AA-F29FBCAC306E}"/>
    <cellStyle name="Note 2 5 4 3" xfId="6148" xr:uid="{00000000-0005-0000-0000-00003E210000}"/>
    <cellStyle name="Note 2 5 4 3 2" xfId="24773" xr:uid="{3C4AB167-ECA5-46B0-8C08-289B70DE6498}"/>
    <cellStyle name="Note 2 5 4 3 3" xfId="15474" xr:uid="{6C7DFB71-5CF8-41C2-89A4-4B23D65401F1}"/>
    <cellStyle name="Note 2 5 4 4" xfId="20556" xr:uid="{7301976A-A64B-42D1-94DA-DC178532547F}"/>
    <cellStyle name="Note 2 5 4 5" xfId="11257" xr:uid="{92D0BF45-E2F4-4E1C-9E86-6B103E94EBDD}"/>
    <cellStyle name="Note 2 5 5" xfId="2255" xr:uid="{00000000-0005-0000-0000-00003F210000}"/>
    <cellStyle name="Note 2 5 5 2" xfId="4484" xr:uid="{00000000-0005-0000-0000-000040210000}"/>
    <cellStyle name="Note 2 5 5 2 2" xfId="8706" xr:uid="{00000000-0005-0000-0000-000041210000}"/>
    <cellStyle name="Note 2 5 5 2 2 2" xfId="27331" xr:uid="{F4AD1E7B-DFC2-4570-9F33-2C198EA90DC7}"/>
    <cellStyle name="Note 2 5 5 2 2 3" xfId="18032" xr:uid="{F55912F7-BC1A-4464-B8F1-BA2453A83F9A}"/>
    <cellStyle name="Note 2 5 5 2 3" xfId="23114" xr:uid="{3E1ED12E-CC87-423E-A096-31036554DFFF}"/>
    <cellStyle name="Note 2 5 5 2 4" xfId="13815" xr:uid="{4CA6F524-FC4D-40AB-81BD-73DA5A27401F}"/>
    <cellStyle name="Note 2 5 5 3" xfId="6561" xr:uid="{00000000-0005-0000-0000-000042210000}"/>
    <cellStyle name="Note 2 5 5 3 2" xfId="25186" xr:uid="{9E743F3C-B395-408E-8BC0-246B2F06D294}"/>
    <cellStyle name="Note 2 5 5 3 3" xfId="15887" xr:uid="{AE547590-CBB8-41A1-A3E8-9DA4C3535694}"/>
    <cellStyle name="Note 2 5 5 4" xfId="20969" xr:uid="{DB0CE860-2DC6-46FF-9411-78642AC9AF5B}"/>
    <cellStyle name="Note 2 5 5 5" xfId="11670" xr:uid="{2B185854-15AB-49DA-B0B1-9B2B26E1B53A}"/>
    <cellStyle name="Note 2 5 6" xfId="2691" xr:uid="{00000000-0005-0000-0000-000043210000}"/>
    <cellStyle name="Note 2 5 6 2" xfId="6974" xr:uid="{00000000-0005-0000-0000-000044210000}"/>
    <cellStyle name="Note 2 5 6 2 2" xfId="25599" xr:uid="{330F35F5-B35F-462E-884F-600FF58F01B4}"/>
    <cellStyle name="Note 2 5 6 2 3" xfId="16300" xr:uid="{09ACC2A3-52D4-4CA5-917C-E3B83F7310B2}"/>
    <cellStyle name="Note 2 5 6 3" xfId="21382" xr:uid="{CA27E8C3-18A3-4CAA-8749-1126A88B55D8}"/>
    <cellStyle name="Note 2 5 6 4" xfId="12083" xr:uid="{6BADE01A-1568-4B6D-8908-EAE1194C6346}"/>
    <cellStyle name="Note 2 5 7" xfId="2750" xr:uid="{00000000-0005-0000-0000-000045210000}"/>
    <cellStyle name="Note 2 5 8" xfId="2831" xr:uid="{00000000-0005-0000-0000-000046210000}"/>
    <cellStyle name="Note 2 5 8 2" xfId="7054" xr:uid="{00000000-0005-0000-0000-000047210000}"/>
    <cellStyle name="Note 2 5 8 2 2" xfId="25679" xr:uid="{8D640DCA-7D12-45C2-8E4A-3BDC78F99721}"/>
    <cellStyle name="Note 2 5 8 2 3" xfId="16380" xr:uid="{057B6C8E-E148-4029-8AC1-EA3BFE7393F4}"/>
    <cellStyle name="Note 2 5 8 3" xfId="21462" xr:uid="{418BEE95-5A5A-4D85-9229-80672CAAE929}"/>
    <cellStyle name="Note 2 5 8 4" xfId="12163" xr:uid="{644524C9-D243-4D3F-8F55-D69736280402}"/>
    <cellStyle name="Note 2 5 9" xfId="4909" xr:uid="{00000000-0005-0000-0000-000048210000}"/>
    <cellStyle name="Note 2 5 9 2" xfId="23534" xr:uid="{7E223A89-142E-43C1-94F2-8317D2982F25}"/>
    <cellStyle name="Note 2 5 9 3" xfId="14235" xr:uid="{7FE27CBC-D05F-4D79-9A75-C880B8383B48}"/>
    <cellStyle name="Note 2 6" xfId="9587" xr:uid="{DE0DCBC9-1C06-4AD6-BDCF-10B3C6A625B6}"/>
    <cellStyle name="Note 2 7" xfId="8791" xr:uid="{7AC3614D-154D-4BB0-B207-B3151ECF2433}"/>
    <cellStyle name="Note 2 7 2" xfId="27414" xr:uid="{7088A697-2961-4ADC-9D91-000D84E96E00}"/>
    <cellStyle name="Note 2 7 3" xfId="18115" xr:uid="{191C9D5E-2409-4F79-BCFD-863EA29B96C2}"/>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0 2 2" xfId="25680" xr:uid="{708EB7AE-1000-485B-97E3-B565FBAC855A}"/>
    <cellStyle name="Note 3 2 10 2 3" xfId="16381" xr:uid="{FB4FE160-F1EF-42D4-9D82-C18E34A03773}"/>
    <cellStyle name="Note 3 2 10 3" xfId="21463" xr:uid="{308848DA-F6E3-41BB-A2EF-9FCCCF6FE608}"/>
    <cellStyle name="Note 3 2 10 4" xfId="12164" xr:uid="{E7514977-B356-41A0-8309-AA6746F6C421}"/>
    <cellStyle name="Note 3 2 11" xfId="4910" xr:uid="{00000000-0005-0000-0000-00004D210000}"/>
    <cellStyle name="Note 3 2 11 2" xfId="23535" xr:uid="{437D4CF6-D2C9-4B98-9EBA-1327FD68AE5D}"/>
    <cellStyle name="Note 3 2 11 3" xfId="14236" xr:uid="{D8E96B37-73E1-4AC0-9ECB-6B410EE9C8E4}"/>
    <cellStyle name="Note 3 2 12" xfId="8842" xr:uid="{646587AC-B7A9-43E2-AC1E-1B77745805D8}"/>
    <cellStyle name="Note 3 2 12 2" xfId="27465" xr:uid="{BA2462D5-6827-40A4-91A6-4EC32BC78448}"/>
    <cellStyle name="Note 3 2 12 3" xfId="18166" xr:uid="{99D9A3A2-45D5-4203-B957-0CD211726679}"/>
    <cellStyle name="Note 3 2 13" xfId="19318" xr:uid="{F253676B-B1C5-472D-AD9C-70D1080A2CC1}"/>
    <cellStyle name="Note 3 2 14" xfId="10019" xr:uid="{34A695FE-56F9-4444-B492-EA384D3A3169}"/>
    <cellStyle name="Note 3 2 2" xfId="555" xr:uid="{00000000-0005-0000-0000-00004E210000}"/>
    <cellStyle name="Note 3 2 2 10" xfId="4911" xr:uid="{00000000-0005-0000-0000-00004F210000}"/>
    <cellStyle name="Note 3 2 2 10 2" xfId="23536" xr:uid="{E8D8FE41-FB7B-48FB-ABE2-7A076C77E6AA}"/>
    <cellStyle name="Note 3 2 2 10 3" xfId="14237" xr:uid="{04E47895-FF31-4AD3-A687-A9F9C7BCE552}"/>
    <cellStyle name="Note 3 2 2 11" xfId="8945" xr:uid="{D320AF38-4F47-4266-9CB9-3BD7E15BFDAE}"/>
    <cellStyle name="Note 3 2 2 11 2" xfId="27568" xr:uid="{EA2522F4-F6E0-4477-80FA-75F4547776AF}"/>
    <cellStyle name="Note 3 2 2 11 3" xfId="18269" xr:uid="{7A822CEC-D6AB-43A6-AF5B-CB5526924F51}"/>
    <cellStyle name="Note 3 2 2 12" xfId="19319" xr:uid="{BF3C8C41-2490-43E8-8EF1-7E5684DD6C38}"/>
    <cellStyle name="Note 3 2 2 13" xfId="10020" xr:uid="{83B279D7-B2E4-4D81-B792-39C3F70502DC}"/>
    <cellStyle name="Note 3 2 2 2" xfId="556" xr:uid="{00000000-0005-0000-0000-000050210000}"/>
    <cellStyle name="Note 3 2 2 2 10" xfId="9152" xr:uid="{24874F5B-4700-44ED-9556-84C4E89A274D}"/>
    <cellStyle name="Note 3 2 2 2 10 2" xfId="27775" xr:uid="{83DC2FA4-181D-4579-869C-AF0C8203FEE5}"/>
    <cellStyle name="Note 3 2 2 2 10 3" xfId="18476" xr:uid="{F764A5CF-BEC0-4BA1-9925-4C1708536979}"/>
    <cellStyle name="Note 3 2 2 2 11" xfId="19320" xr:uid="{EACD0099-2AB3-41C3-9C33-34672407F83F}"/>
    <cellStyle name="Note 3 2 2 2 12" xfId="10021" xr:uid="{64B3FDE7-A3AA-45C7-BAD7-F5AEADA86F5E}"/>
    <cellStyle name="Note 3 2 2 2 2" xfId="1016" xr:uid="{00000000-0005-0000-0000-000051210000}"/>
    <cellStyle name="Note 3 2 2 2 2 2" xfId="3248" xr:uid="{00000000-0005-0000-0000-000052210000}"/>
    <cellStyle name="Note 3 2 2 2 2 2 2" xfId="7470" xr:uid="{00000000-0005-0000-0000-000053210000}"/>
    <cellStyle name="Note 3 2 2 2 2 2 2 2" xfId="26095" xr:uid="{16A2E8B8-0167-4CF2-8314-F1F8CDBDE17C}"/>
    <cellStyle name="Note 3 2 2 2 2 2 2 3" xfId="16796" xr:uid="{B5C3A80D-E0E2-4FCC-8BBA-1787821820B0}"/>
    <cellStyle name="Note 3 2 2 2 2 2 3" xfId="21878" xr:uid="{32D9AAAA-CEC7-45A2-9713-D13F3EEF2B23}"/>
    <cellStyle name="Note 3 2 2 2 2 2 4" xfId="12579" xr:uid="{22CBE58C-85D5-457A-A0D5-8196B6C44EC4}"/>
    <cellStyle name="Note 3 2 2 2 2 3" xfId="5325" xr:uid="{00000000-0005-0000-0000-000054210000}"/>
    <cellStyle name="Note 3 2 2 2 2 3 2" xfId="23950" xr:uid="{4C1B6E7C-CCBB-4CC7-9397-ACAD4F9AAC1A}"/>
    <cellStyle name="Note 3 2 2 2 2 3 3" xfId="14651" xr:uid="{0AF53B39-1E1A-4D6C-9427-F1736DE854E2}"/>
    <cellStyle name="Note 3 2 2 2 2 4" xfId="9577" xr:uid="{7C0C89D7-CA14-4942-89B2-D584AC810EDC}"/>
    <cellStyle name="Note 3 2 2 2 2 4 2" xfId="28191" xr:uid="{A3D0A406-DF29-4DCE-BD73-F582396D9C88}"/>
    <cellStyle name="Note 3 2 2 2 2 4 3" xfId="18892" xr:uid="{2F472C7A-E77F-40BB-A8A2-EBC2D651196E}"/>
    <cellStyle name="Note 3 2 2 2 2 5" xfId="19733" xr:uid="{81A275FA-9041-4881-8C87-D03D7A71C4ED}"/>
    <cellStyle name="Note 3 2 2 2 2 6" xfId="10434" xr:uid="{F49CA217-D20D-4AD2-9EFF-D540E113B490}"/>
    <cellStyle name="Note 3 2 2 2 3" xfId="1431" xr:uid="{00000000-0005-0000-0000-000055210000}"/>
    <cellStyle name="Note 3 2 2 2 3 2" xfId="3661" xr:uid="{00000000-0005-0000-0000-000056210000}"/>
    <cellStyle name="Note 3 2 2 2 3 2 2" xfId="7883" xr:uid="{00000000-0005-0000-0000-000057210000}"/>
    <cellStyle name="Note 3 2 2 2 3 2 2 2" xfId="26508" xr:uid="{2F2552FA-1752-4E93-9119-BDCCA30A51F2}"/>
    <cellStyle name="Note 3 2 2 2 3 2 2 3" xfId="17209" xr:uid="{27412FAA-03E3-4508-B400-821DFA8E86FC}"/>
    <cellStyle name="Note 3 2 2 2 3 2 3" xfId="22291" xr:uid="{8DD01CEC-EBC3-44BF-A766-3A085E16FC34}"/>
    <cellStyle name="Note 3 2 2 2 3 2 4" xfId="12992" xr:uid="{E8A80B9B-BCAC-4576-B596-D6D7559EE322}"/>
    <cellStyle name="Note 3 2 2 2 3 3" xfId="5738" xr:uid="{00000000-0005-0000-0000-000058210000}"/>
    <cellStyle name="Note 3 2 2 2 3 3 2" xfId="24363" xr:uid="{AE1E49DE-039B-4F96-86C1-AEE7F890D987}"/>
    <cellStyle name="Note 3 2 2 2 3 3 3" xfId="15064" xr:uid="{C9A71721-04E1-44AF-B073-CCA4B082DD39}"/>
    <cellStyle name="Note 3 2 2 2 3 4" xfId="20146" xr:uid="{F98E40D6-0CAC-42D7-BCBD-DC684A1BDAF4}"/>
    <cellStyle name="Note 3 2 2 2 3 5" xfId="10847" xr:uid="{E24AB179-E924-4DC2-8DA4-CB3D9B99EB17}"/>
    <cellStyle name="Note 3 2 2 2 4" xfId="1845" xr:uid="{00000000-0005-0000-0000-000059210000}"/>
    <cellStyle name="Note 3 2 2 2 4 2" xfId="4074" xr:uid="{00000000-0005-0000-0000-00005A210000}"/>
    <cellStyle name="Note 3 2 2 2 4 2 2" xfId="8296" xr:uid="{00000000-0005-0000-0000-00005B210000}"/>
    <cellStyle name="Note 3 2 2 2 4 2 2 2" xfId="26921" xr:uid="{640EDCCE-5F38-4910-853F-00E5FCF04676}"/>
    <cellStyle name="Note 3 2 2 2 4 2 2 3" xfId="17622" xr:uid="{B5E1D82E-17A3-4BD8-80DD-96CDE02433B0}"/>
    <cellStyle name="Note 3 2 2 2 4 2 3" xfId="22704" xr:uid="{84C2D85C-94DC-4D13-B2D0-D65669295087}"/>
    <cellStyle name="Note 3 2 2 2 4 2 4" xfId="13405" xr:uid="{D3BACAB1-7748-484E-BF93-7D5B24407E65}"/>
    <cellStyle name="Note 3 2 2 2 4 3" xfId="6151" xr:uid="{00000000-0005-0000-0000-00005C210000}"/>
    <cellStyle name="Note 3 2 2 2 4 3 2" xfId="24776" xr:uid="{FF53A5F8-DF5E-4D63-9D63-18945E86F8AE}"/>
    <cellStyle name="Note 3 2 2 2 4 3 3" xfId="15477" xr:uid="{F2175017-5B91-40A5-A3A0-08E252A43EA5}"/>
    <cellStyle name="Note 3 2 2 2 4 4" xfId="20559" xr:uid="{93BB421B-5E31-4335-B0E5-FB32F765FEB1}"/>
    <cellStyle name="Note 3 2 2 2 4 5" xfId="11260" xr:uid="{0DD3096E-D448-40DF-B7C1-70AA5C4DE23C}"/>
    <cellStyle name="Note 3 2 2 2 5" xfId="2258" xr:uid="{00000000-0005-0000-0000-00005D210000}"/>
    <cellStyle name="Note 3 2 2 2 5 2" xfId="4487" xr:uid="{00000000-0005-0000-0000-00005E210000}"/>
    <cellStyle name="Note 3 2 2 2 5 2 2" xfId="8709" xr:uid="{00000000-0005-0000-0000-00005F210000}"/>
    <cellStyle name="Note 3 2 2 2 5 2 2 2" xfId="27334" xr:uid="{FC14A602-2581-4595-AA5F-707C27A001FD}"/>
    <cellStyle name="Note 3 2 2 2 5 2 2 3" xfId="18035" xr:uid="{8D7BB31F-C414-4579-A0DD-976ABD307379}"/>
    <cellStyle name="Note 3 2 2 2 5 2 3" xfId="23117" xr:uid="{5E9B3A19-836B-4546-992D-4C21BF7D529F}"/>
    <cellStyle name="Note 3 2 2 2 5 2 4" xfId="13818" xr:uid="{F66B6937-3B86-42A0-AB11-0C87D558946E}"/>
    <cellStyle name="Note 3 2 2 2 5 3" xfId="6564" xr:uid="{00000000-0005-0000-0000-000060210000}"/>
    <cellStyle name="Note 3 2 2 2 5 3 2" xfId="25189" xr:uid="{7280735F-1AC6-4D20-828A-4D4903164CCC}"/>
    <cellStyle name="Note 3 2 2 2 5 3 3" xfId="15890" xr:uid="{D10407B9-DA8D-4762-9406-21E3C2D50290}"/>
    <cellStyle name="Note 3 2 2 2 5 4" xfId="20972" xr:uid="{87546CB4-69A6-433D-BDBE-B499A5F00B0D}"/>
    <cellStyle name="Note 3 2 2 2 5 5" xfId="11673" xr:uid="{E066CE7B-719E-46DE-9023-116AED535F73}"/>
    <cellStyle name="Note 3 2 2 2 6" xfId="2694" xr:uid="{00000000-0005-0000-0000-000061210000}"/>
    <cellStyle name="Note 3 2 2 2 6 2" xfId="6977" xr:uid="{00000000-0005-0000-0000-000062210000}"/>
    <cellStyle name="Note 3 2 2 2 6 2 2" xfId="25602" xr:uid="{37CA491C-7877-4BFF-A89C-5F1AB54143F1}"/>
    <cellStyle name="Note 3 2 2 2 6 2 3" xfId="16303" xr:uid="{0ABFD89E-132E-44B3-AA96-46CE745A9672}"/>
    <cellStyle name="Note 3 2 2 2 6 3" xfId="21385" xr:uid="{25EFBCD7-62CA-4551-A32B-784CD6E027E8}"/>
    <cellStyle name="Note 3 2 2 2 6 4" xfId="12086" xr:uid="{3E5A67C9-67C7-406F-A9E0-DFD188B8E9B1}"/>
    <cellStyle name="Note 3 2 2 2 7" xfId="2753" xr:uid="{00000000-0005-0000-0000-000063210000}"/>
    <cellStyle name="Note 3 2 2 2 8" xfId="2834" xr:uid="{00000000-0005-0000-0000-000064210000}"/>
    <cellStyle name="Note 3 2 2 2 8 2" xfId="7057" xr:uid="{00000000-0005-0000-0000-000065210000}"/>
    <cellStyle name="Note 3 2 2 2 8 2 2" xfId="25682" xr:uid="{D2E4D685-63B8-4921-9685-23057EDAA8C0}"/>
    <cellStyle name="Note 3 2 2 2 8 2 3" xfId="16383" xr:uid="{7237F281-6BDB-48BF-A60A-C931A72A6DDE}"/>
    <cellStyle name="Note 3 2 2 2 8 3" xfId="21465" xr:uid="{08658F22-E182-4826-9B3A-3F518DA61046}"/>
    <cellStyle name="Note 3 2 2 2 8 4" xfId="12166" xr:uid="{4D9601BD-4F40-4D70-AAE8-A51566A75C3E}"/>
    <cellStyle name="Note 3 2 2 2 9" xfId="4912" xr:uid="{00000000-0005-0000-0000-000066210000}"/>
    <cellStyle name="Note 3 2 2 2 9 2" xfId="23537" xr:uid="{C6870195-C74E-464B-BE19-B90CFD48D948}"/>
    <cellStyle name="Note 3 2 2 2 9 3" xfId="14238" xr:uid="{B77C65B0-81FF-45D7-808C-13FE6F9985AA}"/>
    <cellStyle name="Note 3 2 2 3" xfId="1015" xr:uid="{00000000-0005-0000-0000-000067210000}"/>
    <cellStyle name="Note 3 2 2 3 2" xfId="3247" xr:uid="{00000000-0005-0000-0000-000068210000}"/>
    <cellStyle name="Note 3 2 2 3 2 2" xfId="7469" xr:uid="{00000000-0005-0000-0000-000069210000}"/>
    <cellStyle name="Note 3 2 2 3 2 2 2" xfId="26094" xr:uid="{B8B5F7B9-C134-4DCF-98CB-B4C881A1FADA}"/>
    <cellStyle name="Note 3 2 2 3 2 2 3" xfId="16795" xr:uid="{22CF61DE-2EF4-4967-8D18-373DDB6F3C5E}"/>
    <cellStyle name="Note 3 2 2 3 2 3" xfId="21877" xr:uid="{E9AAE9B4-BD0C-4FA5-AC62-154B207809C2}"/>
    <cellStyle name="Note 3 2 2 3 2 4" xfId="12578" xr:uid="{779DC84F-87A9-45E1-A58E-F256CFE73ED5}"/>
    <cellStyle name="Note 3 2 2 3 3" xfId="5324" xr:uid="{00000000-0005-0000-0000-00006A210000}"/>
    <cellStyle name="Note 3 2 2 3 3 2" xfId="23949" xr:uid="{04C17260-2F38-40C6-8799-6AC6886FCEF2}"/>
    <cellStyle name="Note 3 2 2 3 3 3" xfId="14650" xr:uid="{64A3892D-4306-4DE0-8422-B48919C8DB77}"/>
    <cellStyle name="Note 3 2 2 3 4" xfId="9370" xr:uid="{7A803908-679B-4EF0-9BD4-89724B1FB321}"/>
    <cellStyle name="Note 3 2 2 3 4 2" xfId="27984" xr:uid="{376D8C20-787E-401B-AA46-E625379550AD}"/>
    <cellStyle name="Note 3 2 2 3 4 3" xfId="18685" xr:uid="{F4244C93-70FD-4850-A4C4-E249C473347D}"/>
    <cellStyle name="Note 3 2 2 3 5" xfId="19732" xr:uid="{71EAFB01-A9FC-416A-8F58-AE7693284EE9}"/>
    <cellStyle name="Note 3 2 2 3 6" xfId="10433" xr:uid="{072C788C-21C1-4AE4-82C5-B498E6483772}"/>
    <cellStyle name="Note 3 2 2 4" xfId="1430" xr:uid="{00000000-0005-0000-0000-00006B210000}"/>
    <cellStyle name="Note 3 2 2 4 2" xfId="3660" xr:uid="{00000000-0005-0000-0000-00006C210000}"/>
    <cellStyle name="Note 3 2 2 4 2 2" xfId="7882" xr:uid="{00000000-0005-0000-0000-00006D210000}"/>
    <cellStyle name="Note 3 2 2 4 2 2 2" xfId="26507" xr:uid="{B501020B-C5AF-4E64-9B05-DE87208D84A8}"/>
    <cellStyle name="Note 3 2 2 4 2 2 3" xfId="17208" xr:uid="{3D3D7FCB-FBE4-4323-A1D9-40ABDB931CB4}"/>
    <cellStyle name="Note 3 2 2 4 2 3" xfId="22290" xr:uid="{525CAE4C-AE04-460C-868D-850498FC6A1E}"/>
    <cellStyle name="Note 3 2 2 4 2 4" xfId="12991" xr:uid="{804E011D-CAB9-44CA-A2D8-60BB6CA921DE}"/>
    <cellStyle name="Note 3 2 2 4 3" xfId="5737" xr:uid="{00000000-0005-0000-0000-00006E210000}"/>
    <cellStyle name="Note 3 2 2 4 3 2" xfId="24362" xr:uid="{E8F1D3A0-0C7C-421D-A573-6F103171D576}"/>
    <cellStyle name="Note 3 2 2 4 3 3" xfId="15063" xr:uid="{BB211D81-0026-4B79-9268-A8B1601D73B6}"/>
    <cellStyle name="Note 3 2 2 4 4" xfId="20145" xr:uid="{139DD716-8D11-42BF-892D-937F6FC50F9E}"/>
    <cellStyle name="Note 3 2 2 4 5" xfId="10846" xr:uid="{F97E4FF6-8FA3-419A-88C8-7FEB596906EB}"/>
    <cellStyle name="Note 3 2 2 5" xfId="1844" xr:uid="{00000000-0005-0000-0000-00006F210000}"/>
    <cellStyle name="Note 3 2 2 5 2" xfId="4073" xr:uid="{00000000-0005-0000-0000-000070210000}"/>
    <cellStyle name="Note 3 2 2 5 2 2" xfId="8295" xr:uid="{00000000-0005-0000-0000-000071210000}"/>
    <cellStyle name="Note 3 2 2 5 2 2 2" xfId="26920" xr:uid="{0968B7C6-027F-4D81-8789-BB169D06C0C7}"/>
    <cellStyle name="Note 3 2 2 5 2 2 3" xfId="17621" xr:uid="{6F3BF682-CC90-4DC9-A478-AA25EFE2A2E3}"/>
    <cellStyle name="Note 3 2 2 5 2 3" xfId="22703" xr:uid="{0AC2D313-667D-483F-8736-2BB790A7ABD2}"/>
    <cellStyle name="Note 3 2 2 5 2 4" xfId="13404" xr:uid="{26E34C72-2A2B-4A2C-A711-CB1573B3E411}"/>
    <cellStyle name="Note 3 2 2 5 3" xfId="6150" xr:uid="{00000000-0005-0000-0000-000072210000}"/>
    <cellStyle name="Note 3 2 2 5 3 2" xfId="24775" xr:uid="{2324C34B-365B-41F0-8253-584BA1E92545}"/>
    <cellStyle name="Note 3 2 2 5 3 3" xfId="15476" xr:uid="{9ADCE62C-0EA4-44E5-8B56-EA3B1E09569A}"/>
    <cellStyle name="Note 3 2 2 5 4" xfId="20558" xr:uid="{D100771A-F116-4376-BC1C-1CC68E13FC22}"/>
    <cellStyle name="Note 3 2 2 5 5" xfId="11259" xr:uid="{33194BF3-67C0-4DEA-8F1A-72392234F24D}"/>
    <cellStyle name="Note 3 2 2 6" xfId="2257" xr:uid="{00000000-0005-0000-0000-000073210000}"/>
    <cellStyle name="Note 3 2 2 6 2" xfId="4486" xr:uid="{00000000-0005-0000-0000-000074210000}"/>
    <cellStyle name="Note 3 2 2 6 2 2" xfId="8708" xr:uid="{00000000-0005-0000-0000-000075210000}"/>
    <cellStyle name="Note 3 2 2 6 2 2 2" xfId="27333" xr:uid="{9DEF21A8-44FC-4C3C-8850-89BB26AC77B1}"/>
    <cellStyle name="Note 3 2 2 6 2 2 3" xfId="18034" xr:uid="{6BF4659B-09FD-46E7-85FB-8FEC5AA7A7A1}"/>
    <cellStyle name="Note 3 2 2 6 2 3" xfId="23116" xr:uid="{6635FD06-AE75-4C07-9331-6D7E74A9A80C}"/>
    <cellStyle name="Note 3 2 2 6 2 4" xfId="13817" xr:uid="{5F7C81CC-5689-4A16-B642-9993691892C7}"/>
    <cellStyle name="Note 3 2 2 6 3" xfId="6563" xr:uid="{00000000-0005-0000-0000-000076210000}"/>
    <cellStyle name="Note 3 2 2 6 3 2" xfId="25188" xr:uid="{7D1CF280-70DF-45A7-B0F2-9944E58D9D1E}"/>
    <cellStyle name="Note 3 2 2 6 3 3" xfId="15889" xr:uid="{6400B736-F4E8-4AA9-9281-6A1889F27ACC}"/>
    <cellStyle name="Note 3 2 2 6 4" xfId="20971" xr:uid="{4E3AC6BA-ECF4-422D-A671-62EA320BCD16}"/>
    <cellStyle name="Note 3 2 2 6 5" xfId="11672" xr:uid="{5C518627-0B48-44F4-996C-C2CC1301D9DA}"/>
    <cellStyle name="Note 3 2 2 7" xfId="2693" xr:uid="{00000000-0005-0000-0000-000077210000}"/>
    <cellStyle name="Note 3 2 2 7 2" xfId="6976" xr:uid="{00000000-0005-0000-0000-000078210000}"/>
    <cellStyle name="Note 3 2 2 7 2 2" xfId="25601" xr:uid="{285CA71C-50A4-439C-8167-86BC1BEEE2CB}"/>
    <cellStyle name="Note 3 2 2 7 2 3" xfId="16302" xr:uid="{8B867EE0-6E21-4264-B146-254EAF4DEAFF}"/>
    <cellStyle name="Note 3 2 2 7 3" xfId="21384" xr:uid="{3C3878F0-9484-483F-828B-24DEB6459942}"/>
    <cellStyle name="Note 3 2 2 7 4" xfId="12085" xr:uid="{C19ADE74-C0D6-4C11-9258-4CA5A012589F}"/>
    <cellStyle name="Note 3 2 2 8" xfId="2752" xr:uid="{00000000-0005-0000-0000-000079210000}"/>
    <cellStyle name="Note 3 2 2 9" xfId="2833" xr:uid="{00000000-0005-0000-0000-00007A210000}"/>
    <cellStyle name="Note 3 2 2 9 2" xfId="7056" xr:uid="{00000000-0005-0000-0000-00007B210000}"/>
    <cellStyle name="Note 3 2 2 9 2 2" xfId="25681" xr:uid="{DCD162D3-F885-4C7B-83AD-DCF31391CA62}"/>
    <cellStyle name="Note 3 2 2 9 2 3" xfId="16382" xr:uid="{3E08ED00-B598-4123-9CE5-DAFE1A48F911}"/>
    <cellStyle name="Note 3 2 2 9 3" xfId="21464" xr:uid="{B0455278-2041-4D3A-A435-AD5EE0B013EA}"/>
    <cellStyle name="Note 3 2 2 9 4" xfId="12165" xr:uid="{3F2C88CB-09F6-436C-9318-AB118DA088D5}"/>
    <cellStyle name="Note 3 2 3" xfId="557" xr:uid="{00000000-0005-0000-0000-00007C210000}"/>
    <cellStyle name="Note 3 2 3 10" xfId="9049" xr:uid="{98DA21AE-8EED-4AF2-A5D5-94394E9C9EFE}"/>
    <cellStyle name="Note 3 2 3 10 2" xfId="27672" xr:uid="{DCDC5E81-B2DE-499A-A3C7-A271D1B60B48}"/>
    <cellStyle name="Note 3 2 3 10 3" xfId="18373" xr:uid="{16EA5551-621D-4E48-A756-1CEFE775E219}"/>
    <cellStyle name="Note 3 2 3 11" xfId="19321" xr:uid="{52D863F1-8B6F-4FAC-A56D-F9227CBD3470}"/>
    <cellStyle name="Note 3 2 3 12" xfId="10022" xr:uid="{E141AE49-FDC5-46B8-AA86-7FAECD0A96AB}"/>
    <cellStyle name="Note 3 2 3 2" xfId="1017" xr:uid="{00000000-0005-0000-0000-00007D210000}"/>
    <cellStyle name="Note 3 2 3 2 2" xfId="3249" xr:uid="{00000000-0005-0000-0000-00007E210000}"/>
    <cellStyle name="Note 3 2 3 2 2 2" xfId="7471" xr:uid="{00000000-0005-0000-0000-00007F210000}"/>
    <cellStyle name="Note 3 2 3 2 2 2 2" xfId="26096" xr:uid="{99A8BE03-5421-4C58-994B-EF6A59D3F099}"/>
    <cellStyle name="Note 3 2 3 2 2 2 3" xfId="16797" xr:uid="{43C8EBC3-4531-4285-9F7F-89EFC6A7F36B}"/>
    <cellStyle name="Note 3 2 3 2 2 3" xfId="21879" xr:uid="{803ED61F-7DD6-4ACE-9057-86B7AEEB50D7}"/>
    <cellStyle name="Note 3 2 3 2 2 4" xfId="12580" xr:uid="{5656D71C-DAAE-4437-AD28-C57F872D494E}"/>
    <cellStyle name="Note 3 2 3 2 3" xfId="5326" xr:uid="{00000000-0005-0000-0000-000080210000}"/>
    <cellStyle name="Note 3 2 3 2 3 2" xfId="23951" xr:uid="{F871FA26-E240-4E97-BE3C-8130155DD3B9}"/>
    <cellStyle name="Note 3 2 3 2 3 3" xfId="14652" xr:uid="{B29ED6F9-ADBC-4A7F-8CDD-8344F8EA97BC}"/>
    <cellStyle name="Note 3 2 3 2 4" xfId="9474" xr:uid="{8827394E-7DCF-4E58-BF45-94E8587F7D91}"/>
    <cellStyle name="Note 3 2 3 2 4 2" xfId="28088" xr:uid="{32312BD2-812C-46F9-8387-094964EDC92B}"/>
    <cellStyle name="Note 3 2 3 2 4 3" xfId="18789" xr:uid="{C4DBDD2E-99DF-419B-8009-B9B15ECADF6E}"/>
    <cellStyle name="Note 3 2 3 2 5" xfId="19734" xr:uid="{B3487B75-40E9-4BF7-84A0-209ED639513E}"/>
    <cellStyle name="Note 3 2 3 2 6" xfId="10435" xr:uid="{6C3740F7-5856-45FB-A509-57E83ABED1EE}"/>
    <cellStyle name="Note 3 2 3 3" xfId="1432" xr:uid="{00000000-0005-0000-0000-000081210000}"/>
    <cellStyle name="Note 3 2 3 3 2" xfId="3662" xr:uid="{00000000-0005-0000-0000-000082210000}"/>
    <cellStyle name="Note 3 2 3 3 2 2" xfId="7884" xr:uid="{00000000-0005-0000-0000-000083210000}"/>
    <cellStyle name="Note 3 2 3 3 2 2 2" xfId="26509" xr:uid="{098131D2-5238-448F-9F41-2F33C29665FC}"/>
    <cellStyle name="Note 3 2 3 3 2 2 3" xfId="17210" xr:uid="{3D52709F-194A-446C-BD81-2B62028E56AE}"/>
    <cellStyle name="Note 3 2 3 3 2 3" xfId="22292" xr:uid="{D75675A4-8097-4DA0-B51F-3BDC3658AC33}"/>
    <cellStyle name="Note 3 2 3 3 2 4" xfId="12993" xr:uid="{B125B98D-BDFA-4752-8D7C-E115A3415CB8}"/>
    <cellStyle name="Note 3 2 3 3 3" xfId="5739" xr:uid="{00000000-0005-0000-0000-000084210000}"/>
    <cellStyle name="Note 3 2 3 3 3 2" xfId="24364" xr:uid="{D8832A3D-B96C-4FBA-BD9F-BEE081F973CA}"/>
    <cellStyle name="Note 3 2 3 3 3 3" xfId="15065" xr:uid="{CB912F98-7403-4BD0-A553-3BCA7B396ABF}"/>
    <cellStyle name="Note 3 2 3 3 4" xfId="20147" xr:uid="{4B6CA0F4-B606-4925-A548-5BB0BD45A76F}"/>
    <cellStyle name="Note 3 2 3 3 5" xfId="10848" xr:uid="{4740365A-0613-4936-A01F-76247B80D095}"/>
    <cellStyle name="Note 3 2 3 4" xfId="1846" xr:uid="{00000000-0005-0000-0000-000085210000}"/>
    <cellStyle name="Note 3 2 3 4 2" xfId="4075" xr:uid="{00000000-0005-0000-0000-000086210000}"/>
    <cellStyle name="Note 3 2 3 4 2 2" xfId="8297" xr:uid="{00000000-0005-0000-0000-000087210000}"/>
    <cellStyle name="Note 3 2 3 4 2 2 2" xfId="26922" xr:uid="{C56AC0F5-F2DA-4D80-8FDD-35F02E25B095}"/>
    <cellStyle name="Note 3 2 3 4 2 2 3" xfId="17623" xr:uid="{A5DF41F6-FACD-4168-A4F4-E27AE60605FB}"/>
    <cellStyle name="Note 3 2 3 4 2 3" xfId="22705" xr:uid="{3F5C3AA4-BA9F-4FCF-9B2D-0B5DAE93A8CB}"/>
    <cellStyle name="Note 3 2 3 4 2 4" xfId="13406" xr:uid="{5D07B117-E599-4251-8A5D-FB00AF771172}"/>
    <cellStyle name="Note 3 2 3 4 3" xfId="6152" xr:uid="{00000000-0005-0000-0000-000088210000}"/>
    <cellStyle name="Note 3 2 3 4 3 2" xfId="24777" xr:uid="{D24B2636-5159-44C3-BB4A-DBA17CDF58F1}"/>
    <cellStyle name="Note 3 2 3 4 3 3" xfId="15478" xr:uid="{75594062-DCEF-41D3-A214-3501455AC95D}"/>
    <cellStyle name="Note 3 2 3 4 4" xfId="20560" xr:uid="{6676E7B5-DD08-4D8C-B33C-0FDD685157BA}"/>
    <cellStyle name="Note 3 2 3 4 5" xfId="11261" xr:uid="{7547E2ED-F445-4482-9E62-CDF9522129CF}"/>
    <cellStyle name="Note 3 2 3 5" xfId="2259" xr:uid="{00000000-0005-0000-0000-000089210000}"/>
    <cellStyle name="Note 3 2 3 5 2" xfId="4488" xr:uid="{00000000-0005-0000-0000-00008A210000}"/>
    <cellStyle name="Note 3 2 3 5 2 2" xfId="8710" xr:uid="{00000000-0005-0000-0000-00008B210000}"/>
    <cellStyle name="Note 3 2 3 5 2 2 2" xfId="27335" xr:uid="{03CCC5FB-34A1-4434-A559-8F2ED021A725}"/>
    <cellStyle name="Note 3 2 3 5 2 2 3" xfId="18036" xr:uid="{C030E76E-AC9F-4752-A3D6-9B0513732F36}"/>
    <cellStyle name="Note 3 2 3 5 2 3" xfId="23118" xr:uid="{36A62AA7-BF7B-4B2F-B262-9E70341E50F0}"/>
    <cellStyle name="Note 3 2 3 5 2 4" xfId="13819" xr:uid="{E43154CD-9D0A-474B-A9A1-CBB63DEA8A1E}"/>
    <cellStyle name="Note 3 2 3 5 3" xfId="6565" xr:uid="{00000000-0005-0000-0000-00008C210000}"/>
    <cellStyle name="Note 3 2 3 5 3 2" xfId="25190" xr:uid="{2D2943CB-9947-49BB-9F8C-7C697CE8CB34}"/>
    <cellStyle name="Note 3 2 3 5 3 3" xfId="15891" xr:uid="{030F9206-5889-4B53-837F-88E3C90CD476}"/>
    <cellStyle name="Note 3 2 3 5 4" xfId="20973" xr:uid="{AD8D4F53-49CD-4588-BBA0-E9B6F3F0EE78}"/>
    <cellStyle name="Note 3 2 3 5 5" xfId="11674" xr:uid="{2FC7053C-AFA8-4364-B302-70EDF0F91294}"/>
    <cellStyle name="Note 3 2 3 6" xfId="2695" xr:uid="{00000000-0005-0000-0000-00008D210000}"/>
    <cellStyle name="Note 3 2 3 6 2" xfId="6978" xr:uid="{00000000-0005-0000-0000-00008E210000}"/>
    <cellStyle name="Note 3 2 3 6 2 2" xfId="25603" xr:uid="{2744A4EE-4F10-4769-9F53-A705C196A94B}"/>
    <cellStyle name="Note 3 2 3 6 2 3" xfId="16304" xr:uid="{32348C53-511C-422C-9B3A-7F5414C4E721}"/>
    <cellStyle name="Note 3 2 3 6 3" xfId="21386" xr:uid="{2B8B78DA-C58D-40D6-926D-6F008A78DCD2}"/>
    <cellStyle name="Note 3 2 3 6 4" xfId="12087" xr:uid="{5DFB1645-02E6-48AB-8F8F-0E19706C1348}"/>
    <cellStyle name="Note 3 2 3 7" xfId="2754" xr:uid="{00000000-0005-0000-0000-00008F210000}"/>
    <cellStyle name="Note 3 2 3 8" xfId="2835" xr:uid="{00000000-0005-0000-0000-000090210000}"/>
    <cellStyle name="Note 3 2 3 8 2" xfId="7058" xr:uid="{00000000-0005-0000-0000-000091210000}"/>
    <cellStyle name="Note 3 2 3 8 2 2" xfId="25683" xr:uid="{D832A97A-DED3-4021-906F-B002AD368AC4}"/>
    <cellStyle name="Note 3 2 3 8 2 3" xfId="16384" xr:uid="{72B4ED17-77B5-4EF2-B4A9-0FB0EEDB55FB}"/>
    <cellStyle name="Note 3 2 3 8 3" xfId="21466" xr:uid="{4509B2B7-BC43-4479-BEC2-ECDF3D3CD469}"/>
    <cellStyle name="Note 3 2 3 8 4" xfId="12167" xr:uid="{A61BCD4D-6AEF-49F5-A06D-3AFF3F203C8D}"/>
    <cellStyle name="Note 3 2 3 9" xfId="4913" xr:uid="{00000000-0005-0000-0000-000092210000}"/>
    <cellStyle name="Note 3 2 3 9 2" xfId="23538" xr:uid="{27DB7AAC-B7E3-4339-AFF9-7BD30AF25426}"/>
    <cellStyle name="Note 3 2 3 9 3" xfId="14239" xr:uid="{FD366CF6-559C-45FD-BA1A-BC42C0326234}"/>
    <cellStyle name="Note 3 2 4" xfId="1014" xr:uid="{00000000-0005-0000-0000-000093210000}"/>
    <cellStyle name="Note 3 2 4 2" xfId="3246" xr:uid="{00000000-0005-0000-0000-000094210000}"/>
    <cellStyle name="Note 3 2 4 2 2" xfId="7468" xr:uid="{00000000-0005-0000-0000-000095210000}"/>
    <cellStyle name="Note 3 2 4 2 2 2" xfId="26093" xr:uid="{850B766D-3EE5-41D8-8107-A0F1E46AB4B8}"/>
    <cellStyle name="Note 3 2 4 2 2 3" xfId="16794" xr:uid="{65EAB98A-D420-4133-99C0-14DC8E1AA0B3}"/>
    <cellStyle name="Note 3 2 4 2 3" xfId="21876" xr:uid="{3DF2CA32-5740-4A0B-B1ED-D4CB365F3D59}"/>
    <cellStyle name="Note 3 2 4 2 4" xfId="12577" xr:uid="{DACC9B4D-065E-4EA7-B478-95A070811EF1}"/>
    <cellStyle name="Note 3 2 4 3" xfId="5323" xr:uid="{00000000-0005-0000-0000-000096210000}"/>
    <cellStyle name="Note 3 2 4 3 2" xfId="23948" xr:uid="{8BE6D36E-5329-4BF4-BAF3-B1C3B9BC7958}"/>
    <cellStyle name="Note 3 2 4 3 3" xfId="14649" xr:uid="{980F1EF8-AA9F-406A-961F-DB0D4FDF16D2}"/>
    <cellStyle name="Note 3 2 4 4" xfId="9267" xr:uid="{1291CED5-E18E-4F1A-8856-A132B18F5C81}"/>
    <cellStyle name="Note 3 2 4 4 2" xfId="27881" xr:uid="{8F86F933-63ED-439E-A837-9012E660817F}"/>
    <cellStyle name="Note 3 2 4 4 3" xfId="18582" xr:uid="{F19A674A-3288-45D8-BEA7-7A7046133D13}"/>
    <cellStyle name="Note 3 2 4 5" xfId="19731" xr:uid="{35D48F71-CA90-46A4-9591-073D7FF4FA71}"/>
    <cellStyle name="Note 3 2 4 6" xfId="10432" xr:uid="{47AD29CC-592A-4175-A276-DC058B56D88F}"/>
    <cellStyle name="Note 3 2 5" xfId="1429" xr:uid="{00000000-0005-0000-0000-000097210000}"/>
    <cellStyle name="Note 3 2 5 2" xfId="3659" xr:uid="{00000000-0005-0000-0000-000098210000}"/>
    <cellStyle name="Note 3 2 5 2 2" xfId="7881" xr:uid="{00000000-0005-0000-0000-000099210000}"/>
    <cellStyle name="Note 3 2 5 2 2 2" xfId="26506" xr:uid="{22BEE002-3DFB-4D07-96A0-A1F179205ACA}"/>
    <cellStyle name="Note 3 2 5 2 2 3" xfId="17207" xr:uid="{0F037897-B871-4B16-9423-DC360F43D985}"/>
    <cellStyle name="Note 3 2 5 2 3" xfId="22289" xr:uid="{A4476726-1369-47C8-A71D-D40FF47C9FA1}"/>
    <cellStyle name="Note 3 2 5 2 4" xfId="12990" xr:uid="{9F0B4618-A418-4E2D-9E0D-94DA0B16BD4B}"/>
    <cellStyle name="Note 3 2 5 3" xfId="5736" xr:uid="{00000000-0005-0000-0000-00009A210000}"/>
    <cellStyle name="Note 3 2 5 3 2" xfId="24361" xr:uid="{F488D567-D838-4A58-A145-F0EDE52BA09C}"/>
    <cellStyle name="Note 3 2 5 3 3" xfId="15062" xr:uid="{8694E161-0ACC-4FFF-BAFA-922313647D23}"/>
    <cellStyle name="Note 3 2 5 4" xfId="20144" xr:uid="{F9D8D35E-0A6F-42BA-B585-75460527EE67}"/>
    <cellStyle name="Note 3 2 5 5" xfId="10845" xr:uid="{5ABA7B5E-C6B1-4947-BBEF-B14A0E573509}"/>
    <cellStyle name="Note 3 2 6" xfId="1843" xr:uid="{00000000-0005-0000-0000-00009B210000}"/>
    <cellStyle name="Note 3 2 6 2" xfId="4072" xr:uid="{00000000-0005-0000-0000-00009C210000}"/>
    <cellStyle name="Note 3 2 6 2 2" xfId="8294" xr:uid="{00000000-0005-0000-0000-00009D210000}"/>
    <cellStyle name="Note 3 2 6 2 2 2" xfId="26919" xr:uid="{FDF3B11B-A5ED-485D-85DB-CB38240A6207}"/>
    <cellStyle name="Note 3 2 6 2 2 3" xfId="17620" xr:uid="{C3EEA000-8BD6-4627-BFD5-E72C45881431}"/>
    <cellStyle name="Note 3 2 6 2 3" xfId="22702" xr:uid="{74404904-89B0-4178-A75E-F10226DC0AD8}"/>
    <cellStyle name="Note 3 2 6 2 4" xfId="13403" xr:uid="{769636C5-42ED-4D9A-8F13-7E1DFF4ED653}"/>
    <cellStyle name="Note 3 2 6 3" xfId="6149" xr:uid="{00000000-0005-0000-0000-00009E210000}"/>
    <cellStyle name="Note 3 2 6 3 2" xfId="24774" xr:uid="{D1A91950-01CC-46DA-B0AE-038EB286A50C}"/>
    <cellStyle name="Note 3 2 6 3 3" xfId="15475" xr:uid="{953805FE-26E7-4CB5-AA7F-BA38D6E3D887}"/>
    <cellStyle name="Note 3 2 6 4" xfId="20557" xr:uid="{D181CB53-0C3F-4C6D-8467-8859409BDA3F}"/>
    <cellStyle name="Note 3 2 6 5" xfId="11258" xr:uid="{52B597BA-6435-48B0-BF3B-7A470D34D2DE}"/>
    <cellStyle name="Note 3 2 7" xfId="2256" xr:uid="{00000000-0005-0000-0000-00009F210000}"/>
    <cellStyle name="Note 3 2 7 2" xfId="4485" xr:uid="{00000000-0005-0000-0000-0000A0210000}"/>
    <cellStyle name="Note 3 2 7 2 2" xfId="8707" xr:uid="{00000000-0005-0000-0000-0000A1210000}"/>
    <cellStyle name="Note 3 2 7 2 2 2" xfId="27332" xr:uid="{C7F5BFC9-36C3-4B8A-BD05-DD00B38303FB}"/>
    <cellStyle name="Note 3 2 7 2 2 3" xfId="18033" xr:uid="{E8D393EE-722D-4B01-8932-913915E9F617}"/>
    <cellStyle name="Note 3 2 7 2 3" xfId="23115" xr:uid="{E46B68BC-E1CC-40B8-9A4F-B878F268D463}"/>
    <cellStyle name="Note 3 2 7 2 4" xfId="13816" xr:uid="{7B1156D2-4212-46AC-B5BC-A77A340A8B35}"/>
    <cellStyle name="Note 3 2 7 3" xfId="6562" xr:uid="{00000000-0005-0000-0000-0000A2210000}"/>
    <cellStyle name="Note 3 2 7 3 2" xfId="25187" xr:uid="{FE277239-7FBE-4179-BFC2-869C2D9B50EB}"/>
    <cellStyle name="Note 3 2 7 3 3" xfId="15888" xr:uid="{28B733FF-2FF8-48C1-80B3-37A552DB1E15}"/>
    <cellStyle name="Note 3 2 7 4" xfId="20970" xr:uid="{513809E6-E3B6-40E9-9153-AF555F905C1C}"/>
    <cellStyle name="Note 3 2 7 5" xfId="11671" xr:uid="{BDEEFC18-0AE4-40BD-898F-E2289A41CC24}"/>
    <cellStyle name="Note 3 2 8" xfId="2692" xr:uid="{00000000-0005-0000-0000-0000A3210000}"/>
    <cellStyle name="Note 3 2 8 2" xfId="6975" xr:uid="{00000000-0005-0000-0000-0000A4210000}"/>
    <cellStyle name="Note 3 2 8 2 2" xfId="25600" xr:uid="{CB71C5AB-D20B-42B6-8C2B-22D77C832D10}"/>
    <cellStyle name="Note 3 2 8 2 3" xfId="16301" xr:uid="{D19809AB-98A3-4A4F-8615-5A443FA3C359}"/>
    <cellStyle name="Note 3 2 8 3" xfId="21383" xr:uid="{A9002C58-EA56-4504-827F-1E699D79737B}"/>
    <cellStyle name="Note 3 2 8 4" xfId="12084" xr:uid="{5E4A6E81-5908-45FB-8553-7C6EF4F7B45D}"/>
    <cellStyle name="Note 3 2 9" xfId="2751" xr:uid="{00000000-0005-0000-0000-0000A5210000}"/>
    <cellStyle name="Note 3 3" xfId="558" xr:uid="{00000000-0005-0000-0000-0000A6210000}"/>
    <cellStyle name="Note 3 3 10" xfId="4914" xr:uid="{00000000-0005-0000-0000-0000A7210000}"/>
    <cellStyle name="Note 3 3 10 2" xfId="23539" xr:uid="{6F9CDAD5-9602-4EC1-B59E-76866CEA4D95}"/>
    <cellStyle name="Note 3 3 10 3" xfId="14240" xr:uid="{464904B1-A1A0-41AC-A01F-589425D6142D}"/>
    <cellStyle name="Note 3 3 11" xfId="8892" xr:uid="{8511F94A-7472-4DD0-A9AB-40754FEE5F47}"/>
    <cellStyle name="Note 3 3 11 2" xfId="27515" xr:uid="{362F2C8A-AD3F-483C-9CDE-E4C2B89B48E4}"/>
    <cellStyle name="Note 3 3 11 3" xfId="18216" xr:uid="{AA6815C9-75A0-4E08-8EB8-6C617802B160}"/>
    <cellStyle name="Note 3 3 12" xfId="19322" xr:uid="{4999D375-30F4-4015-94D0-F37F50FE595A}"/>
    <cellStyle name="Note 3 3 13" xfId="10023" xr:uid="{AC0B4359-5CA8-4504-852A-CA2BCF61EFD1}"/>
    <cellStyle name="Note 3 3 2" xfId="559" xr:uid="{00000000-0005-0000-0000-0000A8210000}"/>
    <cellStyle name="Note 3 3 2 10" xfId="9099" xr:uid="{29F3AC20-D296-4B59-BA53-0A5C025B0569}"/>
    <cellStyle name="Note 3 3 2 10 2" xfId="27722" xr:uid="{65AB22C7-F526-4437-8F9F-BF2E33AC08EF}"/>
    <cellStyle name="Note 3 3 2 10 3" xfId="18423" xr:uid="{3166AB9D-69CC-466F-96A0-AF6C06E3650F}"/>
    <cellStyle name="Note 3 3 2 11" xfId="19323" xr:uid="{73A47485-95FC-4ABF-B416-3C1461BEA535}"/>
    <cellStyle name="Note 3 3 2 12" xfId="10024" xr:uid="{B467301C-BE3B-4282-9247-72948BDFF5AF}"/>
    <cellStyle name="Note 3 3 2 2" xfId="1019" xr:uid="{00000000-0005-0000-0000-0000A9210000}"/>
    <cellStyle name="Note 3 3 2 2 2" xfId="3251" xr:uid="{00000000-0005-0000-0000-0000AA210000}"/>
    <cellStyle name="Note 3 3 2 2 2 2" xfId="7473" xr:uid="{00000000-0005-0000-0000-0000AB210000}"/>
    <cellStyle name="Note 3 3 2 2 2 2 2" xfId="26098" xr:uid="{EBB1CEDB-A81C-4B6F-AA5B-F5809668EB73}"/>
    <cellStyle name="Note 3 3 2 2 2 2 3" xfId="16799" xr:uid="{74F10EB9-C9EC-43F8-8408-A5E825A392C6}"/>
    <cellStyle name="Note 3 3 2 2 2 3" xfId="21881" xr:uid="{10E27F2F-8B20-4071-A299-BC7257BDFEB1}"/>
    <cellStyle name="Note 3 3 2 2 2 4" xfId="12582" xr:uid="{B65E192A-5AD7-49CE-BBBB-2AAF38D17B3D}"/>
    <cellStyle name="Note 3 3 2 2 3" xfId="5328" xr:uid="{00000000-0005-0000-0000-0000AC210000}"/>
    <cellStyle name="Note 3 3 2 2 3 2" xfId="23953" xr:uid="{F24D9A5C-0041-4BB3-BFB7-2EF9DD991EBF}"/>
    <cellStyle name="Note 3 3 2 2 3 3" xfId="14654" xr:uid="{F17E10EB-0D30-4C01-941A-D24994C93F15}"/>
    <cellStyle name="Note 3 3 2 2 4" xfId="9524" xr:uid="{D03F5DE7-D9AB-48C0-A1E3-0A929D2C18C5}"/>
    <cellStyle name="Note 3 3 2 2 4 2" xfId="28138" xr:uid="{DE2AC050-EB5A-45AB-8E61-DD2B4E22559C}"/>
    <cellStyle name="Note 3 3 2 2 4 3" xfId="18839" xr:uid="{EBCD86CB-76BC-4619-AB37-225161F73C00}"/>
    <cellStyle name="Note 3 3 2 2 5" xfId="19736" xr:uid="{AD7D6DE1-3EF7-4171-8EEA-0ACC8A757C79}"/>
    <cellStyle name="Note 3 3 2 2 6" xfId="10437" xr:uid="{7249EFF6-E6FB-4F65-90E9-B6877F2E5470}"/>
    <cellStyle name="Note 3 3 2 3" xfId="1434" xr:uid="{00000000-0005-0000-0000-0000AD210000}"/>
    <cellStyle name="Note 3 3 2 3 2" xfId="3664" xr:uid="{00000000-0005-0000-0000-0000AE210000}"/>
    <cellStyle name="Note 3 3 2 3 2 2" xfId="7886" xr:uid="{00000000-0005-0000-0000-0000AF210000}"/>
    <cellStyle name="Note 3 3 2 3 2 2 2" xfId="26511" xr:uid="{87F32EF3-C016-4413-BCCF-92CB7AD6A269}"/>
    <cellStyle name="Note 3 3 2 3 2 2 3" xfId="17212" xr:uid="{1B860238-4180-45D6-AF00-BCF452C1D374}"/>
    <cellStyle name="Note 3 3 2 3 2 3" xfId="22294" xr:uid="{9F5E3EE8-A1EC-4199-BDE4-008FBA99654B}"/>
    <cellStyle name="Note 3 3 2 3 2 4" xfId="12995" xr:uid="{01CFFEC8-B690-4B54-BC5C-00ECF36934CB}"/>
    <cellStyle name="Note 3 3 2 3 3" xfId="5741" xr:uid="{00000000-0005-0000-0000-0000B0210000}"/>
    <cellStyle name="Note 3 3 2 3 3 2" xfId="24366" xr:uid="{5A6E586B-611A-4F09-BDE5-65FC9C2BD693}"/>
    <cellStyle name="Note 3 3 2 3 3 3" xfId="15067" xr:uid="{051F299F-ECE6-438A-B273-49E0A85015DA}"/>
    <cellStyle name="Note 3 3 2 3 4" xfId="20149" xr:uid="{C0DE535B-7B5A-4E7B-97BE-E3970EA8335D}"/>
    <cellStyle name="Note 3 3 2 3 5" xfId="10850" xr:uid="{80AAAD4C-D933-445D-B5D4-18375A1B5249}"/>
    <cellStyle name="Note 3 3 2 4" xfId="1848" xr:uid="{00000000-0005-0000-0000-0000B1210000}"/>
    <cellStyle name="Note 3 3 2 4 2" xfId="4077" xr:uid="{00000000-0005-0000-0000-0000B2210000}"/>
    <cellStyle name="Note 3 3 2 4 2 2" xfId="8299" xr:uid="{00000000-0005-0000-0000-0000B3210000}"/>
    <cellStyle name="Note 3 3 2 4 2 2 2" xfId="26924" xr:uid="{6B697C53-457E-414B-8B3D-E81E760499DB}"/>
    <cellStyle name="Note 3 3 2 4 2 2 3" xfId="17625" xr:uid="{11EE7B5C-2437-42BA-B8D5-50C260AD4D22}"/>
    <cellStyle name="Note 3 3 2 4 2 3" xfId="22707" xr:uid="{949CA270-AB04-446B-B2A9-8CB0CC63177C}"/>
    <cellStyle name="Note 3 3 2 4 2 4" xfId="13408" xr:uid="{BE95CF91-A8DC-4522-8CED-1DCA13F9954B}"/>
    <cellStyle name="Note 3 3 2 4 3" xfId="6154" xr:uid="{00000000-0005-0000-0000-0000B4210000}"/>
    <cellStyle name="Note 3 3 2 4 3 2" xfId="24779" xr:uid="{16B7763F-DFF3-4D68-84D3-929F702468B2}"/>
    <cellStyle name="Note 3 3 2 4 3 3" xfId="15480" xr:uid="{73405891-428E-4F02-ACC5-55751AD84BA9}"/>
    <cellStyle name="Note 3 3 2 4 4" xfId="20562" xr:uid="{DC43FC17-9692-4B19-8CC2-89106151F4BC}"/>
    <cellStyle name="Note 3 3 2 4 5" xfId="11263" xr:uid="{0CB1F555-B1F4-432B-B46E-0E443A111430}"/>
    <cellStyle name="Note 3 3 2 5" xfId="2261" xr:uid="{00000000-0005-0000-0000-0000B5210000}"/>
    <cellStyle name="Note 3 3 2 5 2" xfId="4490" xr:uid="{00000000-0005-0000-0000-0000B6210000}"/>
    <cellStyle name="Note 3 3 2 5 2 2" xfId="8712" xr:uid="{00000000-0005-0000-0000-0000B7210000}"/>
    <cellStyle name="Note 3 3 2 5 2 2 2" xfId="27337" xr:uid="{F1F49F5D-2836-40B1-96FB-2E5A4A37C922}"/>
    <cellStyle name="Note 3 3 2 5 2 2 3" xfId="18038" xr:uid="{22ABF28C-05A7-4E40-A774-4EC7E6C52FFF}"/>
    <cellStyle name="Note 3 3 2 5 2 3" xfId="23120" xr:uid="{805C31E7-13A5-4A69-9D00-E5324DB6AA33}"/>
    <cellStyle name="Note 3 3 2 5 2 4" xfId="13821" xr:uid="{18F1B5AF-5ABD-4259-8BCA-4AF87618C64C}"/>
    <cellStyle name="Note 3 3 2 5 3" xfId="6567" xr:uid="{00000000-0005-0000-0000-0000B8210000}"/>
    <cellStyle name="Note 3 3 2 5 3 2" xfId="25192" xr:uid="{8F59701D-E3AC-482C-8DC5-9CA74FDC82AC}"/>
    <cellStyle name="Note 3 3 2 5 3 3" xfId="15893" xr:uid="{676D598E-F8EA-4E91-96A5-14F56B58B96D}"/>
    <cellStyle name="Note 3 3 2 5 4" xfId="20975" xr:uid="{C0EBE34E-32A8-4E37-A9A1-4E1002ADAA50}"/>
    <cellStyle name="Note 3 3 2 5 5" xfId="11676" xr:uid="{19DDB013-FC88-4AF5-98DC-A3076389B7CA}"/>
    <cellStyle name="Note 3 3 2 6" xfId="2697" xr:uid="{00000000-0005-0000-0000-0000B9210000}"/>
    <cellStyle name="Note 3 3 2 6 2" xfId="6980" xr:uid="{00000000-0005-0000-0000-0000BA210000}"/>
    <cellStyle name="Note 3 3 2 6 2 2" xfId="25605" xr:uid="{0AE5DF97-9FA5-43CF-BAF8-332D79D73A74}"/>
    <cellStyle name="Note 3 3 2 6 2 3" xfId="16306" xr:uid="{E9F302F6-A46B-4597-838F-40C51A916287}"/>
    <cellStyle name="Note 3 3 2 6 3" xfId="21388" xr:uid="{47E1A859-9547-43FC-AEC2-31590C90AEBC}"/>
    <cellStyle name="Note 3 3 2 6 4" xfId="12089" xr:uid="{FBBEE17A-E202-4D42-ACDD-53648CA11077}"/>
    <cellStyle name="Note 3 3 2 7" xfId="2756" xr:uid="{00000000-0005-0000-0000-0000BB210000}"/>
    <cellStyle name="Note 3 3 2 8" xfId="2837" xr:uid="{00000000-0005-0000-0000-0000BC210000}"/>
    <cellStyle name="Note 3 3 2 8 2" xfId="7060" xr:uid="{00000000-0005-0000-0000-0000BD210000}"/>
    <cellStyle name="Note 3 3 2 8 2 2" xfId="25685" xr:uid="{9762B54B-2F8C-4046-959D-96BC4D5D5717}"/>
    <cellStyle name="Note 3 3 2 8 2 3" xfId="16386" xr:uid="{24C9AF14-EDDD-4EA3-BF39-75E8E1DD9EEA}"/>
    <cellStyle name="Note 3 3 2 8 3" xfId="21468" xr:uid="{7F92B936-DA6B-4DD7-A1C2-59C140A3E8C4}"/>
    <cellStyle name="Note 3 3 2 8 4" xfId="12169" xr:uid="{6FD5332C-79F9-4683-8E28-93C5E60F5E7B}"/>
    <cellStyle name="Note 3 3 2 9" xfId="4915" xr:uid="{00000000-0005-0000-0000-0000BE210000}"/>
    <cellStyle name="Note 3 3 2 9 2" xfId="23540" xr:uid="{B0009D96-8593-483B-B17E-7F94848BCD26}"/>
    <cellStyle name="Note 3 3 2 9 3" xfId="14241" xr:uid="{0D4719BC-8CC5-4122-B510-40EC7E3004DE}"/>
    <cellStyle name="Note 3 3 3" xfId="1018" xr:uid="{00000000-0005-0000-0000-0000BF210000}"/>
    <cellStyle name="Note 3 3 3 2" xfId="3250" xr:uid="{00000000-0005-0000-0000-0000C0210000}"/>
    <cellStyle name="Note 3 3 3 2 2" xfId="7472" xr:uid="{00000000-0005-0000-0000-0000C1210000}"/>
    <cellStyle name="Note 3 3 3 2 2 2" xfId="26097" xr:uid="{8C2630D4-75FF-4DE1-9C8B-CC970FFB1021}"/>
    <cellStyle name="Note 3 3 3 2 2 3" xfId="16798" xr:uid="{558D3FDA-D7FD-4C54-8EC2-268113F94F46}"/>
    <cellStyle name="Note 3 3 3 2 3" xfId="21880" xr:uid="{63BDE567-9C94-4EA4-82E0-AA653E3CD34B}"/>
    <cellStyle name="Note 3 3 3 2 4" xfId="12581" xr:uid="{EB12C39C-C8C8-458A-B336-231CF87A7D7B}"/>
    <cellStyle name="Note 3 3 3 3" xfId="5327" xr:uid="{00000000-0005-0000-0000-0000C2210000}"/>
    <cellStyle name="Note 3 3 3 3 2" xfId="23952" xr:uid="{485303E1-4263-472F-8273-8E9556FD2FDF}"/>
    <cellStyle name="Note 3 3 3 3 3" xfId="14653" xr:uid="{4558A401-60E1-4DB6-92B5-CC358F5A11D2}"/>
    <cellStyle name="Note 3 3 3 4" xfId="9317" xr:uid="{171D8024-554D-4F15-BFD3-81CBE1A601EA}"/>
    <cellStyle name="Note 3 3 3 4 2" xfId="27931" xr:uid="{5AF1DDDB-2BB9-485A-9F07-A5BC510FF1A9}"/>
    <cellStyle name="Note 3 3 3 4 3" xfId="18632" xr:uid="{83E32074-AB0A-4713-8B30-071811412BA1}"/>
    <cellStyle name="Note 3 3 3 5" xfId="19735" xr:uid="{C741E208-E21D-4DA8-9FDD-7F14E98289BC}"/>
    <cellStyle name="Note 3 3 3 6" xfId="10436" xr:uid="{F7F1C525-5AB8-4ACA-BF12-8364657C4E09}"/>
    <cellStyle name="Note 3 3 4" xfId="1433" xr:uid="{00000000-0005-0000-0000-0000C3210000}"/>
    <cellStyle name="Note 3 3 4 2" xfId="3663" xr:uid="{00000000-0005-0000-0000-0000C4210000}"/>
    <cellStyle name="Note 3 3 4 2 2" xfId="7885" xr:uid="{00000000-0005-0000-0000-0000C5210000}"/>
    <cellStyle name="Note 3 3 4 2 2 2" xfId="26510" xr:uid="{7ECD4D6E-15F5-4DC6-9F26-E8EF486A2B47}"/>
    <cellStyle name="Note 3 3 4 2 2 3" xfId="17211" xr:uid="{BD12422A-CE92-483B-8234-0F033E8B0F90}"/>
    <cellStyle name="Note 3 3 4 2 3" xfId="22293" xr:uid="{986675B3-054B-4EA1-A7E4-7B12D6269B8A}"/>
    <cellStyle name="Note 3 3 4 2 4" xfId="12994" xr:uid="{38C1C246-192E-4683-BEEE-6B2E7B476163}"/>
    <cellStyle name="Note 3 3 4 3" xfId="5740" xr:uid="{00000000-0005-0000-0000-0000C6210000}"/>
    <cellStyle name="Note 3 3 4 3 2" xfId="24365" xr:uid="{A59F33EF-752A-4A14-93A5-998434B1DAC0}"/>
    <cellStyle name="Note 3 3 4 3 3" xfId="15066" xr:uid="{A4822F20-9218-4DB1-83C7-D75A8361C6AA}"/>
    <cellStyle name="Note 3 3 4 4" xfId="20148" xr:uid="{38B401C5-2B3E-461A-8E49-B43FA916F2F7}"/>
    <cellStyle name="Note 3 3 4 5" xfId="10849" xr:uid="{D273D938-C51F-4ECF-BA27-F2E75AA57C19}"/>
    <cellStyle name="Note 3 3 5" xfId="1847" xr:uid="{00000000-0005-0000-0000-0000C7210000}"/>
    <cellStyle name="Note 3 3 5 2" xfId="4076" xr:uid="{00000000-0005-0000-0000-0000C8210000}"/>
    <cellStyle name="Note 3 3 5 2 2" xfId="8298" xr:uid="{00000000-0005-0000-0000-0000C9210000}"/>
    <cellStyle name="Note 3 3 5 2 2 2" xfId="26923" xr:uid="{95867597-7FC6-443D-99F8-13F92478BC6A}"/>
    <cellStyle name="Note 3 3 5 2 2 3" xfId="17624" xr:uid="{373D2E44-F59F-4B80-A265-2F7E08400251}"/>
    <cellStyle name="Note 3 3 5 2 3" xfId="22706" xr:uid="{63813324-5F76-4366-942E-3A846BE84C94}"/>
    <cellStyle name="Note 3 3 5 2 4" xfId="13407" xr:uid="{29C18F88-BA96-44BE-BC87-F1C3C4F10006}"/>
    <cellStyle name="Note 3 3 5 3" xfId="6153" xr:uid="{00000000-0005-0000-0000-0000CA210000}"/>
    <cellStyle name="Note 3 3 5 3 2" xfId="24778" xr:uid="{65EB1003-5C6C-40E8-A4BC-A9B45B112C9A}"/>
    <cellStyle name="Note 3 3 5 3 3" xfId="15479" xr:uid="{EA04B5DB-DDED-4A5A-880C-BAD1D336DB20}"/>
    <cellStyle name="Note 3 3 5 4" xfId="20561" xr:uid="{51712D88-023B-4EAC-9EDA-5A2887A4CD71}"/>
    <cellStyle name="Note 3 3 5 5" xfId="11262" xr:uid="{3FC9F060-A3FD-4EE8-A3B4-7CF695F8BBB4}"/>
    <cellStyle name="Note 3 3 6" xfId="2260" xr:uid="{00000000-0005-0000-0000-0000CB210000}"/>
    <cellStyle name="Note 3 3 6 2" xfId="4489" xr:uid="{00000000-0005-0000-0000-0000CC210000}"/>
    <cellStyle name="Note 3 3 6 2 2" xfId="8711" xr:uid="{00000000-0005-0000-0000-0000CD210000}"/>
    <cellStyle name="Note 3 3 6 2 2 2" xfId="27336" xr:uid="{A1D966EC-C23B-4076-BCF3-D34E472720C0}"/>
    <cellStyle name="Note 3 3 6 2 2 3" xfId="18037" xr:uid="{D0B720FC-8E2B-4B7E-8B7D-06FC18AB67BB}"/>
    <cellStyle name="Note 3 3 6 2 3" xfId="23119" xr:uid="{E2DE266D-8368-4C70-ADFB-71A0D38FB4EE}"/>
    <cellStyle name="Note 3 3 6 2 4" xfId="13820" xr:uid="{851A6E38-2798-4C7E-AEF2-B2692DE590D9}"/>
    <cellStyle name="Note 3 3 6 3" xfId="6566" xr:uid="{00000000-0005-0000-0000-0000CE210000}"/>
    <cellStyle name="Note 3 3 6 3 2" xfId="25191" xr:uid="{D4DF6FBD-6C95-4CFD-B99F-75A56EF00B77}"/>
    <cellStyle name="Note 3 3 6 3 3" xfId="15892" xr:uid="{080B54DC-D750-4271-8261-6189BB422507}"/>
    <cellStyle name="Note 3 3 6 4" xfId="20974" xr:uid="{D09CF901-F659-4967-A1FA-5E872B710977}"/>
    <cellStyle name="Note 3 3 6 5" xfId="11675" xr:uid="{C36B8157-93DC-4ACA-A584-41587AF2E092}"/>
    <cellStyle name="Note 3 3 7" xfId="2696" xr:uid="{00000000-0005-0000-0000-0000CF210000}"/>
    <cellStyle name="Note 3 3 7 2" xfId="6979" xr:uid="{00000000-0005-0000-0000-0000D0210000}"/>
    <cellStyle name="Note 3 3 7 2 2" xfId="25604" xr:uid="{FE82C062-0FE5-43CF-9DC6-89A1F4D362D7}"/>
    <cellStyle name="Note 3 3 7 2 3" xfId="16305" xr:uid="{B5F627AA-F648-4B6E-BBFC-87A8B9A42375}"/>
    <cellStyle name="Note 3 3 7 3" xfId="21387" xr:uid="{63D4FD6B-A6D2-4315-AE63-92368ED593EB}"/>
    <cellStyle name="Note 3 3 7 4" xfId="12088" xr:uid="{0E4156B4-201C-4D20-8D3C-9EB45715D1E7}"/>
    <cellStyle name="Note 3 3 8" xfId="2755" xr:uid="{00000000-0005-0000-0000-0000D1210000}"/>
    <cellStyle name="Note 3 3 9" xfId="2836" xr:uid="{00000000-0005-0000-0000-0000D2210000}"/>
    <cellStyle name="Note 3 3 9 2" xfId="7059" xr:uid="{00000000-0005-0000-0000-0000D3210000}"/>
    <cellStyle name="Note 3 3 9 2 2" xfId="25684" xr:uid="{4DA8FA82-5755-4279-9B61-04BF8D4EA271}"/>
    <cellStyle name="Note 3 3 9 2 3" xfId="16385" xr:uid="{AF71E3F9-B89D-4A31-83C0-DB1A7BC75B4B}"/>
    <cellStyle name="Note 3 3 9 3" xfId="21467" xr:uid="{19F0DBB0-2C57-4FC3-A1D1-CEFD7D6E7037}"/>
    <cellStyle name="Note 3 3 9 4" xfId="12168" xr:uid="{71D96EDB-D303-4E29-A579-255009C016F6}"/>
    <cellStyle name="Note 3 4" xfId="560" xr:uid="{00000000-0005-0000-0000-0000D4210000}"/>
    <cellStyle name="Note 3 4 10" xfId="8996" xr:uid="{0D704BEA-0820-4E61-9EA3-F4C1E73C6543}"/>
    <cellStyle name="Note 3 4 10 2" xfId="27619" xr:uid="{5BC626DD-F8AE-4E23-9A5B-513F1C60D948}"/>
    <cellStyle name="Note 3 4 10 3" xfId="18320" xr:uid="{D66211CA-8E28-4B18-9426-D87D40F24D02}"/>
    <cellStyle name="Note 3 4 11" xfId="19324" xr:uid="{AE804F57-2150-4AAD-B62A-C4F68E4EAE04}"/>
    <cellStyle name="Note 3 4 12" xfId="10025" xr:uid="{76E828ED-39C4-4405-8F04-3A9C5849E26A}"/>
    <cellStyle name="Note 3 4 2" xfId="1020" xr:uid="{00000000-0005-0000-0000-0000D5210000}"/>
    <cellStyle name="Note 3 4 2 2" xfId="3252" xr:uid="{00000000-0005-0000-0000-0000D6210000}"/>
    <cellStyle name="Note 3 4 2 2 2" xfId="7474" xr:uid="{00000000-0005-0000-0000-0000D7210000}"/>
    <cellStyle name="Note 3 4 2 2 2 2" xfId="26099" xr:uid="{2255C23B-EEB4-45BC-88C9-45ED30042FEE}"/>
    <cellStyle name="Note 3 4 2 2 2 3" xfId="16800" xr:uid="{52A8DB29-95BB-449D-A52C-2680AB1AAF6C}"/>
    <cellStyle name="Note 3 4 2 2 3" xfId="21882" xr:uid="{FC04D820-883C-4A53-A27A-6520E2B75042}"/>
    <cellStyle name="Note 3 4 2 2 4" xfId="12583" xr:uid="{9593E914-5866-470D-AC09-5234AB7BAB66}"/>
    <cellStyle name="Note 3 4 2 3" xfId="5329" xr:uid="{00000000-0005-0000-0000-0000D8210000}"/>
    <cellStyle name="Note 3 4 2 3 2" xfId="23954" xr:uid="{BA78AFA0-7374-4F1B-8523-5AE6B875C5B1}"/>
    <cellStyle name="Note 3 4 2 3 3" xfId="14655" xr:uid="{3A1D7204-4FBE-4900-B368-80FB9E748AEB}"/>
    <cellStyle name="Note 3 4 2 4" xfId="9421" xr:uid="{EC0A57E0-416C-4EC5-866A-A09E44531CB5}"/>
    <cellStyle name="Note 3 4 2 4 2" xfId="28035" xr:uid="{B883F460-3850-4013-A944-B321BDF88E7E}"/>
    <cellStyle name="Note 3 4 2 4 3" xfId="18736" xr:uid="{FCFF0359-AEC6-4C54-9728-6A1A80A60421}"/>
    <cellStyle name="Note 3 4 2 5" xfId="19737" xr:uid="{17246495-E8A3-415F-8E23-1743D39659D6}"/>
    <cellStyle name="Note 3 4 2 6" xfId="10438" xr:uid="{F40DD12C-0B7E-44E8-84CF-334B73D25767}"/>
    <cellStyle name="Note 3 4 3" xfId="1435" xr:uid="{00000000-0005-0000-0000-0000D9210000}"/>
    <cellStyle name="Note 3 4 3 2" xfId="3665" xr:uid="{00000000-0005-0000-0000-0000DA210000}"/>
    <cellStyle name="Note 3 4 3 2 2" xfId="7887" xr:uid="{00000000-0005-0000-0000-0000DB210000}"/>
    <cellStyle name="Note 3 4 3 2 2 2" xfId="26512" xr:uid="{D8C91F93-96C6-4B32-B8D0-AC5931D76194}"/>
    <cellStyle name="Note 3 4 3 2 2 3" xfId="17213" xr:uid="{BC8901EF-544C-4DAD-B33E-5F16C5787161}"/>
    <cellStyle name="Note 3 4 3 2 3" xfId="22295" xr:uid="{DE816FC2-400B-4866-BADB-7F5FBB46B5E1}"/>
    <cellStyle name="Note 3 4 3 2 4" xfId="12996" xr:uid="{255C803D-C89F-4C98-83EB-4855F051CB59}"/>
    <cellStyle name="Note 3 4 3 3" xfId="5742" xr:uid="{00000000-0005-0000-0000-0000DC210000}"/>
    <cellStyle name="Note 3 4 3 3 2" xfId="24367" xr:uid="{484DE07C-745E-4781-84C5-9DAA0F204DA2}"/>
    <cellStyle name="Note 3 4 3 3 3" xfId="15068" xr:uid="{1CE12C95-F45C-4A3E-9CD7-FCEA64505536}"/>
    <cellStyle name="Note 3 4 3 4" xfId="20150" xr:uid="{10DA11EC-283A-4709-ABA6-0E2273CD3C0E}"/>
    <cellStyle name="Note 3 4 3 5" xfId="10851" xr:uid="{790977AF-1862-4DCF-B765-D91379372705}"/>
    <cellStyle name="Note 3 4 4" xfId="1849" xr:uid="{00000000-0005-0000-0000-0000DD210000}"/>
    <cellStyle name="Note 3 4 4 2" xfId="4078" xr:uid="{00000000-0005-0000-0000-0000DE210000}"/>
    <cellStyle name="Note 3 4 4 2 2" xfId="8300" xr:uid="{00000000-0005-0000-0000-0000DF210000}"/>
    <cellStyle name="Note 3 4 4 2 2 2" xfId="26925" xr:uid="{2AF1C55B-BF2D-432D-AB0A-A445F1D20151}"/>
    <cellStyle name="Note 3 4 4 2 2 3" xfId="17626" xr:uid="{6DC9B005-10F2-4999-8383-A876ACF27CEA}"/>
    <cellStyle name="Note 3 4 4 2 3" xfId="22708" xr:uid="{53380576-4834-4D8C-B8A9-D408548F2BBF}"/>
    <cellStyle name="Note 3 4 4 2 4" xfId="13409" xr:uid="{02B29D02-13CD-459B-9367-FF0D09CCAF48}"/>
    <cellStyle name="Note 3 4 4 3" xfId="6155" xr:uid="{00000000-0005-0000-0000-0000E0210000}"/>
    <cellStyle name="Note 3 4 4 3 2" xfId="24780" xr:uid="{10607355-133F-497F-820A-991DCA3CB09F}"/>
    <cellStyle name="Note 3 4 4 3 3" xfId="15481" xr:uid="{1E3A8A1E-59BA-4905-BE56-2415547E646D}"/>
    <cellStyle name="Note 3 4 4 4" xfId="20563" xr:uid="{4B0D4A22-C161-4CC0-8BFC-C3812B560ECE}"/>
    <cellStyle name="Note 3 4 4 5" xfId="11264" xr:uid="{A59E6A2B-C540-47F3-B796-6E53B245FFE4}"/>
    <cellStyle name="Note 3 4 5" xfId="2262" xr:uid="{00000000-0005-0000-0000-0000E1210000}"/>
    <cellStyle name="Note 3 4 5 2" xfId="4491" xr:uid="{00000000-0005-0000-0000-0000E2210000}"/>
    <cellStyle name="Note 3 4 5 2 2" xfId="8713" xr:uid="{00000000-0005-0000-0000-0000E3210000}"/>
    <cellStyle name="Note 3 4 5 2 2 2" xfId="27338" xr:uid="{D9118E28-4BBC-4F7B-A95B-DF0D8A79891E}"/>
    <cellStyle name="Note 3 4 5 2 2 3" xfId="18039" xr:uid="{869E7A9D-E4CC-4352-A955-0A272FF084E0}"/>
    <cellStyle name="Note 3 4 5 2 3" xfId="23121" xr:uid="{83D5A45D-C24F-4E4D-B0F8-DF5515CE4A48}"/>
    <cellStyle name="Note 3 4 5 2 4" xfId="13822" xr:uid="{E311A65F-A6D0-4B4F-B686-DB3C9D66CB48}"/>
    <cellStyle name="Note 3 4 5 3" xfId="6568" xr:uid="{00000000-0005-0000-0000-0000E4210000}"/>
    <cellStyle name="Note 3 4 5 3 2" xfId="25193" xr:uid="{08A5B3D0-1EC1-4D9F-B9B4-07FC75674010}"/>
    <cellStyle name="Note 3 4 5 3 3" xfId="15894" xr:uid="{52CD1D5C-557A-4B6C-8E70-190BA1824318}"/>
    <cellStyle name="Note 3 4 5 4" xfId="20976" xr:uid="{489C661F-5153-4E86-882D-EF2843282672}"/>
    <cellStyle name="Note 3 4 5 5" xfId="11677" xr:uid="{759E56A6-49DA-4EB6-BE70-9E74DC530355}"/>
    <cellStyle name="Note 3 4 6" xfId="2698" xr:uid="{00000000-0005-0000-0000-0000E5210000}"/>
    <cellStyle name="Note 3 4 6 2" xfId="6981" xr:uid="{00000000-0005-0000-0000-0000E6210000}"/>
    <cellStyle name="Note 3 4 6 2 2" xfId="25606" xr:uid="{483066AC-72A0-4C43-A3AA-B59DC36E8B7F}"/>
    <cellStyle name="Note 3 4 6 2 3" xfId="16307" xr:uid="{E1DEE162-E81E-45CA-A255-4D78990A270D}"/>
    <cellStyle name="Note 3 4 6 3" xfId="21389" xr:uid="{898AF2FF-98C5-42BC-8227-A9CA9153B325}"/>
    <cellStyle name="Note 3 4 6 4" xfId="12090" xr:uid="{31E4DD59-97B3-4833-B515-6640E0032784}"/>
    <cellStyle name="Note 3 4 7" xfId="2757" xr:uid="{00000000-0005-0000-0000-0000E7210000}"/>
    <cellStyle name="Note 3 4 8" xfId="2838" xr:uid="{00000000-0005-0000-0000-0000E8210000}"/>
    <cellStyle name="Note 3 4 8 2" xfId="7061" xr:uid="{00000000-0005-0000-0000-0000E9210000}"/>
    <cellStyle name="Note 3 4 8 2 2" xfId="25686" xr:uid="{65F3F6B0-14BF-4C73-AFB9-B62F600C7442}"/>
    <cellStyle name="Note 3 4 8 2 3" xfId="16387" xr:uid="{ADE055D3-C8D2-447A-B294-47C3A5FC2D92}"/>
    <cellStyle name="Note 3 4 8 3" xfId="21469" xr:uid="{D1F1C50A-1D21-4457-B761-0B7B476A9370}"/>
    <cellStyle name="Note 3 4 8 4" xfId="12170" xr:uid="{BBCC8EF3-6878-466F-ADDF-0E64CD72867B}"/>
    <cellStyle name="Note 3 4 9" xfId="4916" xr:uid="{00000000-0005-0000-0000-0000EA210000}"/>
    <cellStyle name="Note 3 4 9 2" xfId="23541" xr:uid="{30C218DD-9523-4DB5-B3F5-5A8EA6178E64}"/>
    <cellStyle name="Note 3 4 9 3" xfId="14242" xr:uid="{741258CB-6391-44E1-B26C-C5DE2297FE6A}"/>
    <cellStyle name="Note 3 5" xfId="561" xr:uid="{00000000-0005-0000-0000-0000EB210000}"/>
    <cellStyle name="Note 3 5 10" xfId="9213" xr:uid="{D9D7FB9A-B03C-4A97-A778-36731B43DF3F}"/>
    <cellStyle name="Note 3 5 10 2" xfId="27828" xr:uid="{0D9F283F-441F-4D9C-B40D-13F93258315D}"/>
    <cellStyle name="Note 3 5 10 3" xfId="18529" xr:uid="{112AFCFB-FDCE-47B1-976D-1840A67BB6EC}"/>
    <cellStyle name="Note 3 5 11" xfId="19325" xr:uid="{AAE95452-04DB-40F5-B7F9-801F750139FE}"/>
    <cellStyle name="Note 3 5 12" xfId="10026" xr:uid="{787BC0A0-BED5-43BB-AD42-EB9BC66BFD1B}"/>
    <cellStyle name="Note 3 5 2" xfId="1021" xr:uid="{00000000-0005-0000-0000-0000EC210000}"/>
    <cellStyle name="Note 3 5 2 2" xfId="3253" xr:uid="{00000000-0005-0000-0000-0000ED210000}"/>
    <cellStyle name="Note 3 5 2 2 2" xfId="7475" xr:uid="{00000000-0005-0000-0000-0000EE210000}"/>
    <cellStyle name="Note 3 5 2 2 2 2" xfId="26100" xr:uid="{F63419B5-78D3-4EA2-BA50-E7A478FE7ABE}"/>
    <cellStyle name="Note 3 5 2 2 2 3" xfId="16801" xr:uid="{A38909A7-0EDD-4604-BF3C-7578B808C037}"/>
    <cellStyle name="Note 3 5 2 2 3" xfId="21883" xr:uid="{F959A650-C1DB-411E-9985-9C21AA4C088F}"/>
    <cellStyle name="Note 3 5 2 2 4" xfId="12584" xr:uid="{FE7D34ED-D810-43AA-986B-A81B869E3EB2}"/>
    <cellStyle name="Note 3 5 2 3" xfId="5330" xr:uid="{00000000-0005-0000-0000-0000EF210000}"/>
    <cellStyle name="Note 3 5 2 3 2" xfId="23955" xr:uid="{1B7E18E4-46CC-4AD9-A35F-2881CC2FFA91}"/>
    <cellStyle name="Note 3 5 2 3 3" xfId="14656" xr:uid="{4D7CAF34-5FBF-4A18-9317-B1EAA5D4FA9C}"/>
    <cellStyle name="Note 3 5 2 4" xfId="9611" xr:uid="{74765414-66B3-4FDA-BA21-3BFFEF98E338}"/>
    <cellStyle name="Note 3 5 2 4 2" xfId="28210" xr:uid="{BFB8ED80-2181-4B62-B5E3-F80576356D1D}"/>
    <cellStyle name="Note 3 5 2 4 3" xfId="18911" xr:uid="{35E6B7C3-3804-4EEB-BF39-3AAA1398113F}"/>
    <cellStyle name="Note 3 5 2 5" xfId="19738" xr:uid="{23E49168-09EA-48BA-BED0-1DD72FDD09CA}"/>
    <cellStyle name="Note 3 5 2 6" xfId="10439" xr:uid="{A9F26F1D-45FA-48D4-8BE6-FA381C4FB3BF}"/>
    <cellStyle name="Note 3 5 3" xfId="1436" xr:uid="{00000000-0005-0000-0000-0000F0210000}"/>
    <cellStyle name="Note 3 5 3 2" xfId="3666" xr:uid="{00000000-0005-0000-0000-0000F1210000}"/>
    <cellStyle name="Note 3 5 3 2 2" xfId="7888" xr:uid="{00000000-0005-0000-0000-0000F2210000}"/>
    <cellStyle name="Note 3 5 3 2 2 2" xfId="26513" xr:uid="{64924F71-2A34-4BEA-BBBC-A4474FD4D4E4}"/>
    <cellStyle name="Note 3 5 3 2 2 3" xfId="17214" xr:uid="{F31D47F5-9D17-4594-BCE8-F285CC0B8CE8}"/>
    <cellStyle name="Note 3 5 3 2 3" xfId="22296" xr:uid="{C2074BAD-8489-4F35-AC53-482105F783C0}"/>
    <cellStyle name="Note 3 5 3 2 4" xfId="12997" xr:uid="{9A611E8E-E2A0-444E-A9DA-ABB93C864F9C}"/>
    <cellStyle name="Note 3 5 3 3" xfId="5743" xr:uid="{00000000-0005-0000-0000-0000F3210000}"/>
    <cellStyle name="Note 3 5 3 3 2" xfId="24368" xr:uid="{D13F8F08-8636-40AB-B8E0-FB88D9EA8804}"/>
    <cellStyle name="Note 3 5 3 3 3" xfId="15069" xr:uid="{20278ABB-3A76-4B11-98EC-EC2256020D75}"/>
    <cellStyle name="Note 3 5 3 4" xfId="20151" xr:uid="{9458D73E-3E60-4A21-AF86-563E6A8C4943}"/>
    <cellStyle name="Note 3 5 3 5" xfId="10852" xr:uid="{6A4FC69E-0A41-433D-BD53-B17A7B81CB97}"/>
    <cellStyle name="Note 3 5 4" xfId="1850" xr:uid="{00000000-0005-0000-0000-0000F4210000}"/>
    <cellStyle name="Note 3 5 4 2" xfId="4079" xr:uid="{00000000-0005-0000-0000-0000F5210000}"/>
    <cellStyle name="Note 3 5 4 2 2" xfId="8301" xr:uid="{00000000-0005-0000-0000-0000F6210000}"/>
    <cellStyle name="Note 3 5 4 2 2 2" xfId="26926" xr:uid="{7A5ABC27-C953-4D64-BA5E-8D74BE838A84}"/>
    <cellStyle name="Note 3 5 4 2 2 3" xfId="17627" xr:uid="{4EE998DC-1CC7-470A-BBB2-385CFED118B9}"/>
    <cellStyle name="Note 3 5 4 2 3" xfId="22709" xr:uid="{7F57415B-1BA3-4465-B2EA-3EB88376ACA6}"/>
    <cellStyle name="Note 3 5 4 2 4" xfId="13410" xr:uid="{9A3AB961-BBE1-4120-8969-5BD17910C199}"/>
    <cellStyle name="Note 3 5 4 3" xfId="6156" xr:uid="{00000000-0005-0000-0000-0000F7210000}"/>
    <cellStyle name="Note 3 5 4 3 2" xfId="24781" xr:uid="{5F70B41B-D18D-4EC8-B4D1-A658AC0A1342}"/>
    <cellStyle name="Note 3 5 4 3 3" xfId="15482" xr:uid="{55EADF1C-344C-4A83-8E29-083644C458D4}"/>
    <cellStyle name="Note 3 5 4 4" xfId="20564" xr:uid="{BD18A8F7-DDA0-4876-9734-303CDF7F7309}"/>
    <cellStyle name="Note 3 5 4 5" xfId="11265" xr:uid="{EBAEAE56-D3C0-4E7D-B791-03C96D0C9DD4}"/>
    <cellStyle name="Note 3 5 5" xfId="2263" xr:uid="{00000000-0005-0000-0000-0000F8210000}"/>
    <cellStyle name="Note 3 5 5 2" xfId="4492" xr:uid="{00000000-0005-0000-0000-0000F9210000}"/>
    <cellStyle name="Note 3 5 5 2 2" xfId="8714" xr:uid="{00000000-0005-0000-0000-0000FA210000}"/>
    <cellStyle name="Note 3 5 5 2 2 2" xfId="27339" xr:uid="{307ED545-5F63-42BF-A692-2A2E1DBDACBC}"/>
    <cellStyle name="Note 3 5 5 2 2 3" xfId="18040" xr:uid="{ECC304C5-8C11-4C47-BD77-284333735672}"/>
    <cellStyle name="Note 3 5 5 2 3" xfId="23122" xr:uid="{C2DDC58E-9096-4534-B5EA-00FC2CFA471B}"/>
    <cellStyle name="Note 3 5 5 2 4" xfId="13823" xr:uid="{494EFD1F-E870-4E7D-A209-C598C2E9169B}"/>
    <cellStyle name="Note 3 5 5 3" xfId="6569" xr:uid="{00000000-0005-0000-0000-0000FB210000}"/>
    <cellStyle name="Note 3 5 5 3 2" xfId="25194" xr:uid="{96017946-29A2-460D-BE83-A623152F5D05}"/>
    <cellStyle name="Note 3 5 5 3 3" xfId="15895" xr:uid="{C7F751AA-235E-4149-967C-35F18216E1B4}"/>
    <cellStyle name="Note 3 5 5 4" xfId="20977" xr:uid="{6D0FA7D6-4C36-44B4-9D29-ECDE52A8EE41}"/>
    <cellStyle name="Note 3 5 5 5" xfId="11678" xr:uid="{6D0339EC-45B8-4A81-A136-32192FCAEFB4}"/>
    <cellStyle name="Note 3 5 6" xfId="2699" xr:uid="{00000000-0005-0000-0000-0000FC210000}"/>
    <cellStyle name="Note 3 5 6 2" xfId="6982" xr:uid="{00000000-0005-0000-0000-0000FD210000}"/>
    <cellStyle name="Note 3 5 6 2 2" xfId="25607" xr:uid="{925D16D6-B7CC-4CFA-8370-200D6D4985A9}"/>
    <cellStyle name="Note 3 5 6 2 3" xfId="16308" xr:uid="{14A210C9-E824-4C1A-8A4D-F00D28D7DA67}"/>
    <cellStyle name="Note 3 5 6 3" xfId="21390" xr:uid="{B85E935C-A33D-4C5A-BE5D-D3DBBB50586D}"/>
    <cellStyle name="Note 3 5 6 4" xfId="12091" xr:uid="{2C3D6395-3F69-47D7-829D-ADDF28BB48D1}"/>
    <cellStyle name="Note 3 5 7" xfId="2758" xr:uid="{00000000-0005-0000-0000-0000FE210000}"/>
    <cellStyle name="Note 3 5 8" xfId="2839" xr:uid="{00000000-0005-0000-0000-0000FF210000}"/>
    <cellStyle name="Note 3 5 8 2" xfId="7062" xr:uid="{00000000-0005-0000-0000-000000220000}"/>
    <cellStyle name="Note 3 5 8 2 2" xfId="25687" xr:uid="{BE691D23-BE2E-4331-9011-9A748C9F6A23}"/>
    <cellStyle name="Note 3 5 8 2 3" xfId="16388" xr:uid="{4AF64605-8AF4-4A19-B12A-2FAA4A8F5292}"/>
    <cellStyle name="Note 3 5 8 3" xfId="21470" xr:uid="{12BADE45-F076-45DF-B3DD-26832291289D}"/>
    <cellStyle name="Note 3 5 8 4" xfId="12171" xr:uid="{5DBB3BF7-8147-4E33-8E73-1B8D84DAADE6}"/>
    <cellStyle name="Note 3 5 9" xfId="4917" xr:uid="{00000000-0005-0000-0000-000001220000}"/>
    <cellStyle name="Note 3 5 9 2" xfId="23542" xr:uid="{4975E0F0-4A36-4ADC-8B61-56583B1709D7}"/>
    <cellStyle name="Note 3 5 9 3" xfId="14243" xr:uid="{CB3FD0D0-69F1-4C2A-99A5-D84948D3E060}"/>
    <cellStyle name="Note 3 6" xfId="9588" xr:uid="{4A2A2C5B-BA67-4FBC-A2F1-7546BE1E0E7F}"/>
    <cellStyle name="Note 3 7" xfId="8789" xr:uid="{EE6BC007-A514-4F23-A927-A69B937DFEC6}"/>
    <cellStyle name="Note 3 7 2" xfId="27412" xr:uid="{717C4D33-9C27-4E74-890C-96E0E946B1CF}"/>
    <cellStyle name="Note 3 7 3" xfId="18113" xr:uid="{DB7B96A0-0F6A-40ED-A0D1-3287E0F07C81}"/>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3 2 2" xfId="28195" xr:uid="{5F46AA9A-0E51-4641-94C9-FC88A1F37909}"/>
    <cellStyle name="Percent 3 2 3" xfId="18896" xr:uid="{6333CB01-C5D1-4AB5-9C05-83D61959C866}"/>
    <cellStyle name="Percent 3 3" xfId="23125" xr:uid="{C980EC82-968A-4A19-A933-069E6945505F}"/>
    <cellStyle name="Percent 3 4" xfId="13826" xr:uid="{288B505A-F66E-444F-8F64-45E9B9623BC8}"/>
    <cellStyle name="Percent 4" xfId="4502" xr:uid="{00000000-0005-0000-0000-000007220000}"/>
    <cellStyle name="Percent 4 2" xfId="8717" xr:uid="{00000000-0005-0000-0000-000008220000}"/>
    <cellStyle name="Percent 4 2 2" xfId="27342" xr:uid="{A66C95B4-5054-4066-932B-D7044779F5B1}"/>
    <cellStyle name="Percent 4 2 3" xfId="18043" xr:uid="{3B57B515-7855-43C4-B7D1-EC773324C438}"/>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Percent 4 3 2 2 2 2 2 2" xfId="27361" xr:uid="{7A8A5BDA-2044-46F1-9517-04F282508F01}"/>
    <cellStyle name="Percent 4 3 2 2 2 2 2 3" xfId="18062" xr:uid="{0FA8409E-A53F-4891-837D-30FC3300AD87}"/>
    <cellStyle name="Percent 4 3 2 2 2 2 3" xfId="27358" xr:uid="{94A4B3C6-220F-4294-B135-B63A9B4DEFDD}"/>
    <cellStyle name="Percent 4 3 2 2 2 2 4" xfId="18059" xr:uid="{F7B6B5E6-05C4-4B7D-B1B1-8A781EE76FCC}"/>
    <cellStyle name="Percent 4 3 2 2 2 3" xfId="27355" xr:uid="{F6685FE6-802A-425B-BD51-82385A20F5D8}"/>
    <cellStyle name="Percent 4 3 2 2 2 4" xfId="18056" xr:uid="{0969ECBE-A078-4E04-B569-5698DEF5A676}"/>
    <cellStyle name="Percent 4 3 2 2 3" xfId="27351" xr:uid="{4F547467-395F-45C8-80C5-ABE12D9C0D29}"/>
    <cellStyle name="Percent 4 3 2 2 4" xfId="18052" xr:uid="{D0F4CB5A-6B4E-4402-B436-95E02CAE2A09}"/>
    <cellStyle name="Percent 4 3 2 3" xfId="27348" xr:uid="{C2157FA6-A582-4623-82B8-31BEFC602EEF}"/>
    <cellStyle name="Percent 4 3 2 4" xfId="18049" xr:uid="{DBE4AE4E-59B1-4D8A-A5C8-BE4B1D105700}"/>
    <cellStyle name="Percent 4 3 3" xfId="27345" xr:uid="{BFA9E113-2A44-46A3-AE29-503545236A3E}"/>
    <cellStyle name="Percent 4 3 4" xfId="18046" xr:uid="{B48003B1-19E0-4052-800B-FE7CACD2955E}"/>
    <cellStyle name="Percent 4 4" xfId="23128" xr:uid="{EC7D6AC6-127A-4881-936B-0E97E2653520}"/>
    <cellStyle name="Percent 4 5" xfId="13829" xr:uid="{456FE30E-02C0-47C5-BE4C-9CF73EC57D69}"/>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28575</xdr:colOff>
          <xdr:row>77</xdr:row>
          <xdr:rowOff>238125</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75565</xdr:colOff>
      <xdr:row>7</xdr:row>
      <xdr:rowOff>1049</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ctcac/forms/reserve-certification.docx"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75" zeroHeight="1"/>
  <cols>
    <col min="1" max="5" width="2.42578125" customWidth="1"/>
    <col min="6" max="6" width="3" customWidth="1"/>
    <col min="7" max="36" width="2.42578125" customWidth="1"/>
    <col min="37" max="38" width="2.7109375" customWidth="1"/>
    <col min="39" max="16384" width="2.42578125" hidden="1"/>
  </cols>
  <sheetData>
    <row r="1" spans="1:38">
      <c r="A1" s="1427" t="s">
        <v>548</v>
      </c>
      <c r="B1" s="1427"/>
      <c r="C1" s="1427"/>
      <c r="D1" s="1427"/>
      <c r="E1" s="1427"/>
      <c r="F1" s="1427"/>
      <c r="G1" s="1427"/>
      <c r="H1" s="1427"/>
      <c r="I1" s="1427"/>
      <c r="J1" s="1427"/>
      <c r="K1" s="1427"/>
      <c r="L1" s="1427"/>
      <c r="M1" s="1427"/>
      <c r="N1" s="1427"/>
      <c r="O1" s="1427"/>
      <c r="P1" s="1427"/>
      <c r="Q1" s="1427"/>
      <c r="R1" s="1427"/>
      <c r="S1" s="1427"/>
      <c r="T1" s="1427"/>
      <c r="U1" s="1427"/>
      <c r="V1" s="1427"/>
      <c r="W1" s="1427"/>
      <c r="X1" s="1427"/>
      <c r="Y1" s="1427"/>
      <c r="Z1" s="1427"/>
      <c r="AA1" s="1427"/>
      <c r="AB1" s="1427"/>
      <c r="AC1" s="1427"/>
      <c r="AD1" s="1427"/>
      <c r="AE1" s="1427"/>
      <c r="AF1" s="1427"/>
      <c r="AG1" s="1427"/>
      <c r="AH1" s="1427"/>
      <c r="AI1" s="1427"/>
      <c r="AJ1" s="1427"/>
      <c r="AK1" s="1427"/>
      <c r="AL1" s="1427"/>
    </row>
    <row r="2" spans="1:38" ht="13.5" thickBot="1">
      <c r="A2" s="1827"/>
      <c r="B2" s="1827"/>
      <c r="C2" s="1827"/>
      <c r="D2" s="1827"/>
      <c r="E2" s="1827"/>
      <c r="F2" s="1827"/>
      <c r="G2" s="1827"/>
      <c r="H2" s="1827"/>
      <c r="I2" s="1827"/>
      <c r="J2" s="1827"/>
      <c r="K2" s="1827"/>
      <c r="L2" s="1827"/>
      <c r="M2" s="1827"/>
      <c r="N2" s="1827"/>
      <c r="O2" s="1827"/>
      <c r="P2" s="1827"/>
      <c r="Q2" s="1827"/>
      <c r="R2" s="1827"/>
      <c r="S2" s="1827"/>
      <c r="T2" s="1827"/>
      <c r="U2" s="1827"/>
      <c r="V2" s="1827"/>
      <c r="W2" s="1827"/>
      <c r="X2" s="1827"/>
      <c r="Y2" s="1827"/>
      <c r="Z2" s="1827"/>
      <c r="AA2" s="1827"/>
      <c r="AB2" s="1827"/>
      <c r="AC2" s="1827"/>
      <c r="AD2" s="1827"/>
      <c r="AE2" s="1827"/>
      <c r="AF2" s="1827"/>
      <c r="AG2" s="1827"/>
      <c r="AH2" s="1827"/>
      <c r="AI2" s="1827"/>
      <c r="AJ2" s="1827"/>
      <c r="AK2" s="1827"/>
      <c r="AL2" s="1827"/>
    </row>
    <row r="3" spans="1:38" ht="13.5" thickTop="1"/>
    <row r="4" spans="1:38" s="5" customFormat="1">
      <c r="B4" s="11" t="s">
        <v>554</v>
      </c>
      <c r="C4" s="11" t="s">
        <v>506</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206</v>
      </c>
      <c r="D6" s="2" t="s">
        <v>329</v>
      </c>
      <c r="F6" s="4"/>
      <c r="G6" s="4"/>
      <c r="H6" s="4"/>
      <c r="I6" s="4"/>
      <c r="J6" s="4"/>
      <c r="K6" s="4"/>
      <c r="L6" s="4"/>
      <c r="M6" s="4"/>
      <c r="N6" s="4"/>
      <c r="O6" s="4"/>
      <c r="P6" s="4"/>
      <c r="Q6" s="4"/>
      <c r="R6" s="4"/>
      <c r="S6" s="4"/>
      <c r="T6" s="4"/>
      <c r="U6" s="4"/>
      <c r="V6" s="4"/>
      <c r="W6" s="4"/>
      <c r="X6" s="4"/>
      <c r="Y6" s="4"/>
      <c r="Z6" s="4"/>
      <c r="AA6" s="4"/>
      <c r="AB6" s="4"/>
    </row>
    <row r="7" spans="1:38" ht="13.35" customHeight="1">
      <c r="A7" s="204"/>
      <c r="B7" s="204"/>
      <c r="C7" s="205"/>
      <c r="D7" s="1435" t="s">
        <v>1986</v>
      </c>
      <c r="E7" s="1435"/>
      <c r="F7" s="1435"/>
      <c r="G7" s="1435"/>
      <c r="H7" s="1435"/>
      <c r="I7" s="1435"/>
      <c r="J7" s="1435"/>
      <c r="K7" s="1435"/>
      <c r="L7" s="1435"/>
      <c r="M7" s="1435"/>
      <c r="N7" s="1435"/>
      <c r="O7" s="1435"/>
      <c r="P7" s="1435"/>
      <c r="Q7" s="1435"/>
      <c r="R7" s="1435"/>
      <c r="S7" s="1435"/>
      <c r="T7" s="1435"/>
      <c r="U7" s="1435"/>
      <c r="V7" s="1435"/>
      <c r="W7" s="1435"/>
      <c r="X7" s="1435"/>
      <c r="Y7" s="1435"/>
      <c r="Z7" s="1435"/>
      <c r="AA7" s="1435"/>
      <c r="AB7" s="1435"/>
      <c r="AC7" s="1435"/>
      <c r="AD7" s="1435"/>
      <c r="AE7" s="1435"/>
      <c r="AF7" s="1435"/>
      <c r="AG7" s="1435"/>
      <c r="AH7" s="1435"/>
      <c r="AI7" s="1435"/>
      <c r="AJ7" s="1435"/>
      <c r="AK7" s="1435"/>
      <c r="AL7" s="451"/>
    </row>
    <row r="8" spans="1:38">
      <c r="A8" s="204"/>
      <c r="B8" s="204"/>
      <c r="C8" s="205"/>
      <c r="D8" s="1435"/>
      <c r="E8" s="1435"/>
      <c r="F8" s="1435"/>
      <c r="G8" s="1435"/>
      <c r="H8" s="1435"/>
      <c r="I8" s="1435"/>
      <c r="J8" s="1435"/>
      <c r="K8" s="1435"/>
      <c r="L8" s="1435"/>
      <c r="M8" s="1435"/>
      <c r="N8" s="1435"/>
      <c r="O8" s="1435"/>
      <c r="P8" s="1435"/>
      <c r="Q8" s="1435"/>
      <c r="R8" s="1435"/>
      <c r="S8" s="1435"/>
      <c r="T8" s="1435"/>
      <c r="U8" s="1435"/>
      <c r="V8" s="1435"/>
      <c r="W8" s="1435"/>
      <c r="X8" s="1435"/>
      <c r="Y8" s="1435"/>
      <c r="Z8" s="1435"/>
      <c r="AA8" s="1435"/>
      <c r="AB8" s="1435"/>
      <c r="AC8" s="1435"/>
      <c r="AD8" s="1435"/>
      <c r="AE8" s="1435"/>
      <c r="AF8" s="1435"/>
      <c r="AG8" s="1435"/>
      <c r="AH8" s="1435"/>
      <c r="AI8" s="1435"/>
      <c r="AJ8" s="1435"/>
      <c r="AK8" s="1435"/>
      <c r="AL8" s="451"/>
    </row>
    <row r="9" spans="1:38">
      <c r="A9" s="204"/>
      <c r="B9" s="204"/>
      <c r="C9" s="205"/>
      <c r="D9" s="1435"/>
      <c r="E9" s="1435"/>
      <c r="F9" s="1435"/>
      <c r="G9" s="1435"/>
      <c r="H9" s="1435"/>
      <c r="I9" s="1435"/>
      <c r="J9" s="1435"/>
      <c r="K9" s="1435"/>
      <c r="L9" s="1435"/>
      <c r="M9" s="1435"/>
      <c r="N9" s="1435"/>
      <c r="O9" s="1435"/>
      <c r="P9" s="1435"/>
      <c r="Q9" s="1435"/>
      <c r="R9" s="1435"/>
      <c r="S9" s="1435"/>
      <c r="T9" s="1435"/>
      <c r="U9" s="1435"/>
      <c r="V9" s="1435"/>
      <c r="W9" s="1435"/>
      <c r="X9" s="1435"/>
      <c r="Y9" s="1435"/>
      <c r="Z9" s="1435"/>
      <c r="AA9" s="1435"/>
      <c r="AB9" s="1435"/>
      <c r="AC9" s="1435"/>
      <c r="AD9" s="1435"/>
      <c r="AE9" s="1435"/>
      <c r="AF9" s="1435"/>
      <c r="AG9" s="1435"/>
      <c r="AH9" s="1435"/>
      <c r="AI9" s="1435"/>
      <c r="AJ9" s="1435"/>
      <c r="AK9" s="1435"/>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2.95" customHeight="1">
      <c r="A11" s="204"/>
      <c r="B11" s="204"/>
      <c r="C11" s="205"/>
      <c r="D11" s="1435" t="s">
        <v>1987</v>
      </c>
      <c r="E11" s="1435"/>
      <c r="F11" s="1435"/>
      <c r="G11" s="1435"/>
      <c r="H11" s="1435"/>
      <c r="I11" s="1435"/>
      <c r="J11" s="1435"/>
      <c r="K11" s="1435"/>
      <c r="L11" s="1435"/>
      <c r="M11" s="1435"/>
      <c r="N11" s="1435"/>
      <c r="O11" s="1435"/>
      <c r="P11" s="1435"/>
      <c r="Q11" s="1435"/>
      <c r="R11" s="1435"/>
      <c r="S11" s="1435"/>
      <c r="T11" s="1435"/>
      <c r="U11" s="1435"/>
      <c r="V11" s="1435"/>
      <c r="W11" s="1435"/>
      <c r="X11" s="1435"/>
      <c r="Y11" s="1435"/>
      <c r="Z11" s="1435"/>
      <c r="AA11" s="1435"/>
      <c r="AB11" s="1435"/>
      <c r="AC11" s="1435"/>
      <c r="AD11" s="1435"/>
      <c r="AE11" s="1435"/>
      <c r="AF11" s="1435"/>
      <c r="AG11" s="1435"/>
      <c r="AH11" s="1435"/>
      <c r="AI11" s="1435"/>
      <c r="AJ11" s="1435"/>
      <c r="AK11" s="1435"/>
      <c r="AL11" s="451"/>
    </row>
    <row r="12" spans="1:38">
      <c r="A12" s="204"/>
      <c r="B12" s="204"/>
      <c r="C12" s="205"/>
      <c r="D12" s="1435"/>
      <c r="E12" s="1435"/>
      <c r="F12" s="1435"/>
      <c r="G12" s="1435"/>
      <c r="H12" s="1435"/>
      <c r="I12" s="1435"/>
      <c r="J12" s="1435"/>
      <c r="K12" s="1435"/>
      <c r="L12" s="1435"/>
      <c r="M12" s="1435"/>
      <c r="N12" s="1435"/>
      <c r="O12" s="1435"/>
      <c r="P12" s="1435"/>
      <c r="Q12" s="1435"/>
      <c r="R12" s="1435"/>
      <c r="S12" s="1435"/>
      <c r="T12" s="1435"/>
      <c r="U12" s="1435"/>
      <c r="V12" s="1435"/>
      <c r="W12" s="1435"/>
      <c r="X12" s="1435"/>
      <c r="Y12" s="1435"/>
      <c r="Z12" s="1435"/>
      <c r="AA12" s="1435"/>
      <c r="AB12" s="1435"/>
      <c r="AC12" s="1435"/>
      <c r="AD12" s="1435"/>
      <c r="AE12" s="1435"/>
      <c r="AF12" s="1435"/>
      <c r="AG12" s="1435"/>
      <c r="AH12" s="1435"/>
      <c r="AI12" s="1435"/>
      <c r="AJ12" s="1435"/>
      <c r="AK12" s="1435"/>
      <c r="AL12" s="451"/>
    </row>
    <row r="13" spans="1:38">
      <c r="A13" s="204"/>
      <c r="B13" s="204"/>
      <c r="C13" s="205"/>
      <c r="D13" s="1435"/>
      <c r="E13" s="1435"/>
      <c r="F13" s="1435"/>
      <c r="G13" s="1435"/>
      <c r="H13" s="1435"/>
      <c r="I13" s="1435"/>
      <c r="J13" s="1435"/>
      <c r="K13" s="1435"/>
      <c r="L13" s="1435"/>
      <c r="M13" s="1435"/>
      <c r="N13" s="1435"/>
      <c r="O13" s="1435"/>
      <c r="P13" s="1435"/>
      <c r="Q13" s="1435"/>
      <c r="R13" s="1435"/>
      <c r="S13" s="1435"/>
      <c r="T13" s="1435"/>
      <c r="U13" s="1435"/>
      <c r="V13" s="1435"/>
      <c r="W13" s="1435"/>
      <c r="X13" s="1435"/>
      <c r="Y13" s="1435"/>
      <c r="Z13" s="1435"/>
      <c r="AA13" s="1435"/>
      <c r="AB13" s="1435"/>
      <c r="AC13" s="1435"/>
      <c r="AD13" s="1435"/>
      <c r="AE13" s="1435"/>
      <c r="AF13" s="1435"/>
      <c r="AG13" s="1435"/>
      <c r="AH13" s="1435"/>
      <c r="AI13" s="1435"/>
      <c r="AJ13" s="1435"/>
      <c r="AK13" s="1435"/>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35" customHeight="1">
      <c r="A15" s="204"/>
      <c r="B15" s="204"/>
      <c r="C15" s="205"/>
      <c r="D15" s="1435" t="s">
        <v>2633</v>
      </c>
      <c r="E15" s="1435"/>
      <c r="F15" s="1435"/>
      <c r="G15" s="1435"/>
      <c r="H15" s="1435"/>
      <c r="I15" s="1435"/>
      <c r="J15" s="1435"/>
      <c r="K15" s="1435"/>
      <c r="L15" s="1435"/>
      <c r="M15" s="1435"/>
      <c r="N15" s="1435"/>
      <c r="O15" s="1435"/>
      <c r="P15" s="1435"/>
      <c r="Q15" s="1435"/>
      <c r="R15" s="1435"/>
      <c r="S15" s="1435"/>
      <c r="T15" s="1435"/>
      <c r="U15" s="1435"/>
      <c r="V15" s="1435"/>
      <c r="W15" s="1435"/>
      <c r="X15" s="1435"/>
      <c r="Y15" s="1435"/>
      <c r="Z15" s="1435"/>
      <c r="AA15" s="1435"/>
      <c r="AB15" s="1435"/>
      <c r="AC15" s="1435"/>
      <c r="AD15" s="1435"/>
      <c r="AE15" s="1435"/>
      <c r="AF15" s="1435"/>
      <c r="AG15" s="1435"/>
      <c r="AH15" s="1435"/>
      <c r="AI15" s="1435"/>
      <c r="AJ15" s="1435"/>
      <c r="AK15" s="1435"/>
      <c r="AL15" s="451"/>
    </row>
    <row r="16" spans="1:38" ht="13.35" customHeight="1">
      <c r="A16" s="204"/>
      <c r="B16" s="204"/>
      <c r="C16" s="205"/>
      <c r="D16" s="1435"/>
      <c r="E16" s="1435"/>
      <c r="F16" s="1435"/>
      <c r="G16" s="1435"/>
      <c r="H16" s="1435"/>
      <c r="I16" s="1435"/>
      <c r="J16" s="1435"/>
      <c r="K16" s="1435"/>
      <c r="L16" s="1435"/>
      <c r="M16" s="1435"/>
      <c r="N16" s="1435"/>
      <c r="O16" s="1435"/>
      <c r="P16" s="1435"/>
      <c r="Q16" s="1435"/>
      <c r="R16" s="1435"/>
      <c r="S16" s="1435"/>
      <c r="T16" s="1435"/>
      <c r="U16" s="1435"/>
      <c r="V16" s="1435"/>
      <c r="W16" s="1435"/>
      <c r="X16" s="1435"/>
      <c r="Y16" s="1435"/>
      <c r="Z16" s="1435"/>
      <c r="AA16" s="1435"/>
      <c r="AB16" s="1435"/>
      <c r="AC16" s="1435"/>
      <c r="AD16" s="1435"/>
      <c r="AE16" s="1435"/>
      <c r="AF16" s="1435"/>
      <c r="AG16" s="1435"/>
      <c r="AH16" s="1435"/>
      <c r="AI16" s="1435"/>
      <c r="AJ16" s="1435"/>
      <c r="AK16" s="1435"/>
      <c r="AL16" s="451"/>
    </row>
    <row r="17" spans="1:38">
      <c r="A17" s="204"/>
      <c r="B17" s="204"/>
      <c r="C17" s="205"/>
      <c r="D17" s="1435"/>
      <c r="E17" s="1435"/>
      <c r="F17" s="1435"/>
      <c r="G17" s="1435"/>
      <c r="H17" s="1435"/>
      <c r="I17" s="1435"/>
      <c r="J17" s="1435"/>
      <c r="K17" s="1435"/>
      <c r="L17" s="1435"/>
      <c r="M17" s="1435"/>
      <c r="N17" s="1435"/>
      <c r="O17" s="1435"/>
      <c r="P17" s="1435"/>
      <c r="Q17" s="1435"/>
      <c r="R17" s="1435"/>
      <c r="S17" s="1435"/>
      <c r="T17" s="1435"/>
      <c r="U17" s="1435"/>
      <c r="V17" s="1435"/>
      <c r="W17" s="1435"/>
      <c r="X17" s="1435"/>
      <c r="Y17" s="1435"/>
      <c r="Z17" s="1435"/>
      <c r="AA17" s="1435"/>
      <c r="AB17" s="1435"/>
      <c r="AC17" s="1435"/>
      <c r="AD17" s="1435"/>
      <c r="AE17" s="1435"/>
      <c r="AF17" s="1435"/>
      <c r="AG17" s="1435"/>
      <c r="AH17" s="1435"/>
      <c r="AI17" s="1435"/>
      <c r="AJ17" s="1435"/>
      <c r="AK17" s="1435"/>
      <c r="AL17" s="451"/>
    </row>
    <row r="18" spans="1:38">
      <c r="A18" s="204"/>
      <c r="B18" s="204"/>
      <c r="C18" s="205"/>
      <c r="D18" s="515" t="s">
        <v>2520</v>
      </c>
      <c r="E18" s="437"/>
      <c r="G18" s="437"/>
      <c r="H18" s="437"/>
      <c r="I18" s="437"/>
      <c r="J18" s="1829" t="s">
        <v>2519</v>
      </c>
      <c r="K18" s="1829"/>
      <c r="L18" s="1829"/>
      <c r="M18" s="1829"/>
      <c r="N18" s="1829"/>
      <c r="O18" s="1829"/>
      <c r="P18" s="1829"/>
      <c r="Q18" s="1829"/>
      <c r="R18" s="1829"/>
      <c r="S18" s="1829"/>
      <c r="T18" s="1829"/>
      <c r="U18" s="1829"/>
      <c r="V18" s="1829"/>
      <c r="W18" s="1829"/>
      <c r="X18" s="1829"/>
      <c r="Y18" s="1829"/>
      <c r="Z18" s="1829"/>
      <c r="AA18" s="1829"/>
      <c r="AB18" s="1829"/>
      <c r="AC18" s="1829"/>
      <c r="AD18" s="1829"/>
      <c r="AE18" s="1829"/>
      <c r="AF18" s="1829"/>
      <c r="AG18" s="1829"/>
      <c r="AH18" s="1829"/>
      <c r="AI18" s="1829"/>
      <c r="AJ18" s="1829"/>
      <c r="AK18" s="1829"/>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35" customHeight="1">
      <c r="A20" s="204"/>
      <c r="B20" s="204"/>
      <c r="C20" s="205"/>
      <c r="D20" s="1435" t="s">
        <v>1988</v>
      </c>
      <c r="E20" s="1435"/>
      <c r="F20" s="1435"/>
      <c r="G20" s="1435"/>
      <c r="H20" s="1435"/>
      <c r="I20" s="1435"/>
      <c r="J20" s="1435"/>
      <c r="K20" s="1435"/>
      <c r="L20" s="1435"/>
      <c r="M20" s="1435"/>
      <c r="N20" s="1435"/>
      <c r="O20" s="1435"/>
      <c r="P20" s="1435"/>
      <c r="Q20" s="1435"/>
      <c r="R20" s="1435"/>
      <c r="S20" s="1435"/>
      <c r="T20" s="1435"/>
      <c r="U20" s="1435"/>
      <c r="V20" s="1435"/>
      <c r="W20" s="1435"/>
      <c r="X20" s="1435"/>
      <c r="Y20" s="1435"/>
      <c r="Z20" s="1435"/>
      <c r="AA20" s="1435"/>
      <c r="AB20" s="1435"/>
      <c r="AC20" s="1435"/>
      <c r="AD20" s="1435"/>
      <c r="AE20" s="1435"/>
      <c r="AF20" s="1435"/>
      <c r="AG20" s="1435"/>
      <c r="AH20" s="1435"/>
      <c r="AI20" s="1435"/>
      <c r="AJ20" s="1435"/>
      <c r="AK20" s="1435"/>
      <c r="AL20" s="204"/>
    </row>
    <row r="21" spans="1:38">
      <c r="A21" s="204"/>
      <c r="B21" s="204"/>
      <c r="C21" s="205"/>
      <c r="D21" s="1435"/>
      <c r="E21" s="1435"/>
      <c r="F21" s="1435"/>
      <c r="G21" s="1435"/>
      <c r="H21" s="1435"/>
      <c r="I21" s="1435"/>
      <c r="J21" s="1435"/>
      <c r="K21" s="1435"/>
      <c r="L21" s="1435"/>
      <c r="M21" s="1435"/>
      <c r="N21" s="1435"/>
      <c r="O21" s="1435"/>
      <c r="P21" s="1435"/>
      <c r="Q21" s="1435"/>
      <c r="R21" s="1435"/>
      <c r="S21" s="1435"/>
      <c r="T21" s="1435"/>
      <c r="U21" s="1435"/>
      <c r="V21" s="1435"/>
      <c r="W21" s="1435"/>
      <c r="X21" s="1435"/>
      <c r="Y21" s="1435"/>
      <c r="Z21" s="1435"/>
      <c r="AA21" s="1435"/>
      <c r="AB21" s="1435"/>
      <c r="AC21" s="1435"/>
      <c r="AD21" s="1435"/>
      <c r="AE21" s="1435"/>
      <c r="AF21" s="1435"/>
      <c r="AG21" s="1435"/>
      <c r="AH21" s="1435"/>
      <c r="AI21" s="1435"/>
      <c r="AJ21" s="1435"/>
      <c r="AK21" s="1435"/>
      <c r="AL21" s="204"/>
    </row>
    <row r="22" spans="1:38">
      <c r="A22" s="204"/>
      <c r="B22" s="204"/>
      <c r="C22" s="205"/>
      <c r="D22" s="1435"/>
      <c r="E22" s="1435"/>
      <c r="F22" s="1435"/>
      <c r="G22" s="1435"/>
      <c r="H22" s="1435"/>
      <c r="I22" s="1435"/>
      <c r="J22" s="1435"/>
      <c r="K22" s="1435"/>
      <c r="L22" s="1435"/>
      <c r="M22" s="1435"/>
      <c r="N22" s="1435"/>
      <c r="O22" s="1435"/>
      <c r="P22" s="1435"/>
      <c r="Q22" s="1435"/>
      <c r="R22" s="1435"/>
      <c r="S22" s="1435"/>
      <c r="T22" s="1435"/>
      <c r="U22" s="1435"/>
      <c r="V22" s="1435"/>
      <c r="W22" s="1435"/>
      <c r="X22" s="1435"/>
      <c r="Y22" s="1435"/>
      <c r="Z22" s="1435"/>
      <c r="AA22" s="1435"/>
      <c r="AB22" s="1435"/>
      <c r="AC22" s="1435"/>
      <c r="AD22" s="1435"/>
      <c r="AE22" s="1435"/>
      <c r="AF22" s="1435"/>
      <c r="AG22" s="1435"/>
      <c r="AH22" s="1435"/>
      <c r="AI22" s="1435"/>
      <c r="AJ22" s="1435"/>
      <c r="AK22" s="1435"/>
      <c r="AL22" s="204"/>
    </row>
    <row r="23" spans="1:38" ht="13.35" customHeight="1">
      <c r="A23" s="204"/>
      <c r="B23" s="204"/>
      <c r="C23" s="205"/>
      <c r="D23" s="1435"/>
      <c r="E23" s="1435"/>
      <c r="F23" s="1435"/>
      <c r="G23" s="1435"/>
      <c r="H23" s="1435"/>
      <c r="I23" s="1435"/>
      <c r="J23" s="1435"/>
      <c r="K23" s="1435"/>
      <c r="L23" s="1435"/>
      <c r="M23" s="1435"/>
      <c r="N23" s="1435"/>
      <c r="O23" s="1435"/>
      <c r="P23" s="1435"/>
      <c r="Q23" s="1435"/>
      <c r="R23" s="1435"/>
      <c r="S23" s="1435"/>
      <c r="T23" s="1435"/>
      <c r="U23" s="1435"/>
      <c r="V23" s="1435"/>
      <c r="W23" s="1435"/>
      <c r="X23" s="1435"/>
      <c r="Y23" s="1435"/>
      <c r="Z23" s="1435"/>
      <c r="AA23" s="1435"/>
      <c r="AB23" s="1435"/>
      <c r="AC23" s="1435"/>
      <c r="AD23" s="1435"/>
      <c r="AE23" s="1435"/>
      <c r="AF23" s="1435"/>
      <c r="AG23" s="1435"/>
      <c r="AH23" s="1435"/>
      <c r="AI23" s="1435"/>
      <c r="AJ23" s="1435"/>
      <c r="AK23" s="1435"/>
      <c r="AL23" s="204"/>
    </row>
    <row r="24" spans="1:38">
      <c r="A24" s="204"/>
      <c r="B24" s="204"/>
      <c r="C24" s="205"/>
      <c r="D24" s="1435"/>
      <c r="E24" s="1435"/>
      <c r="F24" s="1435"/>
      <c r="G24" s="1435"/>
      <c r="H24" s="1435"/>
      <c r="I24" s="1435"/>
      <c r="J24" s="1435"/>
      <c r="K24" s="1435"/>
      <c r="L24" s="1435"/>
      <c r="M24" s="1435"/>
      <c r="N24" s="1435"/>
      <c r="O24" s="1435"/>
      <c r="P24" s="1435"/>
      <c r="Q24" s="1435"/>
      <c r="R24" s="1435"/>
      <c r="S24" s="1435"/>
      <c r="T24" s="1435"/>
      <c r="U24" s="1435"/>
      <c r="V24" s="1435"/>
      <c r="W24" s="1435"/>
      <c r="X24" s="1435"/>
      <c r="Y24" s="1435"/>
      <c r="Z24" s="1435"/>
      <c r="AA24" s="1435"/>
      <c r="AB24" s="1435"/>
      <c r="AC24" s="1435"/>
      <c r="AD24" s="1435"/>
      <c r="AE24" s="1435"/>
      <c r="AF24" s="1435"/>
      <c r="AG24" s="1435"/>
      <c r="AH24" s="1435"/>
      <c r="AI24" s="1435"/>
      <c r="AJ24" s="1435"/>
      <c r="AK24" s="1435"/>
      <c r="AL24" s="204"/>
    </row>
    <row r="25" spans="1:38">
      <c r="A25" s="204"/>
      <c r="B25" s="204"/>
      <c r="C25" s="205"/>
      <c r="D25" s="1435"/>
      <c r="E25" s="1435"/>
      <c r="F25" s="1435"/>
      <c r="G25" s="1435"/>
      <c r="H25" s="1435"/>
      <c r="I25" s="1435"/>
      <c r="J25" s="1435"/>
      <c r="K25" s="1435"/>
      <c r="L25" s="1435"/>
      <c r="M25" s="1435"/>
      <c r="N25" s="1435"/>
      <c r="O25" s="1435"/>
      <c r="P25" s="1435"/>
      <c r="Q25" s="1435"/>
      <c r="R25" s="1435"/>
      <c r="S25" s="1435"/>
      <c r="T25" s="1435"/>
      <c r="U25" s="1435"/>
      <c r="V25" s="1435"/>
      <c r="W25" s="1435"/>
      <c r="X25" s="1435"/>
      <c r="Y25" s="1435"/>
      <c r="Z25" s="1435"/>
      <c r="AA25" s="1435"/>
      <c r="AB25" s="1435"/>
      <c r="AC25" s="1435"/>
      <c r="AD25" s="1435"/>
      <c r="AE25" s="1435"/>
      <c r="AF25" s="1435"/>
      <c r="AG25" s="1435"/>
      <c r="AH25" s="1435"/>
      <c r="AI25" s="1435"/>
      <c r="AJ25" s="1435"/>
      <c r="AK25" s="1435"/>
      <c r="AL25" s="204"/>
    </row>
    <row r="26" spans="1:38">
      <c r="A26" s="204"/>
      <c r="B26" s="204"/>
      <c r="C26" s="205"/>
      <c r="D26" s="1435"/>
      <c r="E26" s="1435"/>
      <c r="F26" s="1435"/>
      <c r="G26" s="1435"/>
      <c r="H26" s="1435"/>
      <c r="I26" s="1435"/>
      <c r="J26" s="1435"/>
      <c r="K26" s="1435"/>
      <c r="L26" s="1435"/>
      <c r="M26" s="1435"/>
      <c r="N26" s="1435"/>
      <c r="O26" s="1435"/>
      <c r="P26" s="1435"/>
      <c r="Q26" s="1435"/>
      <c r="R26" s="1435"/>
      <c r="S26" s="1435"/>
      <c r="T26" s="1435"/>
      <c r="U26" s="1435"/>
      <c r="V26" s="1435"/>
      <c r="W26" s="1435"/>
      <c r="X26" s="1435"/>
      <c r="Y26" s="1435"/>
      <c r="Z26" s="1435"/>
      <c r="AA26" s="1435"/>
      <c r="AB26" s="1435"/>
      <c r="AC26" s="1435"/>
      <c r="AD26" s="1435"/>
      <c r="AE26" s="1435"/>
      <c r="AF26" s="1435"/>
      <c r="AG26" s="1435"/>
      <c r="AH26" s="1435"/>
      <c r="AI26" s="1435"/>
      <c r="AJ26" s="1435"/>
      <c r="AK26" s="1435"/>
      <c r="AL26" s="204"/>
    </row>
    <row r="27" spans="1:38">
      <c r="A27" s="204"/>
      <c r="B27" s="204"/>
      <c r="C27" s="205"/>
      <c r="D27" s="1435"/>
      <c r="E27" s="1435"/>
      <c r="F27" s="1435"/>
      <c r="G27" s="1435"/>
      <c r="H27" s="1435"/>
      <c r="I27" s="1435"/>
      <c r="J27" s="1435"/>
      <c r="K27" s="1435"/>
      <c r="L27" s="1435"/>
      <c r="M27" s="1435"/>
      <c r="N27" s="1435"/>
      <c r="O27" s="1435"/>
      <c r="P27" s="1435"/>
      <c r="Q27" s="1435"/>
      <c r="R27" s="1435"/>
      <c r="S27" s="1435"/>
      <c r="T27" s="1435"/>
      <c r="U27" s="1435"/>
      <c r="V27" s="1435"/>
      <c r="W27" s="1435"/>
      <c r="X27" s="1435"/>
      <c r="Y27" s="1435"/>
      <c r="Z27" s="1435"/>
      <c r="AA27" s="1435"/>
      <c r="AB27" s="1435"/>
      <c r="AC27" s="1435"/>
      <c r="AD27" s="1435"/>
      <c r="AE27" s="1435"/>
      <c r="AF27" s="1435"/>
      <c r="AG27" s="1435"/>
      <c r="AH27" s="1435"/>
      <c r="AI27" s="1435"/>
      <c r="AJ27" s="1435"/>
      <c r="AK27" s="1435"/>
      <c r="AL27" s="204"/>
    </row>
    <row r="28" spans="1:38">
      <c r="A28" s="204"/>
      <c r="B28" s="204"/>
      <c r="C28" s="205"/>
      <c r="D28" s="1435"/>
      <c r="E28" s="1435"/>
      <c r="F28" s="1435"/>
      <c r="G28" s="1435"/>
      <c r="H28" s="1435"/>
      <c r="I28" s="1435"/>
      <c r="J28" s="1435"/>
      <c r="K28" s="1435"/>
      <c r="L28" s="1435"/>
      <c r="M28" s="1435"/>
      <c r="N28" s="1435"/>
      <c r="O28" s="1435"/>
      <c r="P28" s="1435"/>
      <c r="Q28" s="1435"/>
      <c r="R28" s="1435"/>
      <c r="S28" s="1435"/>
      <c r="T28" s="1435"/>
      <c r="U28" s="1435"/>
      <c r="V28" s="1435"/>
      <c r="W28" s="1435"/>
      <c r="X28" s="1435"/>
      <c r="Y28" s="1435"/>
      <c r="Z28" s="1435"/>
      <c r="AA28" s="1435"/>
      <c r="AB28" s="1435"/>
      <c r="AC28" s="1435"/>
      <c r="AD28" s="1435"/>
      <c r="AE28" s="1435"/>
      <c r="AF28" s="1435"/>
      <c r="AG28" s="1435"/>
      <c r="AH28" s="1435"/>
      <c r="AI28" s="1435"/>
      <c r="AJ28" s="1435"/>
      <c r="AK28" s="1435"/>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35" customHeight="1">
      <c r="A30" s="204"/>
      <c r="B30" s="204"/>
      <c r="C30" s="205"/>
      <c r="D30" s="1435" t="s">
        <v>1989</v>
      </c>
      <c r="E30" s="1435"/>
      <c r="F30" s="1435"/>
      <c r="G30" s="1435"/>
      <c r="H30" s="1435"/>
      <c r="I30" s="1435"/>
      <c r="J30" s="1435"/>
      <c r="K30" s="1435"/>
      <c r="L30" s="1435"/>
      <c r="M30" s="1435"/>
      <c r="N30" s="1435"/>
      <c r="O30" s="1435"/>
      <c r="P30" s="1435"/>
      <c r="Q30" s="1435"/>
      <c r="R30" s="1435"/>
      <c r="S30" s="1435"/>
      <c r="T30" s="1435"/>
      <c r="U30" s="1435"/>
      <c r="V30" s="1435"/>
      <c r="W30" s="1435"/>
      <c r="X30" s="1435"/>
      <c r="Y30" s="1435"/>
      <c r="Z30" s="1435"/>
      <c r="AA30" s="1435"/>
      <c r="AB30" s="1435"/>
      <c r="AC30" s="1435"/>
      <c r="AD30" s="1435"/>
      <c r="AE30" s="1435"/>
      <c r="AF30" s="1435"/>
      <c r="AG30" s="1435"/>
      <c r="AH30" s="1435"/>
      <c r="AI30" s="1435"/>
      <c r="AJ30" s="1435"/>
      <c r="AK30" s="1435"/>
      <c r="AL30" s="204"/>
    </row>
    <row r="31" spans="1:38">
      <c r="A31" s="204"/>
      <c r="B31" s="204"/>
      <c r="C31" s="205"/>
      <c r="D31" s="451"/>
      <c r="E31" s="1834" t="s">
        <v>2595</v>
      </c>
      <c r="F31" s="1835"/>
      <c r="G31" s="1835"/>
      <c r="H31" s="1835"/>
      <c r="I31" s="1835"/>
      <c r="J31" s="1835"/>
      <c r="K31" s="1835"/>
      <c r="L31" s="1835"/>
      <c r="M31" s="1835"/>
      <c r="N31" s="1835"/>
      <c r="O31" s="1835"/>
      <c r="P31" s="1835"/>
      <c r="Q31" s="1835"/>
      <c r="R31" s="1835"/>
      <c r="S31" s="1835"/>
      <c r="T31" s="1835"/>
      <c r="U31" s="1835"/>
      <c r="V31" s="1835"/>
      <c r="W31" s="1835"/>
      <c r="X31" s="1835"/>
      <c r="Y31" s="1835"/>
      <c r="Z31" s="1835"/>
      <c r="AA31" s="1835"/>
      <c r="AB31" s="1835"/>
      <c r="AC31" s="1835"/>
      <c r="AD31" s="1835"/>
      <c r="AE31" s="1835"/>
      <c r="AF31" s="1835"/>
      <c r="AG31" s="1835"/>
      <c r="AH31" s="1835"/>
      <c r="AI31" s="1835"/>
      <c r="AJ31" s="1835"/>
      <c r="AK31" s="1835"/>
      <c r="AL31" s="204"/>
    </row>
    <row r="32" spans="1:38">
      <c r="A32" s="4"/>
      <c r="C32" s="2"/>
    </row>
    <row r="33" spans="1:38">
      <c r="A33" s="4"/>
      <c r="D33" s="1828" t="s">
        <v>2089</v>
      </c>
      <c r="E33" s="1828"/>
      <c r="F33" s="1828"/>
      <c r="G33" s="1828"/>
      <c r="H33" s="1828"/>
      <c r="I33" s="1828"/>
      <c r="J33" s="1828"/>
      <c r="K33" s="1828"/>
      <c r="L33" s="1828"/>
      <c r="M33" s="1828"/>
      <c r="N33" s="1828"/>
      <c r="O33" s="1828"/>
      <c r="P33" s="1828"/>
      <c r="Q33" s="1828"/>
      <c r="R33" s="1828"/>
      <c r="S33" s="1828"/>
      <c r="T33" s="1828"/>
      <c r="U33" s="1828"/>
      <c r="V33" s="1828"/>
      <c r="W33" s="1828"/>
      <c r="X33" s="1828"/>
      <c r="Y33" s="1828"/>
      <c r="Z33" s="1828"/>
      <c r="AA33" s="1828"/>
      <c r="AB33" s="1828"/>
      <c r="AC33" s="1828"/>
      <c r="AD33" s="1828"/>
      <c r="AE33" s="1828"/>
      <c r="AF33" s="1828"/>
      <c r="AG33" s="1828"/>
      <c r="AH33" s="1828"/>
      <c r="AI33" s="1828"/>
      <c r="AJ33" s="1828"/>
      <c r="AK33" s="1828"/>
    </row>
    <row r="34" spans="1:38">
      <c r="A34" s="4"/>
      <c r="D34" s="1828"/>
      <c r="E34" s="1828"/>
      <c r="F34" s="1828"/>
      <c r="G34" s="1828"/>
      <c r="H34" s="1828"/>
      <c r="I34" s="1828"/>
      <c r="J34" s="1828"/>
      <c r="K34" s="1828"/>
      <c r="L34" s="1828"/>
      <c r="M34" s="1828"/>
      <c r="N34" s="1828"/>
      <c r="O34" s="1828"/>
      <c r="P34" s="1828"/>
      <c r="Q34" s="1828"/>
      <c r="R34" s="1828"/>
      <c r="S34" s="1828"/>
      <c r="T34" s="1828"/>
      <c r="U34" s="1828"/>
      <c r="V34" s="1828"/>
      <c r="W34" s="1828"/>
      <c r="X34" s="1828"/>
      <c r="Y34" s="1828"/>
      <c r="Z34" s="1828"/>
      <c r="AA34" s="1828"/>
      <c r="AB34" s="1828"/>
      <c r="AC34" s="1828"/>
      <c r="AD34" s="1828"/>
      <c r="AE34" s="1828"/>
      <c r="AF34" s="1828"/>
      <c r="AG34" s="1828"/>
      <c r="AH34" s="1828"/>
      <c r="AI34" s="1828"/>
      <c r="AJ34" s="1828"/>
      <c r="AK34" s="1828"/>
    </row>
    <row r="35" spans="1:38">
      <c r="A35" s="4"/>
      <c r="D35" s="120"/>
      <c r="E35" s="1833" t="s">
        <v>2596</v>
      </c>
      <c r="F35" s="1833"/>
      <c r="G35" s="1833"/>
      <c r="H35" s="1833"/>
      <c r="I35" s="1833"/>
      <c r="J35" s="1833"/>
      <c r="K35" s="1833"/>
      <c r="L35" s="1833"/>
      <c r="M35" s="1833"/>
      <c r="N35" s="1833"/>
      <c r="O35" s="1833"/>
      <c r="P35" s="1833"/>
      <c r="Q35" s="1833"/>
      <c r="R35" s="1833"/>
      <c r="S35" s="1833"/>
      <c r="T35" s="1833"/>
      <c r="U35" s="1833"/>
      <c r="V35" s="1833"/>
      <c r="W35" s="1833"/>
      <c r="X35" s="1833"/>
      <c r="Y35" s="1833"/>
      <c r="Z35" s="1833"/>
      <c r="AA35" s="1833"/>
      <c r="AB35" s="1833"/>
      <c r="AC35" s="1833"/>
      <c r="AD35" s="1833"/>
      <c r="AE35" s="1833"/>
      <c r="AF35" s="1833"/>
      <c r="AG35" s="1833"/>
      <c r="AH35" s="1833"/>
      <c r="AI35" s="1833"/>
      <c r="AJ35" s="1833"/>
      <c r="AK35" s="1833"/>
    </row>
    <row r="36" spans="1:38">
      <c r="A36" s="4"/>
      <c r="D36" s="120"/>
      <c r="E36" s="1833" t="s">
        <v>2597</v>
      </c>
      <c r="F36" s="1833"/>
      <c r="G36" s="1833"/>
      <c r="H36" s="1833"/>
      <c r="I36" s="1833"/>
      <c r="J36" s="1833"/>
      <c r="K36" s="1833"/>
      <c r="L36" s="1833"/>
      <c r="M36" s="1833"/>
      <c r="N36" s="1833"/>
      <c r="O36" s="1833"/>
      <c r="P36" s="1833"/>
      <c r="Q36" s="1833"/>
      <c r="R36" s="1833"/>
      <c r="S36" s="1833"/>
      <c r="T36" s="1833"/>
      <c r="U36" s="1833"/>
      <c r="V36" s="1833"/>
      <c r="W36" s="1833"/>
      <c r="X36" s="1833"/>
      <c r="Y36" s="1833"/>
      <c r="Z36" s="1833"/>
      <c r="AA36" s="1833"/>
      <c r="AB36" s="1833"/>
      <c r="AC36" s="1833"/>
      <c r="AD36" s="1833"/>
      <c r="AE36" s="1833"/>
      <c r="AF36" s="1833"/>
      <c r="AG36" s="1833"/>
      <c r="AH36" s="1833"/>
      <c r="AI36" s="1833"/>
      <c r="AJ36" s="1833"/>
      <c r="AK36" s="1833"/>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340</v>
      </c>
      <c r="D38" s="2" t="s">
        <v>735</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736</v>
      </c>
      <c r="F39" s="4"/>
      <c r="G39" s="4"/>
      <c r="H39" s="4"/>
      <c r="I39" s="4"/>
      <c r="J39" s="4"/>
      <c r="K39" s="4"/>
      <c r="L39" s="4"/>
      <c r="M39" s="4"/>
      <c r="N39" s="4"/>
      <c r="O39" s="4"/>
      <c r="P39" s="4"/>
      <c r="Q39" s="4"/>
      <c r="R39" s="4"/>
      <c r="S39" s="4"/>
      <c r="T39" s="4"/>
      <c r="U39" s="4"/>
      <c r="V39" s="4"/>
      <c r="W39" s="4"/>
      <c r="X39" s="4"/>
      <c r="Y39" s="4"/>
      <c r="Z39" s="4"/>
      <c r="AA39" s="4"/>
      <c r="AB39" s="4"/>
    </row>
    <row r="40" spans="1:38" s="1435" customFormat="1" ht="13.35" customHeight="1">
      <c r="A40" s="4"/>
      <c r="B40"/>
      <c r="C40" s="2"/>
      <c r="D40" s="4"/>
      <c r="E40" s="4" t="s">
        <v>651</v>
      </c>
      <c r="F40" s="1435" t="s">
        <v>1161</v>
      </c>
    </row>
    <row r="41" spans="1:38" s="1435" customFormat="1" ht="13.35" customHeight="1">
      <c r="A41" s="4"/>
      <c r="B41"/>
      <c r="C41" s="2"/>
      <c r="D41" s="4"/>
      <c r="E41" s="4"/>
    </row>
    <row r="42" spans="1:38">
      <c r="A42" s="4"/>
      <c r="C42" s="2"/>
      <c r="D42" s="4"/>
      <c r="E42" s="4"/>
      <c r="F42" s="35" t="s">
        <v>685</v>
      </c>
      <c r="G42" s="4" t="s">
        <v>175</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35" customHeight="1">
      <c r="A43" s="4"/>
      <c r="B43"/>
      <c r="C43" s="2"/>
      <c r="D43" s="4"/>
      <c r="E43" s="3" t="s">
        <v>347</v>
      </c>
      <c r="F43" s="1362" t="s">
        <v>1243</v>
      </c>
      <c r="G43" s="1362"/>
      <c r="H43" s="1362"/>
      <c r="I43" s="1362"/>
      <c r="J43" s="1362"/>
      <c r="K43" s="1362"/>
      <c r="L43" s="1362"/>
      <c r="M43" s="1362"/>
      <c r="N43" s="1362"/>
      <c r="O43" s="1362"/>
      <c r="P43" s="1362"/>
      <c r="Q43" s="1362"/>
      <c r="R43" s="1362"/>
      <c r="S43" s="1362"/>
      <c r="T43" s="1362"/>
      <c r="U43" s="1362"/>
      <c r="V43" s="1362"/>
      <c r="W43" s="1362"/>
      <c r="X43" s="1362"/>
      <c r="Y43" s="1362"/>
      <c r="Z43" s="1362"/>
      <c r="AA43" s="1362"/>
      <c r="AB43" s="1362"/>
      <c r="AC43" s="1362"/>
      <c r="AD43" s="1362"/>
      <c r="AE43" s="1362"/>
      <c r="AF43" s="1362"/>
      <c r="AG43" s="1362"/>
      <c r="AH43" s="1362"/>
      <c r="AI43" s="1362"/>
      <c r="AJ43" s="1362"/>
      <c r="AK43" s="1362"/>
      <c r="AL43" s="1362"/>
    </row>
    <row r="44" spans="1:38" s="118" customFormat="1">
      <c r="A44" s="4"/>
      <c r="B44"/>
      <c r="C44" s="2"/>
      <c r="D44" s="4"/>
      <c r="E44" s="4"/>
      <c r="F44" s="1362"/>
      <c r="G44" s="1362"/>
      <c r="H44" s="1362"/>
      <c r="I44" s="1362"/>
      <c r="J44" s="1362"/>
      <c r="K44" s="1362"/>
      <c r="L44" s="1362"/>
      <c r="M44" s="1362"/>
      <c r="N44" s="1362"/>
      <c r="O44" s="1362"/>
      <c r="P44" s="1362"/>
      <c r="Q44" s="1362"/>
      <c r="R44" s="1362"/>
      <c r="S44" s="1362"/>
      <c r="T44" s="1362"/>
      <c r="U44" s="1362"/>
      <c r="V44" s="1362"/>
      <c r="W44" s="1362"/>
      <c r="X44" s="1362"/>
      <c r="Y44" s="1362"/>
      <c r="Z44" s="1362"/>
      <c r="AA44" s="1362"/>
      <c r="AB44" s="1362"/>
      <c r="AC44" s="1362"/>
      <c r="AD44" s="1362"/>
      <c r="AE44" s="1362"/>
      <c r="AF44" s="1362"/>
      <c r="AG44" s="1362"/>
      <c r="AH44" s="1362"/>
      <c r="AI44" s="1362"/>
      <c r="AJ44" s="1362"/>
      <c r="AK44" s="1362"/>
      <c r="AL44" s="1362"/>
    </row>
    <row r="45" spans="1:38" s="118" customFormat="1" ht="13.35" customHeight="1">
      <c r="A45" s="4"/>
      <c r="B45"/>
      <c r="C45" s="2"/>
      <c r="D45" s="4"/>
      <c r="E45" s="4"/>
      <c r="F45" s="1362"/>
      <c r="G45" s="1362"/>
      <c r="H45" s="1362"/>
      <c r="I45" s="1362"/>
      <c r="J45" s="1362"/>
      <c r="K45" s="1362"/>
      <c r="L45" s="1362"/>
      <c r="M45" s="1362"/>
      <c r="N45" s="1362"/>
      <c r="O45" s="1362"/>
      <c r="P45" s="1362"/>
      <c r="Q45" s="1362"/>
      <c r="R45" s="1362"/>
      <c r="S45" s="1362"/>
      <c r="T45" s="1362"/>
      <c r="U45" s="1362"/>
      <c r="V45" s="1362"/>
      <c r="W45" s="1362"/>
      <c r="X45" s="1362"/>
      <c r="Y45" s="1362"/>
      <c r="Z45" s="1362"/>
      <c r="AA45" s="1362"/>
      <c r="AB45" s="1362"/>
      <c r="AC45" s="1362"/>
      <c r="AD45" s="1362"/>
      <c r="AE45" s="1362"/>
      <c r="AF45" s="1362"/>
      <c r="AG45" s="1362"/>
      <c r="AH45" s="1362"/>
      <c r="AI45" s="1362"/>
      <c r="AJ45" s="1362"/>
      <c r="AK45" s="1362"/>
      <c r="AL45" s="1362"/>
    </row>
    <row r="46" spans="1:38">
      <c r="A46" s="4"/>
      <c r="C46" s="2"/>
      <c r="D46" s="4"/>
      <c r="E46" s="4"/>
      <c r="F46" s="118" t="s">
        <v>685</v>
      </c>
      <c r="G46" s="3" t="s">
        <v>1990</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507</v>
      </c>
      <c r="G47" s="4" t="s">
        <v>545</v>
      </c>
      <c r="I47" s="4"/>
      <c r="J47" s="4"/>
      <c r="K47" s="4"/>
      <c r="L47" s="4"/>
      <c r="O47" s="4"/>
      <c r="P47" s="4"/>
      <c r="Q47" s="4"/>
      <c r="R47" s="4"/>
      <c r="S47" s="4"/>
      <c r="T47" s="4"/>
      <c r="U47" s="4"/>
      <c r="V47" s="4"/>
      <c r="W47" s="4"/>
      <c r="X47" s="4"/>
      <c r="Y47" s="4"/>
      <c r="Z47" s="4"/>
      <c r="AA47" s="4"/>
      <c r="AB47" s="4"/>
    </row>
    <row r="48" spans="1:38">
      <c r="A48" s="4"/>
      <c r="C48" s="2"/>
      <c r="D48" s="4"/>
      <c r="E48" s="3" t="s">
        <v>348</v>
      </c>
      <c r="F48" s="1435" t="s">
        <v>1991</v>
      </c>
      <c r="G48" s="1435"/>
      <c r="H48" s="1435"/>
      <c r="I48" s="1435"/>
      <c r="J48" s="1435"/>
      <c r="K48" s="1435"/>
      <c r="L48" s="1435"/>
      <c r="M48" s="1435"/>
      <c r="N48" s="1435"/>
      <c r="O48" s="1435"/>
      <c r="P48" s="1435"/>
      <c r="Q48" s="1435"/>
      <c r="R48" s="1435"/>
      <c r="S48" s="1435"/>
      <c r="T48" s="1435"/>
      <c r="U48" s="1435"/>
      <c r="V48" s="1435"/>
      <c r="W48" s="1435"/>
      <c r="X48" s="1435"/>
      <c r="Y48" s="1435"/>
      <c r="Z48" s="1435"/>
      <c r="AA48" s="1435"/>
      <c r="AB48" s="1435"/>
      <c r="AC48" s="1435"/>
      <c r="AD48" s="1435"/>
      <c r="AE48" s="1435"/>
      <c r="AF48" s="1435"/>
      <c r="AG48" s="1435"/>
      <c r="AH48" s="1435"/>
      <c r="AI48" s="1435"/>
      <c r="AJ48" s="1435"/>
      <c r="AK48" s="1435"/>
    </row>
    <row r="49" spans="1:38">
      <c r="A49" s="4"/>
      <c r="C49" s="2"/>
      <c r="D49" s="4"/>
      <c r="E49" s="4"/>
      <c r="F49" s="1435"/>
      <c r="G49" s="1435"/>
      <c r="H49" s="1435"/>
      <c r="I49" s="1435"/>
      <c r="J49" s="1435"/>
      <c r="K49" s="1435"/>
      <c r="L49" s="1435"/>
      <c r="M49" s="1435"/>
      <c r="N49" s="1435"/>
      <c r="O49" s="1435"/>
      <c r="P49" s="1435"/>
      <c r="Q49" s="1435"/>
      <c r="R49" s="1435"/>
      <c r="S49" s="1435"/>
      <c r="T49" s="1435"/>
      <c r="U49" s="1435"/>
      <c r="V49" s="1435"/>
      <c r="W49" s="1435"/>
      <c r="X49" s="1435"/>
      <c r="Y49" s="1435"/>
      <c r="Z49" s="1435"/>
      <c r="AA49" s="1435"/>
      <c r="AB49" s="1435"/>
      <c r="AC49" s="1435"/>
      <c r="AD49" s="1435"/>
      <c r="AE49" s="1435"/>
      <c r="AF49" s="1435"/>
      <c r="AG49" s="1435"/>
      <c r="AH49" s="1435"/>
      <c r="AI49" s="1435"/>
      <c r="AJ49" s="1435"/>
      <c r="AK49" s="1435"/>
    </row>
    <row r="50" spans="1:38">
      <c r="A50" s="4"/>
      <c r="C50" s="2"/>
      <c r="D50" s="4"/>
      <c r="F50" s="1435"/>
      <c r="G50" s="1435"/>
      <c r="H50" s="1435"/>
      <c r="I50" s="1435"/>
      <c r="J50" s="1435"/>
      <c r="K50" s="1435"/>
      <c r="L50" s="1435"/>
      <c r="M50" s="1435"/>
      <c r="N50" s="1435"/>
      <c r="O50" s="1435"/>
      <c r="P50" s="1435"/>
      <c r="Q50" s="1435"/>
      <c r="R50" s="1435"/>
      <c r="S50" s="1435"/>
      <c r="T50" s="1435"/>
      <c r="U50" s="1435"/>
      <c r="V50" s="1435"/>
      <c r="W50" s="1435"/>
      <c r="X50" s="1435"/>
      <c r="Y50" s="1435"/>
      <c r="Z50" s="1435"/>
      <c r="AA50" s="1435"/>
      <c r="AB50" s="1435"/>
      <c r="AC50" s="1435"/>
      <c r="AD50" s="1435"/>
      <c r="AE50" s="1435"/>
      <c r="AF50" s="1435"/>
      <c r="AG50" s="1435"/>
      <c r="AH50" s="1435"/>
      <c r="AI50" s="1435"/>
      <c r="AJ50" s="1435"/>
      <c r="AK50" s="1435"/>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649</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651</v>
      </c>
      <c r="F53" s="3" t="s">
        <v>1189</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35" customHeight="1">
      <c r="A54" s="204"/>
      <c r="B54" s="204"/>
      <c r="C54" s="205"/>
      <c r="D54" s="205"/>
      <c r="E54" s="204"/>
      <c r="F54" s="206" t="s">
        <v>685</v>
      </c>
      <c r="G54" s="1830" t="s">
        <v>1188</v>
      </c>
      <c r="H54" s="1830"/>
      <c r="I54" s="1830"/>
      <c r="J54" s="1830"/>
      <c r="K54" s="1830"/>
      <c r="L54" s="1830"/>
      <c r="M54" s="1830"/>
      <c r="N54" s="1830"/>
      <c r="O54" s="1830"/>
      <c r="P54" s="1830"/>
      <c r="Q54" s="1830"/>
      <c r="R54" s="1830"/>
      <c r="S54" s="1830"/>
      <c r="T54" s="1830"/>
      <c r="U54" s="1830"/>
      <c r="V54" s="1830"/>
      <c r="W54" s="1830"/>
      <c r="X54" s="1830"/>
      <c r="Y54" s="1830"/>
      <c r="Z54" s="1830"/>
      <c r="AA54" s="1830"/>
      <c r="AB54" s="1830"/>
      <c r="AC54" s="1830"/>
      <c r="AD54" s="1830"/>
      <c r="AE54" s="1830"/>
      <c r="AF54" s="1830"/>
      <c r="AG54" s="1830"/>
      <c r="AH54" s="1830"/>
      <c r="AI54" s="1830"/>
      <c r="AJ54" s="1830"/>
      <c r="AK54" s="1830"/>
      <c r="AL54" s="204"/>
    </row>
    <row r="55" spans="1:38" ht="13.35" customHeight="1">
      <c r="A55" s="204"/>
      <c r="B55" s="204"/>
      <c r="C55" s="205"/>
      <c r="D55" s="205"/>
      <c r="E55" s="204"/>
      <c r="F55" s="206"/>
      <c r="G55" s="474" t="s">
        <v>1190</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830" t="s">
        <v>573</v>
      </c>
      <c r="H56" s="1830"/>
      <c r="I56" s="1830"/>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35" customHeight="1">
      <c r="A57" s="204"/>
      <c r="B57" s="205"/>
      <c r="C57" s="205"/>
      <c r="D57" s="205"/>
      <c r="E57" s="204"/>
      <c r="F57" s="206" t="s">
        <v>507</v>
      </c>
      <c r="G57" s="1830" t="s">
        <v>1992</v>
      </c>
      <c r="H57" s="1830"/>
      <c r="I57" s="1830"/>
      <c r="J57" s="1830"/>
      <c r="K57" s="1830"/>
      <c r="L57" s="1830"/>
      <c r="M57" s="1830"/>
      <c r="N57" s="1830"/>
      <c r="O57" s="1830"/>
      <c r="P57" s="1830"/>
      <c r="Q57" s="1830"/>
      <c r="R57" s="1830"/>
      <c r="S57" s="1830"/>
      <c r="T57" s="1830"/>
      <c r="U57" s="1830"/>
      <c r="V57" s="1830"/>
      <c r="W57" s="1830"/>
      <c r="X57" s="1830"/>
      <c r="Y57" s="1830"/>
      <c r="Z57" s="1830"/>
      <c r="AA57" s="1830"/>
      <c r="AB57" s="1830"/>
      <c r="AC57" s="1830"/>
      <c r="AD57" s="1830"/>
      <c r="AE57" s="1830"/>
      <c r="AF57" s="1830"/>
      <c r="AG57" s="1830"/>
      <c r="AH57" s="1830"/>
      <c r="AI57" s="1830"/>
      <c r="AJ57" s="1830"/>
      <c r="AK57" s="1830"/>
      <c r="AL57" s="1830"/>
    </row>
    <row r="58" spans="1:38">
      <c r="A58" s="204"/>
      <c r="B58" s="204"/>
      <c r="C58" s="205"/>
      <c r="D58" s="205"/>
      <c r="E58" s="204"/>
      <c r="F58" s="206"/>
      <c r="G58" s="1830"/>
      <c r="H58" s="1830"/>
      <c r="I58" s="1830"/>
      <c r="J58" s="1830"/>
      <c r="K58" s="1830"/>
      <c r="L58" s="1830"/>
      <c r="M58" s="1830"/>
      <c r="N58" s="1830"/>
      <c r="O58" s="1830"/>
      <c r="P58" s="1830"/>
      <c r="Q58" s="1830"/>
      <c r="R58" s="1830"/>
      <c r="S58" s="1830"/>
      <c r="T58" s="1830"/>
      <c r="U58" s="1830"/>
      <c r="V58" s="1830"/>
      <c r="W58" s="1830"/>
      <c r="X58" s="1830"/>
      <c r="Y58" s="1830"/>
      <c r="Z58" s="1830"/>
      <c r="AA58" s="1830"/>
      <c r="AB58" s="1830"/>
      <c r="AC58" s="1830"/>
      <c r="AD58" s="1830"/>
      <c r="AE58" s="1830"/>
      <c r="AF58" s="1830"/>
      <c r="AG58" s="1830"/>
      <c r="AH58" s="1830"/>
      <c r="AI58" s="1830"/>
      <c r="AJ58" s="1830"/>
      <c r="AK58" s="1830"/>
      <c r="AL58" s="1830"/>
    </row>
    <row r="59" spans="1:38">
      <c r="A59" s="204"/>
      <c r="B59" s="204"/>
      <c r="C59" s="205"/>
      <c r="D59" s="205"/>
      <c r="E59" s="204"/>
      <c r="F59" s="206"/>
      <c r="G59" s="475" t="s">
        <v>1276</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174</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1162</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651</v>
      </c>
      <c r="F63" s="4" t="s">
        <v>506</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685</v>
      </c>
      <c r="G64" s="1435" t="s">
        <v>1163</v>
      </c>
      <c r="H64" s="1435"/>
      <c r="I64" s="1435"/>
      <c r="J64" s="1435"/>
      <c r="K64" s="1435"/>
      <c r="L64" s="1435"/>
      <c r="M64" s="1435"/>
      <c r="N64" s="1435"/>
      <c r="O64" s="1435"/>
      <c r="P64" s="1435"/>
      <c r="Q64" s="1435"/>
      <c r="R64" s="1435"/>
      <c r="S64" s="1435"/>
      <c r="T64" s="1435"/>
      <c r="U64" s="1435"/>
      <c r="V64" s="1435"/>
      <c r="W64" s="1435"/>
      <c r="X64" s="1435"/>
      <c r="Y64" s="1435"/>
      <c r="Z64" s="1435"/>
      <c r="AA64" s="1435"/>
      <c r="AB64" s="1435"/>
      <c r="AC64" s="1435"/>
      <c r="AD64" s="1435"/>
      <c r="AE64" s="1435"/>
      <c r="AF64" s="1435"/>
      <c r="AG64" s="1435"/>
      <c r="AH64" s="1435"/>
      <c r="AI64" s="1435"/>
      <c r="AJ64" s="1435"/>
      <c r="AK64" s="1435"/>
    </row>
    <row r="65" spans="1:37">
      <c r="A65" s="4"/>
      <c r="C65" s="2"/>
      <c r="D65" s="4"/>
      <c r="E65" s="4"/>
      <c r="G65" s="1435"/>
      <c r="H65" s="1435"/>
      <c r="I65" s="1435"/>
      <c r="J65" s="1435"/>
      <c r="K65" s="1435"/>
      <c r="L65" s="1435"/>
      <c r="M65" s="1435"/>
      <c r="N65" s="1435"/>
      <c r="O65" s="1435"/>
      <c r="P65" s="1435"/>
      <c r="Q65" s="1435"/>
      <c r="R65" s="1435"/>
      <c r="S65" s="1435"/>
      <c r="T65" s="1435"/>
      <c r="U65" s="1435"/>
      <c r="V65" s="1435"/>
      <c r="W65" s="1435"/>
      <c r="X65" s="1435"/>
      <c r="Y65" s="1435"/>
      <c r="Z65" s="1435"/>
      <c r="AA65" s="1435"/>
      <c r="AB65" s="1435"/>
      <c r="AC65" s="1435"/>
      <c r="AD65" s="1435"/>
      <c r="AE65" s="1435"/>
      <c r="AF65" s="1435"/>
      <c r="AG65" s="1435"/>
      <c r="AH65" s="1435"/>
      <c r="AI65" s="1435"/>
      <c r="AJ65" s="1435"/>
      <c r="AK65" s="1435"/>
    </row>
    <row r="66" spans="1:37">
      <c r="A66" s="4"/>
      <c r="C66" s="2"/>
      <c r="D66" s="4"/>
      <c r="E66" s="4"/>
      <c r="G66" s="1435"/>
      <c r="H66" s="1435"/>
      <c r="I66" s="1435"/>
      <c r="J66" s="1435"/>
      <c r="K66" s="1435"/>
      <c r="L66" s="1435"/>
      <c r="M66" s="1435"/>
      <c r="N66" s="1435"/>
      <c r="O66" s="1435"/>
      <c r="P66" s="1435"/>
      <c r="Q66" s="1435"/>
      <c r="R66" s="1435"/>
      <c r="S66" s="1435"/>
      <c r="T66" s="1435"/>
      <c r="U66" s="1435"/>
      <c r="V66" s="1435"/>
      <c r="W66" s="1435"/>
      <c r="X66" s="1435"/>
      <c r="Y66" s="1435"/>
      <c r="Z66" s="1435"/>
      <c r="AA66" s="1435"/>
      <c r="AB66" s="1435"/>
      <c r="AC66" s="1435"/>
      <c r="AD66" s="1435"/>
      <c r="AE66" s="1435"/>
      <c r="AF66" s="1435"/>
      <c r="AG66" s="1435"/>
      <c r="AH66" s="1435"/>
      <c r="AI66" s="1435"/>
      <c r="AJ66" s="1435"/>
      <c r="AK66" s="1435"/>
    </row>
    <row r="67" spans="1:37" ht="13.35" customHeight="1">
      <c r="A67" s="4"/>
      <c r="C67" s="2"/>
      <c r="D67" s="4"/>
      <c r="E67" s="4"/>
      <c r="F67" t="s">
        <v>507</v>
      </c>
      <c r="G67" s="1435" t="s">
        <v>1164</v>
      </c>
      <c r="H67" s="1435"/>
      <c r="I67" s="1435"/>
      <c r="J67" s="1435"/>
      <c r="K67" s="1435"/>
      <c r="L67" s="1435"/>
      <c r="M67" s="1435"/>
      <c r="N67" s="1435"/>
      <c r="O67" s="1435"/>
      <c r="P67" s="1435"/>
      <c r="Q67" s="1435"/>
      <c r="R67" s="1435"/>
      <c r="S67" s="1435"/>
      <c r="T67" s="1435"/>
      <c r="U67" s="1435"/>
      <c r="V67" s="1435"/>
      <c r="W67" s="1435"/>
      <c r="X67" s="1435"/>
      <c r="Y67" s="1435"/>
      <c r="Z67" s="1435"/>
      <c r="AA67" s="1435"/>
      <c r="AB67" s="1435"/>
      <c r="AC67" s="1435"/>
      <c r="AD67" s="1435"/>
      <c r="AE67" s="1435"/>
      <c r="AF67" s="1435"/>
      <c r="AG67" s="1435"/>
      <c r="AH67" s="1435"/>
      <c r="AI67" s="1435"/>
      <c r="AJ67" s="1435"/>
      <c r="AK67" s="1435"/>
    </row>
    <row r="68" spans="1:37">
      <c r="A68" s="4"/>
      <c r="C68" s="2"/>
      <c r="D68" s="4"/>
      <c r="E68" s="4"/>
      <c r="F68" s="27"/>
      <c r="G68" s="1435"/>
      <c r="H68" s="1435"/>
      <c r="I68" s="1435"/>
      <c r="J68" s="1435"/>
      <c r="K68" s="1435"/>
      <c r="L68" s="1435"/>
      <c r="M68" s="1435"/>
      <c r="N68" s="1435"/>
      <c r="O68" s="1435"/>
      <c r="P68" s="1435"/>
      <c r="Q68" s="1435"/>
      <c r="R68" s="1435"/>
      <c r="S68" s="1435"/>
      <c r="T68" s="1435"/>
      <c r="U68" s="1435"/>
      <c r="V68" s="1435"/>
      <c r="W68" s="1435"/>
      <c r="X68" s="1435"/>
      <c r="Y68" s="1435"/>
      <c r="Z68" s="1435"/>
      <c r="AA68" s="1435"/>
      <c r="AB68" s="1435"/>
      <c r="AC68" s="1435"/>
      <c r="AD68" s="1435"/>
      <c r="AE68" s="1435"/>
      <c r="AF68" s="1435"/>
      <c r="AG68" s="1435"/>
      <c r="AH68" s="1435"/>
      <c r="AI68" s="1435"/>
      <c r="AJ68" s="1435"/>
      <c r="AK68" s="1435"/>
    </row>
    <row r="69" spans="1:37">
      <c r="A69" s="4"/>
      <c r="C69" s="2"/>
      <c r="D69" s="4"/>
      <c r="E69" s="4" t="s">
        <v>347</v>
      </c>
      <c r="F69" s="4" t="s">
        <v>420</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685</v>
      </c>
      <c r="G70" s="1435" t="s">
        <v>1165</v>
      </c>
      <c r="H70" s="1435"/>
      <c r="I70" s="1435"/>
      <c r="J70" s="1435"/>
      <c r="K70" s="1435"/>
      <c r="L70" s="1435"/>
      <c r="M70" s="1435"/>
      <c r="N70" s="1435"/>
      <c r="O70" s="1435"/>
      <c r="P70" s="1435"/>
      <c r="Q70" s="1435"/>
      <c r="R70" s="1435"/>
      <c r="S70" s="1435"/>
      <c r="T70" s="1435"/>
      <c r="U70" s="1435"/>
      <c r="V70" s="1435"/>
      <c r="W70" s="1435"/>
      <c r="X70" s="1435"/>
      <c r="Y70" s="1435"/>
      <c r="Z70" s="1435"/>
      <c r="AA70" s="1435"/>
      <c r="AB70" s="1435"/>
      <c r="AC70" s="1435"/>
      <c r="AD70" s="1435"/>
      <c r="AE70" s="1435"/>
      <c r="AF70" s="1435"/>
      <c r="AG70" s="1435"/>
      <c r="AH70" s="1435"/>
      <c r="AI70" s="1435"/>
      <c r="AJ70" s="1435"/>
      <c r="AK70" s="1435"/>
    </row>
    <row r="71" spans="1:37">
      <c r="A71" s="4"/>
      <c r="C71" s="2"/>
      <c r="D71" s="4"/>
      <c r="E71" s="4"/>
      <c r="F71" s="8"/>
      <c r="G71" s="1435"/>
      <c r="H71" s="1435"/>
      <c r="I71" s="1435"/>
      <c r="J71" s="1435"/>
      <c r="K71" s="1435"/>
      <c r="L71" s="1435"/>
      <c r="M71" s="1435"/>
      <c r="N71" s="1435"/>
      <c r="O71" s="1435"/>
      <c r="P71" s="1435"/>
      <c r="Q71" s="1435"/>
      <c r="R71" s="1435"/>
      <c r="S71" s="1435"/>
      <c r="T71" s="1435"/>
      <c r="U71" s="1435"/>
      <c r="V71" s="1435"/>
      <c r="W71" s="1435"/>
      <c r="X71" s="1435"/>
      <c r="Y71" s="1435"/>
      <c r="Z71" s="1435"/>
      <c r="AA71" s="1435"/>
      <c r="AB71" s="1435"/>
      <c r="AC71" s="1435"/>
      <c r="AD71" s="1435"/>
      <c r="AE71" s="1435"/>
      <c r="AF71" s="1435"/>
      <c r="AG71" s="1435"/>
      <c r="AH71" s="1435"/>
      <c r="AI71" s="1435"/>
      <c r="AJ71" s="1435"/>
      <c r="AK71" s="1435"/>
    </row>
    <row r="72" spans="1:37">
      <c r="A72" s="4"/>
      <c r="C72" s="2"/>
      <c r="D72" s="4"/>
      <c r="E72" s="4"/>
      <c r="F72" s="8" t="s">
        <v>507</v>
      </c>
      <c r="G72" s="1435" t="s">
        <v>1166</v>
      </c>
      <c r="H72" s="1435"/>
      <c r="I72" s="1435"/>
      <c r="J72" s="1435"/>
      <c r="K72" s="1435"/>
      <c r="L72" s="1435"/>
      <c r="M72" s="1435"/>
      <c r="N72" s="1435"/>
      <c r="O72" s="1435"/>
      <c r="P72" s="1435"/>
      <c r="Q72" s="1435"/>
      <c r="R72" s="1435"/>
      <c r="S72" s="1435"/>
      <c r="T72" s="1435"/>
      <c r="U72" s="1435"/>
      <c r="V72" s="1435"/>
      <c r="W72" s="1435"/>
      <c r="X72" s="1435"/>
      <c r="Y72" s="1435"/>
      <c r="Z72" s="1435"/>
      <c r="AA72" s="1435"/>
      <c r="AB72" s="1435"/>
      <c r="AC72" s="1435"/>
      <c r="AD72" s="1435"/>
      <c r="AE72" s="1435"/>
      <c r="AF72" s="1435"/>
      <c r="AG72" s="1435"/>
      <c r="AH72" s="1435"/>
      <c r="AI72" s="1435"/>
      <c r="AJ72" s="1435"/>
      <c r="AK72" s="1435"/>
    </row>
    <row r="73" spans="1:37">
      <c r="A73" s="4"/>
      <c r="C73" s="2"/>
      <c r="D73" s="4"/>
      <c r="E73" s="4"/>
      <c r="F73" s="8"/>
      <c r="G73" s="1435"/>
      <c r="H73" s="1435"/>
      <c r="I73" s="1435"/>
      <c r="J73" s="1435"/>
      <c r="K73" s="1435"/>
      <c r="L73" s="1435"/>
      <c r="M73" s="1435"/>
      <c r="N73" s="1435"/>
      <c r="O73" s="1435"/>
      <c r="P73" s="1435"/>
      <c r="Q73" s="1435"/>
      <c r="R73" s="1435"/>
      <c r="S73" s="1435"/>
      <c r="T73" s="1435"/>
      <c r="U73" s="1435"/>
      <c r="V73" s="1435"/>
      <c r="W73" s="1435"/>
      <c r="X73" s="1435"/>
      <c r="Y73" s="1435"/>
      <c r="Z73" s="1435"/>
      <c r="AA73" s="1435"/>
      <c r="AB73" s="1435"/>
      <c r="AC73" s="1435"/>
      <c r="AD73" s="1435"/>
      <c r="AE73" s="1435"/>
      <c r="AF73" s="1435"/>
      <c r="AG73" s="1435"/>
      <c r="AH73" s="1435"/>
      <c r="AI73" s="1435"/>
      <c r="AJ73" s="1435"/>
      <c r="AK73" s="1435"/>
    </row>
    <row r="74" spans="1:37">
      <c r="A74" s="4"/>
      <c r="C74" s="2"/>
      <c r="D74" s="4"/>
      <c r="E74" s="4"/>
      <c r="F74" s="8"/>
      <c r="G74" s="120" t="s">
        <v>748</v>
      </c>
      <c r="H74" s="4"/>
      <c r="J74" s="120"/>
      <c r="K74" s="120"/>
      <c r="L74" s="120"/>
      <c r="P74" s="4"/>
      <c r="Q74" s="4"/>
      <c r="R74" s="4"/>
      <c r="S74" s="4"/>
      <c r="T74" s="4"/>
      <c r="U74" s="4"/>
      <c r="V74" s="4"/>
      <c r="W74" s="4"/>
      <c r="X74" s="4"/>
      <c r="Y74" s="4"/>
      <c r="Z74" s="4"/>
      <c r="AA74" s="4"/>
      <c r="AB74" s="4"/>
    </row>
    <row r="75" spans="1:37">
      <c r="A75" s="4"/>
      <c r="C75" s="2"/>
      <c r="D75" s="4"/>
      <c r="E75" s="4"/>
      <c r="F75" s="8"/>
      <c r="G75" s="120" t="s">
        <v>862</v>
      </c>
      <c r="J75" s="120"/>
      <c r="K75" s="120"/>
      <c r="L75" s="120"/>
      <c r="P75" s="4"/>
      <c r="Q75" s="4"/>
      <c r="R75" s="4"/>
      <c r="S75" s="4"/>
      <c r="T75" s="4"/>
      <c r="U75" s="4"/>
      <c r="V75" s="4"/>
      <c r="W75" s="4"/>
      <c r="X75" s="4"/>
      <c r="Y75" s="4"/>
      <c r="Z75" s="4"/>
      <c r="AA75" s="4"/>
      <c r="AB75" s="4"/>
    </row>
    <row r="76" spans="1:37">
      <c r="A76" s="4"/>
      <c r="C76" s="2"/>
      <c r="D76" s="4"/>
      <c r="E76" s="4"/>
      <c r="F76" s="8" t="s">
        <v>277</v>
      </c>
      <c r="G76" s="4" t="s">
        <v>1012</v>
      </c>
      <c r="H76" s="4"/>
      <c r="I76" s="4"/>
      <c r="K76" s="4"/>
      <c r="L76" s="4"/>
      <c r="M76" s="4"/>
      <c r="P76" s="4"/>
      <c r="Q76" s="4"/>
      <c r="R76" s="4"/>
      <c r="S76" s="4"/>
      <c r="T76" s="4"/>
      <c r="U76" s="4"/>
      <c r="V76" s="4"/>
      <c r="W76" s="4"/>
      <c r="X76" s="4"/>
      <c r="Y76" s="4"/>
      <c r="Z76" s="4"/>
      <c r="AA76" s="4"/>
      <c r="AB76" s="4"/>
    </row>
    <row r="77" spans="1:37">
      <c r="A77" s="4"/>
      <c r="C77" s="2"/>
      <c r="D77" s="4"/>
      <c r="E77" s="4"/>
      <c r="F77" s="4"/>
      <c r="G77" s="4" t="s">
        <v>505</v>
      </c>
      <c r="H77" s="4" t="s">
        <v>863</v>
      </c>
      <c r="K77" s="4"/>
      <c r="L77" s="4"/>
      <c r="M77" s="4"/>
      <c r="P77" s="4"/>
      <c r="Q77" s="4"/>
      <c r="R77" s="4"/>
      <c r="S77" s="4"/>
      <c r="T77" s="4"/>
      <c r="U77" s="4"/>
      <c r="V77" s="4"/>
      <c r="W77" s="4"/>
      <c r="X77" s="4"/>
      <c r="Y77" s="4"/>
      <c r="Z77" s="4"/>
      <c r="AA77" s="4"/>
      <c r="AB77" s="4"/>
    </row>
    <row r="78" spans="1:37">
      <c r="A78" s="4"/>
      <c r="C78" s="2"/>
      <c r="D78" s="4"/>
      <c r="E78" s="4"/>
      <c r="F78" s="4"/>
      <c r="G78" s="4" t="s">
        <v>755</v>
      </c>
      <c r="H78" s="4" t="s">
        <v>751</v>
      </c>
      <c r="K78" s="4"/>
      <c r="L78" s="4"/>
      <c r="M78" s="4"/>
      <c r="P78" s="4"/>
      <c r="Q78" s="4"/>
      <c r="R78" s="4"/>
      <c r="S78" s="4"/>
      <c r="T78" s="4"/>
      <c r="U78" s="4"/>
      <c r="V78" s="4"/>
      <c r="W78" s="4"/>
      <c r="X78" s="4"/>
      <c r="Y78" s="4"/>
      <c r="Z78" s="4"/>
      <c r="AA78" s="4"/>
      <c r="AB78" s="4"/>
    </row>
    <row r="79" spans="1:37">
      <c r="A79" s="4"/>
      <c r="C79" s="2"/>
      <c r="D79" s="4"/>
      <c r="E79" s="4" t="s">
        <v>348</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435" t="s">
        <v>1167</v>
      </c>
      <c r="H80" s="1435"/>
      <c r="I80" s="1435"/>
      <c r="J80" s="1435"/>
      <c r="K80" s="1435"/>
      <c r="L80" s="1435"/>
      <c r="M80" s="1435"/>
      <c r="N80" s="1435"/>
      <c r="O80" s="1435"/>
      <c r="P80" s="1435"/>
      <c r="Q80" s="1435"/>
      <c r="R80" s="1435"/>
      <c r="S80" s="1435"/>
      <c r="T80" s="1435"/>
      <c r="U80" s="1435"/>
      <c r="V80" s="1435"/>
      <c r="W80" s="1435"/>
      <c r="X80" s="1435"/>
      <c r="Y80" s="1435"/>
      <c r="Z80" s="1435"/>
      <c r="AA80" s="1435"/>
      <c r="AB80" s="1435"/>
      <c r="AC80" s="1435"/>
      <c r="AD80" s="1435"/>
      <c r="AE80" s="1435"/>
      <c r="AF80" s="1435"/>
      <c r="AG80" s="1435"/>
      <c r="AH80" s="1435"/>
      <c r="AI80" s="1435"/>
      <c r="AJ80" s="1435"/>
      <c r="AK80" s="1435"/>
    </row>
    <row r="81" spans="1:37">
      <c r="A81" s="4"/>
      <c r="C81" s="2"/>
      <c r="D81" s="4"/>
      <c r="E81" s="4"/>
      <c r="F81" s="4"/>
      <c r="G81" s="1435"/>
      <c r="H81" s="1435"/>
      <c r="I81" s="1435"/>
      <c r="J81" s="1435"/>
      <c r="K81" s="1435"/>
      <c r="L81" s="1435"/>
      <c r="M81" s="1435"/>
      <c r="N81" s="1435"/>
      <c r="O81" s="1435"/>
      <c r="P81" s="1435"/>
      <c r="Q81" s="1435"/>
      <c r="R81" s="1435"/>
      <c r="S81" s="1435"/>
      <c r="T81" s="1435"/>
      <c r="U81" s="1435"/>
      <c r="V81" s="1435"/>
      <c r="W81" s="1435"/>
      <c r="X81" s="1435"/>
      <c r="Y81" s="1435"/>
      <c r="Z81" s="1435"/>
      <c r="AA81" s="1435"/>
      <c r="AB81" s="1435"/>
      <c r="AC81" s="1435"/>
      <c r="AD81" s="1435"/>
      <c r="AE81" s="1435"/>
      <c r="AF81" s="1435"/>
      <c r="AG81" s="1435"/>
      <c r="AH81" s="1435"/>
      <c r="AI81" s="1435"/>
      <c r="AJ81" s="1435"/>
      <c r="AK81" s="1435"/>
    </row>
    <row r="82" spans="1:37">
      <c r="A82" s="4"/>
      <c r="C82" s="2"/>
      <c r="D82" s="4"/>
      <c r="E82" s="4"/>
      <c r="F82" s="4"/>
      <c r="G82" s="1435"/>
      <c r="H82" s="1435"/>
      <c r="I82" s="1435"/>
      <c r="J82" s="1435"/>
      <c r="K82" s="1435"/>
      <c r="L82" s="1435"/>
      <c r="M82" s="1435"/>
      <c r="N82" s="1435"/>
      <c r="O82" s="1435"/>
      <c r="P82" s="1435"/>
      <c r="Q82" s="1435"/>
      <c r="R82" s="1435"/>
      <c r="S82" s="1435"/>
      <c r="T82" s="1435"/>
      <c r="U82" s="1435"/>
      <c r="V82" s="1435"/>
      <c r="W82" s="1435"/>
      <c r="X82" s="1435"/>
      <c r="Y82" s="1435"/>
      <c r="Z82" s="1435"/>
      <c r="AA82" s="1435"/>
      <c r="AB82" s="1435"/>
      <c r="AC82" s="1435"/>
      <c r="AD82" s="1435"/>
      <c r="AE82" s="1435"/>
      <c r="AF82" s="1435"/>
      <c r="AG82" s="1435"/>
      <c r="AH82" s="1435"/>
      <c r="AI82" s="1435"/>
      <c r="AJ82" s="1435"/>
      <c r="AK82" s="1435"/>
    </row>
    <row r="83" spans="1:37">
      <c r="A83" s="4"/>
      <c r="C83" s="2"/>
      <c r="D83" s="4"/>
      <c r="E83" s="4" t="s">
        <v>442</v>
      </c>
      <c r="F83" s="4" t="s">
        <v>614</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435" t="s">
        <v>1168</v>
      </c>
      <c r="H84" s="1435"/>
      <c r="I84" s="1435"/>
      <c r="J84" s="1435"/>
      <c r="K84" s="1435"/>
      <c r="L84" s="1435"/>
      <c r="M84" s="1435"/>
      <c r="N84" s="1435"/>
      <c r="O84" s="1435"/>
      <c r="P84" s="1435"/>
      <c r="Q84" s="1435"/>
      <c r="R84" s="1435"/>
      <c r="S84" s="1435"/>
      <c r="T84" s="1435"/>
      <c r="U84" s="1435"/>
      <c r="V84" s="1435"/>
      <c r="W84" s="1435"/>
      <c r="X84" s="1435"/>
      <c r="Y84" s="1435"/>
      <c r="Z84" s="1435"/>
      <c r="AA84" s="1435"/>
      <c r="AB84" s="1435"/>
      <c r="AC84" s="1435"/>
      <c r="AD84" s="1435"/>
      <c r="AE84" s="1435"/>
      <c r="AF84" s="1435"/>
      <c r="AG84" s="1435"/>
      <c r="AH84" s="1435"/>
      <c r="AI84" s="1435"/>
      <c r="AJ84" s="1435"/>
      <c r="AK84" s="1435"/>
    </row>
    <row r="85" spans="1:37">
      <c r="A85" s="4"/>
      <c r="C85" s="2"/>
      <c r="D85" s="4"/>
      <c r="E85" s="4"/>
      <c r="F85" s="4"/>
      <c r="G85" s="1435"/>
      <c r="H85" s="1435"/>
      <c r="I85" s="1435"/>
      <c r="J85" s="1435"/>
      <c r="K85" s="1435"/>
      <c r="L85" s="1435"/>
      <c r="M85" s="1435"/>
      <c r="N85" s="1435"/>
      <c r="O85" s="1435"/>
      <c r="P85" s="1435"/>
      <c r="Q85" s="1435"/>
      <c r="R85" s="1435"/>
      <c r="S85" s="1435"/>
      <c r="T85" s="1435"/>
      <c r="U85" s="1435"/>
      <c r="V85" s="1435"/>
      <c r="W85" s="1435"/>
      <c r="X85" s="1435"/>
      <c r="Y85" s="1435"/>
      <c r="Z85" s="1435"/>
      <c r="AA85" s="1435"/>
      <c r="AB85" s="1435"/>
      <c r="AC85" s="1435"/>
      <c r="AD85" s="1435"/>
      <c r="AE85" s="1435"/>
      <c r="AF85" s="1435"/>
      <c r="AG85" s="1435"/>
      <c r="AH85" s="1435"/>
      <c r="AI85" s="1435"/>
      <c r="AJ85" s="1435"/>
      <c r="AK85" s="1435"/>
    </row>
    <row r="86" spans="1:37">
      <c r="A86" s="4"/>
      <c r="C86" s="2"/>
      <c r="D86" s="4"/>
      <c r="E86" s="4"/>
      <c r="G86" s="1435"/>
      <c r="H86" s="1435"/>
      <c r="I86" s="1435"/>
      <c r="J86" s="1435"/>
      <c r="K86" s="1435"/>
      <c r="L86" s="1435"/>
      <c r="M86" s="1435"/>
      <c r="N86" s="1435"/>
      <c r="O86" s="1435"/>
      <c r="P86" s="1435"/>
      <c r="Q86" s="1435"/>
      <c r="R86" s="1435"/>
      <c r="S86" s="1435"/>
      <c r="T86" s="1435"/>
      <c r="U86" s="1435"/>
      <c r="V86" s="1435"/>
      <c r="W86" s="1435"/>
      <c r="X86" s="1435"/>
      <c r="Y86" s="1435"/>
      <c r="Z86" s="1435"/>
      <c r="AA86" s="1435"/>
      <c r="AB86" s="1435"/>
      <c r="AC86" s="1435"/>
      <c r="AD86" s="1435"/>
      <c r="AE86" s="1435"/>
      <c r="AF86" s="1435"/>
      <c r="AG86" s="1435"/>
      <c r="AH86" s="1435"/>
      <c r="AI86" s="1435"/>
      <c r="AJ86" s="1435"/>
      <c r="AK86" s="1435"/>
    </row>
    <row r="87" spans="1:37">
      <c r="A87" s="4"/>
      <c r="C87" s="2"/>
      <c r="D87" s="4"/>
      <c r="E87" s="4" t="s">
        <v>261</v>
      </c>
      <c r="F87" t="s">
        <v>864</v>
      </c>
      <c r="G87" s="4"/>
      <c r="L87" s="4"/>
      <c r="M87" s="4"/>
      <c r="P87" s="4"/>
      <c r="Q87" s="4"/>
      <c r="R87" s="4"/>
      <c r="S87" s="4"/>
      <c r="T87" s="4"/>
      <c r="U87" s="4"/>
      <c r="V87" s="4"/>
      <c r="W87" s="4"/>
      <c r="X87" s="4"/>
      <c r="Y87" s="4"/>
      <c r="Z87" s="4"/>
      <c r="AA87" s="4"/>
      <c r="AB87" s="4"/>
    </row>
    <row r="88" spans="1:37">
      <c r="A88" s="4"/>
      <c r="C88" s="2"/>
      <c r="D88" s="4"/>
      <c r="E88" s="4"/>
      <c r="G88" s="1836" t="s">
        <v>1169</v>
      </c>
      <c r="H88" s="1836"/>
      <c r="I88" s="1836"/>
      <c r="J88" s="1836"/>
      <c r="K88" s="1836"/>
      <c r="L88" s="1836"/>
      <c r="M88" s="1836"/>
      <c r="N88" s="1836"/>
      <c r="O88" s="1836"/>
      <c r="P88" s="1836"/>
      <c r="Q88" s="1836"/>
      <c r="R88" s="1836"/>
      <c r="S88" s="1836"/>
      <c r="T88" s="1836"/>
      <c r="U88" s="1836"/>
      <c r="V88" s="1836"/>
      <c r="W88" s="1836"/>
      <c r="X88" s="1836"/>
      <c r="Y88" s="1836"/>
      <c r="Z88" s="1836"/>
      <c r="AA88" s="1836"/>
      <c r="AB88" s="1836"/>
      <c r="AC88" s="1836"/>
      <c r="AD88" s="1836"/>
      <c r="AE88" s="1836"/>
      <c r="AF88" s="1836"/>
      <c r="AG88" s="1836"/>
      <c r="AH88" s="1836"/>
      <c r="AI88" s="1836"/>
      <c r="AJ88" s="1836"/>
      <c r="AK88" s="1836"/>
    </row>
    <row r="89" spans="1:37">
      <c r="A89" s="4"/>
      <c r="C89" s="2"/>
      <c r="D89" s="4"/>
      <c r="E89" s="4"/>
      <c r="G89" s="1836"/>
      <c r="H89" s="1836"/>
      <c r="I89" s="1836"/>
      <c r="J89" s="1836"/>
      <c r="K89" s="1836"/>
      <c r="L89" s="1836"/>
      <c r="M89" s="1836"/>
      <c r="N89" s="1836"/>
      <c r="O89" s="1836"/>
      <c r="P89" s="1836"/>
      <c r="Q89" s="1836"/>
      <c r="R89" s="1836"/>
      <c r="S89" s="1836"/>
      <c r="T89" s="1836"/>
      <c r="U89" s="1836"/>
      <c r="V89" s="1836"/>
      <c r="W89" s="1836"/>
      <c r="X89" s="1836"/>
      <c r="Y89" s="1836"/>
      <c r="Z89" s="1836"/>
      <c r="AA89" s="1836"/>
      <c r="AB89" s="1836"/>
      <c r="AC89" s="1836"/>
      <c r="AD89" s="1836"/>
      <c r="AE89" s="1836"/>
      <c r="AF89" s="1836"/>
      <c r="AG89" s="1836"/>
      <c r="AH89" s="1836"/>
      <c r="AI89" s="1836"/>
      <c r="AJ89" s="1836"/>
      <c r="AK89" s="1836"/>
    </row>
    <row r="90" spans="1:37">
      <c r="A90" s="4"/>
      <c r="C90" s="2"/>
      <c r="D90" s="4"/>
      <c r="E90" s="4"/>
      <c r="G90" s="1836"/>
      <c r="H90" s="1836"/>
      <c r="I90" s="1836"/>
      <c r="J90" s="1836"/>
      <c r="K90" s="1836"/>
      <c r="L90" s="1836"/>
      <c r="M90" s="1836"/>
      <c r="N90" s="1836"/>
      <c r="O90" s="1836"/>
      <c r="P90" s="1836"/>
      <c r="Q90" s="1836"/>
      <c r="R90" s="1836"/>
      <c r="S90" s="1836"/>
      <c r="T90" s="1836"/>
      <c r="U90" s="1836"/>
      <c r="V90" s="1836"/>
      <c r="W90" s="1836"/>
      <c r="X90" s="1836"/>
      <c r="Y90" s="1836"/>
      <c r="Z90" s="1836"/>
      <c r="AA90" s="1836"/>
      <c r="AB90" s="1836"/>
      <c r="AC90" s="1836"/>
      <c r="AD90" s="1836"/>
      <c r="AE90" s="1836"/>
      <c r="AF90" s="1836"/>
      <c r="AG90" s="1836"/>
      <c r="AH90" s="1836"/>
      <c r="AI90" s="1836"/>
      <c r="AJ90" s="1836"/>
      <c r="AK90" s="1836"/>
    </row>
    <row r="91" spans="1:37">
      <c r="A91" s="4"/>
      <c r="C91" s="2"/>
      <c r="D91" s="4"/>
      <c r="E91" s="4" t="s">
        <v>262</v>
      </c>
      <c r="F91" s="4" t="s">
        <v>514</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435" t="s">
        <v>1170</v>
      </c>
      <c r="H92" s="1435"/>
      <c r="I92" s="1435"/>
      <c r="J92" s="1435"/>
      <c r="K92" s="1435"/>
      <c r="L92" s="1435"/>
      <c r="M92" s="1435"/>
      <c r="N92" s="1435"/>
      <c r="O92" s="1435"/>
      <c r="P92" s="1435"/>
      <c r="Q92" s="1435"/>
      <c r="R92" s="1435"/>
      <c r="S92" s="1435"/>
      <c r="T92" s="1435"/>
      <c r="U92" s="1435"/>
      <c r="V92" s="1435"/>
      <c r="W92" s="1435"/>
      <c r="X92" s="1435"/>
      <c r="Y92" s="1435"/>
      <c r="Z92" s="1435"/>
      <c r="AA92" s="1435"/>
      <c r="AB92" s="1435"/>
      <c r="AC92" s="1435"/>
      <c r="AD92" s="1435"/>
      <c r="AE92" s="1435"/>
      <c r="AF92" s="1435"/>
      <c r="AG92" s="1435"/>
      <c r="AH92" s="1435"/>
      <c r="AI92" s="1435"/>
      <c r="AJ92" s="1435"/>
      <c r="AK92" s="1435"/>
    </row>
    <row r="93" spans="1:37">
      <c r="A93" s="4"/>
      <c r="C93" s="2"/>
      <c r="D93" s="4"/>
      <c r="E93" s="4"/>
      <c r="G93" s="1435"/>
      <c r="H93" s="1435"/>
      <c r="I93" s="1435"/>
      <c r="J93" s="1435"/>
      <c r="K93" s="1435"/>
      <c r="L93" s="1435"/>
      <c r="M93" s="1435"/>
      <c r="N93" s="1435"/>
      <c r="O93" s="1435"/>
      <c r="P93" s="1435"/>
      <c r="Q93" s="1435"/>
      <c r="R93" s="1435"/>
      <c r="S93" s="1435"/>
      <c r="T93" s="1435"/>
      <c r="U93" s="1435"/>
      <c r="V93" s="1435"/>
      <c r="W93" s="1435"/>
      <c r="X93" s="1435"/>
      <c r="Y93" s="1435"/>
      <c r="Z93" s="1435"/>
      <c r="AA93" s="1435"/>
      <c r="AB93" s="1435"/>
      <c r="AC93" s="1435"/>
      <c r="AD93" s="1435"/>
      <c r="AE93" s="1435"/>
      <c r="AF93" s="1435"/>
      <c r="AG93" s="1435"/>
      <c r="AH93" s="1435"/>
      <c r="AI93" s="1435"/>
      <c r="AJ93" s="1435"/>
      <c r="AK93" s="1435"/>
    </row>
    <row r="94" spans="1:37">
      <c r="A94" s="4"/>
      <c r="C94" s="2"/>
      <c r="D94" s="4"/>
      <c r="E94" s="4" t="s">
        <v>902</v>
      </c>
      <c r="F94" s="204" t="s">
        <v>903</v>
      </c>
      <c r="G94" s="204"/>
      <c r="L94" s="4"/>
      <c r="M94" s="4"/>
      <c r="P94" s="4"/>
      <c r="Q94" s="4"/>
      <c r="R94" s="4"/>
      <c r="S94" s="4"/>
      <c r="T94" s="4"/>
      <c r="U94" s="4"/>
      <c r="V94" s="4"/>
      <c r="W94" s="4"/>
      <c r="X94" s="4"/>
      <c r="Y94" s="4"/>
      <c r="Z94" s="4"/>
      <c r="AA94" s="4"/>
      <c r="AB94" s="4"/>
    </row>
    <row r="95" spans="1:37">
      <c r="A95" s="4"/>
      <c r="C95" s="2"/>
      <c r="D95" s="4"/>
      <c r="E95" s="4"/>
      <c r="G95" s="1435" t="s">
        <v>1171</v>
      </c>
      <c r="H95" s="1435"/>
      <c r="I95" s="1435"/>
      <c r="J95" s="1435"/>
      <c r="K95" s="1435"/>
      <c r="L95" s="1435"/>
      <c r="M95" s="1435"/>
      <c r="N95" s="1435"/>
      <c r="O95" s="1435"/>
      <c r="P95" s="1435"/>
      <c r="Q95" s="1435"/>
      <c r="R95" s="1435"/>
      <c r="S95" s="1435"/>
      <c r="T95" s="1435"/>
      <c r="U95" s="1435"/>
      <c r="V95" s="1435"/>
      <c r="W95" s="1435"/>
      <c r="X95" s="1435"/>
      <c r="Y95" s="1435"/>
      <c r="Z95" s="1435"/>
      <c r="AA95" s="1435"/>
      <c r="AB95" s="1435"/>
      <c r="AC95" s="1435"/>
      <c r="AD95" s="1435"/>
      <c r="AE95" s="1435"/>
      <c r="AF95" s="1435"/>
      <c r="AG95" s="1435"/>
      <c r="AH95" s="1435"/>
      <c r="AI95" s="1435"/>
      <c r="AJ95" s="1435"/>
      <c r="AK95" s="1435"/>
    </row>
    <row r="96" spans="1:37">
      <c r="A96" s="4"/>
      <c r="C96" s="2"/>
      <c r="D96" s="4"/>
      <c r="E96" s="4"/>
      <c r="G96" s="1435"/>
      <c r="H96" s="1435"/>
      <c r="I96" s="1435"/>
      <c r="J96" s="1435"/>
      <c r="K96" s="1435"/>
      <c r="L96" s="1435"/>
      <c r="M96" s="1435"/>
      <c r="N96" s="1435"/>
      <c r="O96" s="1435"/>
      <c r="P96" s="1435"/>
      <c r="Q96" s="1435"/>
      <c r="R96" s="1435"/>
      <c r="S96" s="1435"/>
      <c r="T96" s="1435"/>
      <c r="U96" s="1435"/>
      <c r="V96" s="1435"/>
      <c r="W96" s="1435"/>
      <c r="X96" s="1435"/>
      <c r="Y96" s="1435"/>
      <c r="Z96" s="1435"/>
      <c r="AA96" s="1435"/>
      <c r="AB96" s="1435"/>
      <c r="AC96" s="1435"/>
      <c r="AD96" s="1435"/>
      <c r="AE96" s="1435"/>
      <c r="AF96" s="1435"/>
      <c r="AG96" s="1435"/>
      <c r="AH96" s="1435"/>
      <c r="AI96" s="1435"/>
      <c r="AJ96" s="1435"/>
      <c r="AK96" s="1435"/>
    </row>
    <row r="97" spans="1:38">
      <c r="A97" s="4"/>
      <c r="C97" s="2"/>
      <c r="D97" s="4"/>
      <c r="E97" s="4"/>
      <c r="G97" s="1435"/>
      <c r="H97" s="1435"/>
      <c r="I97" s="1435"/>
      <c r="J97" s="1435"/>
      <c r="K97" s="1435"/>
      <c r="L97" s="1435"/>
      <c r="M97" s="1435"/>
      <c r="N97" s="1435"/>
      <c r="O97" s="1435"/>
      <c r="P97" s="1435"/>
      <c r="Q97" s="1435"/>
      <c r="R97" s="1435"/>
      <c r="S97" s="1435"/>
      <c r="T97" s="1435"/>
      <c r="U97" s="1435"/>
      <c r="V97" s="1435"/>
      <c r="W97" s="1435"/>
      <c r="X97" s="1435"/>
      <c r="Y97" s="1435"/>
      <c r="Z97" s="1435"/>
      <c r="AA97" s="1435"/>
      <c r="AB97" s="1435"/>
      <c r="AC97" s="1435"/>
      <c r="AD97" s="1435"/>
      <c r="AE97" s="1435"/>
      <c r="AF97" s="1435"/>
      <c r="AG97" s="1435"/>
      <c r="AH97" s="1435"/>
      <c r="AI97" s="1435"/>
      <c r="AJ97" s="1435"/>
      <c r="AK97" s="1435"/>
    </row>
    <row r="98" spans="1:38">
      <c r="A98" s="4"/>
      <c r="D98" s="99"/>
      <c r="E98" s="1837" t="s">
        <v>1172</v>
      </c>
      <c r="F98" s="1837"/>
      <c r="G98" s="1837"/>
      <c r="H98" s="1837"/>
      <c r="I98" s="1837"/>
      <c r="J98" s="1837"/>
      <c r="K98" s="1837"/>
      <c r="L98" s="1837"/>
      <c r="M98" s="1837"/>
      <c r="N98" s="1837"/>
      <c r="O98" s="1837"/>
      <c r="P98" s="1837"/>
      <c r="Q98" s="1837"/>
      <c r="R98" s="1837"/>
      <c r="S98" s="1837"/>
      <c r="T98" s="1837"/>
      <c r="U98" s="1837"/>
      <c r="V98" s="1837"/>
      <c r="W98" s="1837"/>
      <c r="X98" s="1837"/>
      <c r="Y98" s="1837"/>
      <c r="Z98" s="1837"/>
      <c r="AA98" s="1837"/>
      <c r="AB98" s="1837"/>
      <c r="AC98" s="1837"/>
      <c r="AD98" s="1837"/>
      <c r="AE98" s="1837"/>
      <c r="AF98" s="1837"/>
      <c r="AG98" s="1837"/>
      <c r="AH98" s="1837"/>
      <c r="AI98" s="1837"/>
      <c r="AJ98" s="1837"/>
      <c r="AK98" s="1837"/>
    </row>
    <row r="99" spans="1:38">
      <c r="A99" s="4"/>
      <c r="D99" s="99"/>
      <c r="E99" s="1837"/>
      <c r="F99" s="1837"/>
      <c r="G99" s="1837"/>
      <c r="H99" s="1837"/>
      <c r="I99" s="1837"/>
      <c r="J99" s="1837"/>
      <c r="K99" s="1837"/>
      <c r="L99" s="1837"/>
      <c r="M99" s="1837"/>
      <c r="N99" s="1837"/>
      <c r="O99" s="1837"/>
      <c r="P99" s="1837"/>
      <c r="Q99" s="1837"/>
      <c r="R99" s="1837"/>
      <c r="S99" s="1837"/>
      <c r="T99" s="1837"/>
      <c r="U99" s="1837"/>
      <c r="V99" s="1837"/>
      <c r="W99" s="1837"/>
      <c r="X99" s="1837"/>
      <c r="Y99" s="1837"/>
      <c r="Z99" s="1837"/>
      <c r="AA99" s="1837"/>
      <c r="AB99" s="1837"/>
      <c r="AC99" s="1837"/>
      <c r="AD99" s="1837"/>
      <c r="AE99" s="1837"/>
      <c r="AF99" s="1837"/>
      <c r="AG99" s="1837"/>
      <c r="AH99" s="1837"/>
      <c r="AI99" s="1837"/>
      <c r="AJ99" s="1837"/>
      <c r="AK99" s="1837"/>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339</v>
      </c>
      <c r="C101" s="11" t="s">
        <v>420</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429</v>
      </c>
      <c r="E103" s="2"/>
      <c r="F103" s="2"/>
      <c r="G103" s="2" t="s">
        <v>1183</v>
      </c>
      <c r="H103" s="2"/>
      <c r="I103" s="2"/>
      <c r="K103" s="2"/>
    </row>
    <row r="104" spans="1:38">
      <c r="B104" s="2"/>
      <c r="C104" s="2"/>
      <c r="D104" s="2" t="s">
        <v>206</v>
      </c>
      <c r="E104" s="2" t="s">
        <v>1185</v>
      </c>
      <c r="F104" s="2"/>
      <c r="G104" s="2"/>
      <c r="H104" s="2"/>
      <c r="I104" s="2"/>
      <c r="J104" s="2"/>
      <c r="K104" s="2"/>
      <c r="L104" s="2"/>
      <c r="M104" s="2"/>
    </row>
    <row r="105" spans="1:38">
      <c r="B105" s="2"/>
      <c r="C105" s="2"/>
      <c r="E105" s="4" t="s">
        <v>112</v>
      </c>
      <c r="F105" s="98" t="s">
        <v>650</v>
      </c>
      <c r="G105" s="2"/>
      <c r="H105" s="2"/>
      <c r="I105" s="2"/>
      <c r="J105" s="2"/>
      <c r="K105" s="2"/>
    </row>
    <row r="106" spans="1:38">
      <c r="E106" s="4"/>
      <c r="F106" t="s">
        <v>652</v>
      </c>
    </row>
    <row r="107" spans="1:38">
      <c r="E107" s="4"/>
      <c r="F107" t="s">
        <v>653</v>
      </c>
    </row>
    <row r="108" spans="1:38">
      <c r="E108" s="4"/>
    </row>
    <row r="109" spans="1:38">
      <c r="E109" s="4" t="s">
        <v>113</v>
      </c>
      <c r="F109" s="98" t="s">
        <v>654</v>
      </c>
      <c r="G109" s="2"/>
      <c r="H109" s="2"/>
      <c r="I109" s="2"/>
      <c r="J109" s="2"/>
    </row>
    <row r="110" spans="1:38">
      <c r="E110" s="4"/>
      <c r="F110" t="s">
        <v>655</v>
      </c>
    </row>
    <row r="111" spans="1:38">
      <c r="E111" s="4"/>
    </row>
    <row r="112" spans="1:38">
      <c r="E112" s="4" t="s">
        <v>119</v>
      </c>
      <c r="F112" s="98" t="s">
        <v>656</v>
      </c>
      <c r="G112" s="2"/>
      <c r="H112" s="2"/>
      <c r="I112" s="2"/>
      <c r="J112" s="2"/>
      <c r="K112" s="2"/>
      <c r="L112" s="2"/>
      <c r="M112" s="2"/>
      <c r="N112" s="2"/>
      <c r="O112" s="2"/>
      <c r="P112" s="2"/>
    </row>
    <row r="113" spans="2:10">
      <c r="E113" s="4"/>
      <c r="F113" s="4" t="s">
        <v>919</v>
      </c>
    </row>
    <row r="114" spans="2:10" ht="12.75" customHeight="1">
      <c r="F114" s="4" t="s">
        <v>949</v>
      </c>
    </row>
    <row r="115" spans="2:10"/>
    <row r="116" spans="2:10">
      <c r="E116" t="s">
        <v>579</v>
      </c>
      <c r="F116" s="98" t="s">
        <v>920</v>
      </c>
    </row>
    <row r="117" spans="2:10">
      <c r="F117" s="4" t="s">
        <v>1013</v>
      </c>
      <c r="G117" s="4"/>
    </row>
    <row r="118" spans="2:10">
      <c r="F118" s="99" t="s">
        <v>1184</v>
      </c>
      <c r="G118" s="99"/>
    </row>
    <row r="119" spans="2:10">
      <c r="G119" s="99"/>
    </row>
    <row r="120" spans="2:10">
      <c r="E120" s="4" t="s">
        <v>761</v>
      </c>
      <c r="F120" s="98" t="s">
        <v>377</v>
      </c>
    </row>
    <row r="121" spans="2:10">
      <c r="E121" s="4"/>
      <c r="F121" s="4" t="s">
        <v>1005</v>
      </c>
    </row>
    <row r="122" spans="2:10">
      <c r="B122" s="2"/>
      <c r="C122" s="2"/>
      <c r="F122" s="2"/>
    </row>
    <row r="123" spans="2:10">
      <c r="B123" s="2"/>
      <c r="C123" s="2" t="s">
        <v>430</v>
      </c>
      <c r="G123" s="2" t="s">
        <v>378</v>
      </c>
    </row>
    <row r="124" spans="2:10">
      <c r="B124" s="2"/>
      <c r="C124" s="2"/>
      <c r="D124" s="2" t="s">
        <v>206</v>
      </c>
      <c r="E124" s="2" t="s">
        <v>319</v>
      </c>
      <c r="F124" s="2"/>
      <c r="G124" s="2"/>
      <c r="H124" s="2"/>
      <c r="I124" s="2"/>
      <c r="J124" s="2"/>
    </row>
    <row r="125" spans="2:10">
      <c r="B125" s="2"/>
      <c r="C125" s="2"/>
      <c r="E125" s="4" t="s">
        <v>921</v>
      </c>
      <c r="F125" s="4"/>
    </row>
    <row r="126" spans="2:10"/>
    <row r="127" spans="2:10">
      <c r="D127" s="2" t="s">
        <v>340</v>
      </c>
      <c r="E127" s="2" t="s">
        <v>575</v>
      </c>
    </row>
    <row r="128" spans="2:10">
      <c r="E128" s="4" t="s">
        <v>921</v>
      </c>
      <c r="F128" s="4"/>
    </row>
    <row r="129" spans="4:37"/>
    <row r="130" spans="4:37">
      <c r="D130" s="2" t="s">
        <v>572</v>
      </c>
      <c r="E130" s="2" t="s">
        <v>722</v>
      </c>
      <c r="G130" s="2"/>
      <c r="H130" s="2"/>
      <c r="I130" s="2"/>
      <c r="J130" s="2"/>
      <c r="K130" s="2"/>
      <c r="L130" s="2"/>
      <c r="M130" s="2"/>
      <c r="N130" s="2"/>
    </row>
    <row r="131" spans="4:37">
      <c r="D131" s="2"/>
      <c r="E131" s="119" t="s">
        <v>1254</v>
      </c>
      <c r="G131" s="2"/>
      <c r="H131" s="2"/>
      <c r="I131" s="2"/>
      <c r="J131" s="2"/>
      <c r="K131" s="2"/>
      <c r="L131" s="2"/>
      <c r="M131" s="2"/>
      <c r="N131" s="2"/>
    </row>
    <row r="132" spans="4:37" ht="12.75" customHeight="1">
      <c r="E132" s="119" t="s">
        <v>1252</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1253</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512</v>
      </c>
      <c r="E135" s="2" t="s">
        <v>515</v>
      </c>
      <c r="F135" s="2"/>
    </row>
    <row r="136" spans="4:37">
      <c r="E136" s="3" t="s">
        <v>1210</v>
      </c>
      <c r="F136" s="4"/>
    </row>
    <row r="137" spans="4:37">
      <c r="F137" s="4"/>
    </row>
    <row r="138" spans="4:37">
      <c r="D138" s="2" t="s">
        <v>302</v>
      </c>
      <c r="E138" s="2" t="s">
        <v>1993</v>
      </c>
      <c r="F138" s="2"/>
      <c r="G138" s="2"/>
      <c r="H138" s="2"/>
    </row>
    <row r="139" spans="4:37">
      <c r="E139" t="s">
        <v>112</v>
      </c>
      <c r="F139" t="s">
        <v>52</v>
      </c>
    </row>
    <row r="140" spans="4:37">
      <c r="E140" t="s">
        <v>113</v>
      </c>
      <c r="F140" t="s">
        <v>464</v>
      </c>
    </row>
    <row r="141" spans="4:37"/>
    <row r="142" spans="4:37">
      <c r="D142" s="2" t="s">
        <v>428</v>
      </c>
      <c r="E142" s="2" t="s">
        <v>1994</v>
      </c>
    </row>
    <row r="143" spans="4:37">
      <c r="E143" s="204" t="s">
        <v>1995</v>
      </c>
      <c r="F143" s="204"/>
    </row>
    <row r="144" spans="4:37"/>
    <row r="145" spans="3:7">
      <c r="C145" s="2" t="s">
        <v>6</v>
      </c>
      <c r="G145" s="2" t="s">
        <v>379</v>
      </c>
    </row>
    <row r="146" spans="3:7">
      <c r="D146" s="2" t="s">
        <v>206</v>
      </c>
      <c r="E146" s="2" t="s">
        <v>135</v>
      </c>
    </row>
    <row r="147" spans="3:7">
      <c r="E147" t="s">
        <v>795</v>
      </c>
    </row>
    <row r="148" spans="3:7"/>
    <row r="149" spans="3:7">
      <c r="D149" s="2" t="s">
        <v>340</v>
      </c>
      <c r="E149" s="2" t="s">
        <v>522</v>
      </c>
      <c r="F149" s="2"/>
    </row>
    <row r="150" spans="3:7">
      <c r="E150" s="4" t="s">
        <v>923</v>
      </c>
      <c r="F150" s="4"/>
    </row>
    <row r="151" spans="3:7"/>
    <row r="152" spans="3:7">
      <c r="D152" s="2" t="s">
        <v>572</v>
      </c>
      <c r="E152" s="2" t="s">
        <v>551</v>
      </c>
    </row>
    <row r="153" spans="3:7">
      <c r="E153" s="4" t="s">
        <v>924</v>
      </c>
    </row>
    <row r="154" spans="3:7">
      <c r="E154" s="4" t="s">
        <v>922</v>
      </c>
      <c r="G154" s="4"/>
    </row>
    <row r="155" spans="3:7"/>
    <row r="156" spans="3:7">
      <c r="D156" s="2" t="s">
        <v>512</v>
      </c>
      <c r="E156" s="2" t="s">
        <v>531</v>
      </c>
    </row>
    <row r="157" spans="3:7">
      <c r="E157" t="s">
        <v>112</v>
      </c>
      <c r="F157" s="4" t="s">
        <v>925</v>
      </c>
    </row>
    <row r="158" spans="3:7">
      <c r="E158" s="4" t="s">
        <v>113</v>
      </c>
      <c r="F158" s="4" t="s">
        <v>926</v>
      </c>
    </row>
    <row r="159" spans="3:7">
      <c r="E159" s="4" t="s">
        <v>119</v>
      </c>
      <c r="F159" t="s">
        <v>723</v>
      </c>
    </row>
    <row r="160" spans="3:7"/>
    <row r="161" spans="3:20">
      <c r="D161" s="2" t="s">
        <v>302</v>
      </c>
      <c r="E161" s="2" t="s">
        <v>380</v>
      </c>
    </row>
    <row r="162" spans="3:20">
      <c r="E162" s="4" t="s">
        <v>927</v>
      </c>
      <c r="F162" s="4"/>
    </row>
    <row r="163" spans="3:20"/>
    <row r="164" spans="3:20">
      <c r="D164" s="2" t="s">
        <v>428</v>
      </c>
      <c r="E164" s="2" t="s">
        <v>171</v>
      </c>
    </row>
    <row r="165" spans="3:20">
      <c r="E165" s="4" t="s">
        <v>929</v>
      </c>
    </row>
    <row r="166" spans="3:20">
      <c r="E166" s="4" t="s">
        <v>928</v>
      </c>
    </row>
    <row r="167" spans="3:20"/>
    <row r="168" spans="3:20">
      <c r="D168" s="2" t="s">
        <v>555</v>
      </c>
      <c r="E168" s="2" t="s">
        <v>620</v>
      </c>
    </row>
    <row r="169" spans="3:20">
      <c r="E169" t="s">
        <v>112</v>
      </c>
      <c r="F169" t="s">
        <v>724</v>
      </c>
    </row>
    <row r="170" spans="3:20">
      <c r="E170" t="s">
        <v>113</v>
      </c>
      <c r="F170" t="s">
        <v>296</v>
      </c>
    </row>
    <row r="171" spans="3:20">
      <c r="F171" s="4"/>
    </row>
    <row r="172" spans="3:20">
      <c r="C172" s="2" t="s">
        <v>7</v>
      </c>
      <c r="E172" s="4"/>
      <c r="G172" s="2" t="s">
        <v>381</v>
      </c>
    </row>
    <row r="173" spans="3:20">
      <c r="E173" s="4" t="s">
        <v>865</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575</v>
      </c>
    </row>
    <row r="176" spans="3:20">
      <c r="D176" s="2" t="s">
        <v>206</v>
      </c>
      <c r="E176" s="2" t="s">
        <v>297</v>
      </c>
      <c r="G176" s="4"/>
      <c r="H176" s="4"/>
      <c r="I176" s="4"/>
      <c r="J176" s="4"/>
      <c r="K176" s="4"/>
      <c r="L176" s="4"/>
      <c r="M176" s="4"/>
      <c r="N176" s="4"/>
    </row>
    <row r="177" spans="2:19">
      <c r="E177" t="s">
        <v>112</v>
      </c>
      <c r="F177" s="4" t="s">
        <v>930</v>
      </c>
    </row>
    <row r="178" spans="2:19">
      <c r="F178" s="120" t="s">
        <v>1145</v>
      </c>
      <c r="I178" s="120"/>
    </row>
    <row r="179" spans="2:19">
      <c r="I179" s="120"/>
    </row>
    <row r="180" spans="2:19">
      <c r="B180" s="4"/>
      <c r="C180" s="4"/>
      <c r="E180" t="s">
        <v>113</v>
      </c>
      <c r="F180" s="3" t="s">
        <v>866</v>
      </c>
      <c r="H180" s="4"/>
    </row>
    <row r="181" spans="2:19">
      <c r="B181" s="4"/>
      <c r="C181" s="4"/>
      <c r="F181" t="s">
        <v>651</v>
      </c>
      <c r="G181" t="s">
        <v>706</v>
      </c>
      <c r="H181" s="4"/>
      <c r="O181" s="4"/>
      <c r="P181" s="4"/>
      <c r="Q181" s="4"/>
      <c r="R181" s="4"/>
      <c r="S181" s="4"/>
    </row>
    <row r="182" spans="2:19">
      <c r="B182" s="4"/>
      <c r="C182" s="4"/>
      <c r="H182" s="4"/>
      <c r="O182" s="4"/>
      <c r="P182" s="4"/>
      <c r="Q182" s="4"/>
      <c r="R182" s="4"/>
      <c r="S182" s="4"/>
    </row>
    <row r="183" spans="2:19">
      <c r="D183" s="2" t="s">
        <v>340</v>
      </c>
      <c r="E183" s="2" t="s">
        <v>1006</v>
      </c>
    </row>
    <row r="184" spans="2:19">
      <c r="B184" s="4"/>
      <c r="C184" s="4"/>
      <c r="E184" s="4" t="s">
        <v>707</v>
      </c>
      <c r="F184" s="4"/>
      <c r="I184" s="4"/>
    </row>
    <row r="185" spans="2:19">
      <c r="B185" s="4"/>
      <c r="C185" s="4"/>
      <c r="E185" s="4" t="s">
        <v>1004</v>
      </c>
      <c r="F185" s="120"/>
      <c r="G185" s="4"/>
      <c r="I185" s="120"/>
    </row>
    <row r="186" spans="2:19">
      <c r="B186" s="4"/>
      <c r="C186" s="4"/>
      <c r="F186" s="120"/>
      <c r="G186" s="4"/>
      <c r="I186" s="120"/>
    </row>
    <row r="187" spans="2:19">
      <c r="B187" s="4"/>
      <c r="C187" s="4"/>
      <c r="D187" s="2" t="s">
        <v>572</v>
      </c>
      <c r="E187" s="2" t="s">
        <v>3</v>
      </c>
      <c r="F187" s="120"/>
      <c r="G187" s="4"/>
      <c r="I187" s="120"/>
    </row>
    <row r="188" spans="2:19">
      <c r="B188" s="4"/>
      <c r="C188" s="4"/>
      <c r="D188" s="2"/>
      <c r="E188" s="4" t="s">
        <v>298</v>
      </c>
      <c r="F188" s="4"/>
      <c r="G188" s="4"/>
      <c r="I188" s="120"/>
    </row>
    <row r="189" spans="2:19">
      <c r="B189" s="4"/>
      <c r="C189" s="4"/>
      <c r="F189" s="120"/>
      <c r="G189" s="4"/>
      <c r="I189" s="120"/>
    </row>
    <row r="190" spans="2:19">
      <c r="D190" s="2" t="s">
        <v>512</v>
      </c>
      <c r="E190" s="2" t="s">
        <v>111</v>
      </c>
    </row>
    <row r="191" spans="2:19">
      <c r="B191" s="4"/>
      <c r="C191" s="2"/>
      <c r="E191" t="s">
        <v>112</v>
      </c>
      <c r="F191" s="4" t="s">
        <v>1014</v>
      </c>
      <c r="G191" s="4"/>
      <c r="H191" s="4"/>
      <c r="I191" s="4"/>
    </row>
    <row r="192" spans="2:19">
      <c r="B192" s="4"/>
      <c r="C192" s="2"/>
      <c r="F192" s="4" t="s">
        <v>651</v>
      </c>
      <c r="G192" s="3" t="s">
        <v>1204</v>
      </c>
    </row>
    <row r="193" spans="2:37">
      <c r="B193" s="4"/>
      <c r="C193" s="4"/>
      <c r="F193" s="4" t="s">
        <v>347</v>
      </c>
      <c r="G193" s="3" t="s">
        <v>1205</v>
      </c>
      <c r="I193" s="4"/>
      <c r="J193" s="4"/>
      <c r="M193" s="4"/>
      <c r="N193" s="4"/>
      <c r="O193" s="4"/>
      <c r="P193" s="4"/>
      <c r="Q193" s="4"/>
      <c r="R193" s="4"/>
      <c r="S193" s="4"/>
    </row>
    <row r="194" spans="2:37">
      <c r="B194" s="4"/>
      <c r="C194" s="4"/>
      <c r="F194" s="4" t="s">
        <v>348</v>
      </c>
      <c r="G194" s="4" t="s">
        <v>931</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302</v>
      </c>
      <c r="E196" s="2" t="s">
        <v>114</v>
      </c>
      <c r="G196" s="4"/>
      <c r="H196" s="4"/>
      <c r="I196" s="4"/>
      <c r="J196" s="4"/>
      <c r="M196" s="4"/>
      <c r="N196" s="4"/>
      <c r="O196" s="4"/>
      <c r="P196" s="4"/>
      <c r="Q196" s="4"/>
      <c r="R196" s="4"/>
      <c r="S196" s="4"/>
    </row>
    <row r="197" spans="2:37">
      <c r="B197" s="4"/>
      <c r="C197" s="4"/>
      <c r="D197" s="4"/>
      <c r="E197" s="4" t="s">
        <v>932</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428</v>
      </c>
      <c r="E199" s="2" t="s">
        <v>120</v>
      </c>
      <c r="G199" s="4"/>
      <c r="H199" s="4"/>
      <c r="I199" s="4"/>
      <c r="J199" s="4"/>
      <c r="M199" s="4"/>
      <c r="N199" s="4"/>
      <c r="O199" s="4"/>
      <c r="P199" s="4"/>
      <c r="Q199" s="4"/>
      <c r="R199" s="4"/>
      <c r="S199" s="4"/>
    </row>
    <row r="200" spans="2:37">
      <c r="B200" s="4"/>
      <c r="C200" s="4"/>
      <c r="D200" s="2"/>
      <c r="E200" s="4" t="s">
        <v>112</v>
      </c>
      <c r="F200" s="4" t="s">
        <v>933</v>
      </c>
      <c r="M200" s="4"/>
      <c r="N200" s="4"/>
      <c r="O200" s="4"/>
      <c r="P200" s="4"/>
      <c r="Q200" s="4"/>
      <c r="R200" s="4"/>
      <c r="S200" s="4"/>
    </row>
    <row r="201" spans="2:37">
      <c r="B201" s="4"/>
      <c r="C201" s="4"/>
      <c r="D201" s="2"/>
      <c r="E201" s="4" t="s">
        <v>113</v>
      </c>
      <c r="F201" s="4" t="s">
        <v>1015</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708</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651</v>
      </c>
      <c r="G203" s="4" t="s">
        <v>934</v>
      </c>
      <c r="I203" s="4"/>
      <c r="J203" s="4"/>
      <c r="M203" s="4"/>
      <c r="N203" s="4"/>
      <c r="O203" s="4"/>
      <c r="P203" s="4"/>
      <c r="Q203" s="4"/>
      <c r="R203" s="4"/>
      <c r="S203" s="4"/>
      <c r="T203" s="4"/>
      <c r="U203" s="4"/>
      <c r="V203" s="4"/>
      <c r="W203" s="4"/>
      <c r="X203" s="4"/>
      <c r="Y203" s="4"/>
    </row>
    <row r="204" spans="2:37">
      <c r="B204" s="4"/>
      <c r="C204" s="4"/>
      <c r="D204" s="2"/>
      <c r="E204" s="4" t="s">
        <v>579</v>
      </c>
      <c r="F204" s="4" t="s">
        <v>935</v>
      </c>
      <c r="M204" s="4"/>
      <c r="N204" s="4"/>
      <c r="O204" s="4"/>
      <c r="P204" s="4"/>
      <c r="Q204" s="4"/>
      <c r="R204" s="4"/>
      <c r="S204" s="4"/>
    </row>
    <row r="205" spans="2:37">
      <c r="B205" s="4"/>
      <c r="C205" s="4"/>
      <c r="D205" s="2"/>
      <c r="F205" t="s">
        <v>651</v>
      </c>
      <c r="G205" s="1435" t="s">
        <v>1173</v>
      </c>
      <c r="H205" s="1435"/>
      <c r="I205" s="1435"/>
      <c r="J205" s="1435"/>
      <c r="K205" s="1435"/>
      <c r="L205" s="1435"/>
      <c r="M205" s="1435"/>
      <c r="N205" s="1435"/>
      <c r="O205" s="1435"/>
      <c r="P205" s="1435"/>
      <c r="Q205" s="1435"/>
      <c r="R205" s="1435"/>
      <c r="S205" s="1435"/>
      <c r="T205" s="1435"/>
      <c r="U205" s="1435"/>
      <c r="V205" s="1435"/>
      <c r="W205" s="1435"/>
      <c r="X205" s="1435"/>
      <c r="Y205" s="1435"/>
      <c r="Z205" s="1435"/>
      <c r="AA205" s="1435"/>
      <c r="AB205" s="1435"/>
      <c r="AC205" s="1435"/>
      <c r="AD205" s="1435"/>
      <c r="AE205" s="1435"/>
      <c r="AF205" s="1435"/>
      <c r="AG205" s="1435"/>
      <c r="AH205" s="1435"/>
      <c r="AI205" s="1435"/>
      <c r="AJ205" s="1435"/>
      <c r="AK205" s="1435"/>
    </row>
    <row r="206" spans="2:37">
      <c r="B206" s="4"/>
      <c r="C206" s="4"/>
      <c r="D206" s="2"/>
      <c r="G206" s="1435"/>
      <c r="H206" s="1435"/>
      <c r="I206" s="1435"/>
      <c r="J206" s="1435"/>
      <c r="K206" s="1435"/>
      <c r="L206" s="1435"/>
      <c r="M206" s="1435"/>
      <c r="N206" s="1435"/>
      <c r="O206" s="1435"/>
      <c r="P206" s="1435"/>
      <c r="Q206" s="1435"/>
      <c r="R206" s="1435"/>
      <c r="S206" s="1435"/>
      <c r="T206" s="1435"/>
      <c r="U206" s="1435"/>
      <c r="V206" s="1435"/>
      <c r="W206" s="1435"/>
      <c r="X206" s="1435"/>
      <c r="Y206" s="1435"/>
      <c r="Z206" s="1435"/>
      <c r="AA206" s="1435"/>
      <c r="AB206" s="1435"/>
      <c r="AC206" s="1435"/>
      <c r="AD206" s="1435"/>
      <c r="AE206" s="1435"/>
      <c r="AF206" s="1435"/>
      <c r="AG206" s="1435"/>
      <c r="AH206" s="1435"/>
      <c r="AI206" s="1435"/>
      <c r="AJ206" s="1435"/>
      <c r="AK206" s="1435"/>
    </row>
    <row r="207" spans="2:37">
      <c r="B207" s="4"/>
      <c r="C207" s="4"/>
      <c r="D207" s="2"/>
      <c r="M207" s="4"/>
      <c r="N207" s="4"/>
      <c r="O207" s="4"/>
      <c r="P207" s="4"/>
      <c r="Q207" s="4"/>
      <c r="R207" s="4"/>
      <c r="S207" s="4"/>
    </row>
    <row r="208" spans="2:37">
      <c r="B208" s="4"/>
      <c r="C208" s="4"/>
      <c r="D208" s="2" t="s">
        <v>555</v>
      </c>
      <c r="E208" s="2" t="s">
        <v>762</v>
      </c>
      <c r="G208" s="4"/>
      <c r="H208" s="4"/>
      <c r="I208" s="4"/>
      <c r="J208" s="4"/>
      <c r="M208" s="4"/>
      <c r="N208" s="4"/>
      <c r="O208" s="4"/>
      <c r="P208" s="4"/>
      <c r="Q208" s="4"/>
      <c r="R208" s="4"/>
      <c r="S208" s="4"/>
      <c r="T208" s="4"/>
      <c r="U208" s="4"/>
      <c r="V208" s="4"/>
      <c r="W208" s="4"/>
    </row>
    <row r="209" spans="1:38">
      <c r="B209" s="4"/>
      <c r="C209" s="4"/>
      <c r="E209" s="4" t="s">
        <v>709</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553</v>
      </c>
      <c r="E211" s="2" t="s">
        <v>247</v>
      </c>
      <c r="F211" s="4"/>
      <c r="G211" s="4"/>
      <c r="I211" s="4"/>
      <c r="J211" s="4"/>
      <c r="M211" s="4"/>
      <c r="N211" s="4"/>
      <c r="O211" s="4"/>
      <c r="P211" s="4"/>
      <c r="Q211" s="4"/>
      <c r="R211" s="4"/>
      <c r="S211" s="4"/>
      <c r="T211" s="4"/>
      <c r="U211" s="4"/>
      <c r="V211" s="4"/>
      <c r="W211" s="4"/>
    </row>
    <row r="212" spans="1:38">
      <c r="B212" s="4"/>
      <c r="C212" s="4"/>
      <c r="D212" s="2"/>
      <c r="E212" s="4" t="s">
        <v>298</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710</v>
      </c>
      <c r="D214" s="2"/>
      <c r="G214" s="2" t="s">
        <v>807</v>
      </c>
      <c r="M214" s="4"/>
      <c r="N214" s="4"/>
      <c r="O214" s="4"/>
      <c r="P214" s="4"/>
      <c r="Q214" s="4"/>
      <c r="R214" s="4"/>
      <c r="S214" s="4"/>
    </row>
    <row r="215" spans="1:38">
      <c r="B215" s="4"/>
      <c r="C215" s="4"/>
      <c r="E215" t="s">
        <v>112</v>
      </c>
      <c r="F215" s="4" t="s">
        <v>806</v>
      </c>
      <c r="G215" s="4"/>
      <c r="H215" s="4"/>
      <c r="I215" s="4"/>
      <c r="L215" s="4"/>
      <c r="N215" s="4"/>
      <c r="O215" s="4"/>
      <c r="P215" s="4"/>
      <c r="Q215" s="4"/>
      <c r="R215" s="4"/>
      <c r="S215" s="4"/>
    </row>
    <row r="216" spans="1:38">
      <c r="B216" s="4"/>
      <c r="C216" s="4"/>
      <c r="F216" s="4" t="s">
        <v>651</v>
      </c>
      <c r="G216" s="4" t="s">
        <v>713</v>
      </c>
      <c r="I216" s="4"/>
      <c r="M216" s="4"/>
      <c r="N216" s="4"/>
      <c r="O216" s="4"/>
      <c r="P216" s="4"/>
      <c r="Q216" s="4"/>
      <c r="R216" s="4"/>
      <c r="S216" s="4"/>
    </row>
    <row r="217" spans="1:38">
      <c r="B217" s="4"/>
      <c r="C217" s="4"/>
      <c r="E217" t="s">
        <v>113</v>
      </c>
      <c r="F217" s="4" t="s">
        <v>399</v>
      </c>
      <c r="G217" s="4"/>
      <c r="H217" s="4"/>
      <c r="I217" s="4"/>
      <c r="M217" s="4"/>
      <c r="N217" s="4"/>
      <c r="O217" s="4"/>
      <c r="P217" s="4"/>
      <c r="Q217" s="4"/>
      <c r="R217" s="4"/>
      <c r="S217" s="4"/>
    </row>
    <row r="218" spans="1:38">
      <c r="B218" s="4"/>
      <c r="C218" s="4"/>
      <c r="F218" s="4" t="s">
        <v>651</v>
      </c>
      <c r="G218" s="4" t="s">
        <v>711</v>
      </c>
      <c r="I218" s="4"/>
      <c r="M218" s="4"/>
      <c r="N218" s="4"/>
      <c r="O218" s="4"/>
      <c r="P218" s="4"/>
      <c r="Q218" s="4"/>
      <c r="R218" s="4"/>
      <c r="S218" s="4"/>
    </row>
    <row r="219" spans="1:38">
      <c r="B219" s="4"/>
      <c r="C219" s="4"/>
      <c r="F219" s="4"/>
      <c r="G219" s="4" t="s">
        <v>712</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178</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429</v>
      </c>
      <c r="D223" s="4"/>
      <c r="E223" s="4"/>
      <c r="F223" s="4"/>
      <c r="G223" s="2" t="s">
        <v>450</v>
      </c>
      <c r="I223" s="4"/>
      <c r="J223" s="4"/>
      <c r="K223" s="4"/>
      <c r="M223" s="4"/>
      <c r="N223" s="4"/>
      <c r="O223" s="4"/>
      <c r="P223" s="4"/>
      <c r="Q223" s="4"/>
      <c r="R223" s="4"/>
      <c r="S223" s="4"/>
    </row>
    <row r="224" spans="1:38">
      <c r="B224" s="2"/>
      <c r="E224" s="4" t="s">
        <v>112</v>
      </c>
      <c r="F224" s="4" t="s">
        <v>714</v>
      </c>
      <c r="G224" s="4"/>
      <c r="I224" s="4"/>
      <c r="J224" s="4"/>
      <c r="K224" s="4"/>
      <c r="L224" s="4"/>
      <c r="M224" s="4"/>
      <c r="N224" s="4"/>
      <c r="O224" s="4"/>
      <c r="P224" s="4"/>
      <c r="Q224" s="4"/>
      <c r="R224" s="4"/>
      <c r="S224" s="4"/>
    </row>
    <row r="225" spans="2:19">
      <c r="B225" s="2"/>
      <c r="E225" s="4" t="s">
        <v>113</v>
      </c>
      <c r="F225" s="4" t="s">
        <v>678</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430</v>
      </c>
      <c r="D227" s="4"/>
      <c r="E227" s="4"/>
      <c r="F227" s="4"/>
      <c r="G227" s="2" t="s">
        <v>21</v>
      </c>
      <c r="I227" s="4"/>
      <c r="J227" s="4"/>
      <c r="K227" s="4"/>
      <c r="L227" s="4"/>
      <c r="M227" s="4"/>
      <c r="N227" s="4"/>
      <c r="O227" s="4"/>
      <c r="P227" s="4"/>
      <c r="Q227" s="4"/>
      <c r="R227" s="4"/>
      <c r="S227" s="4"/>
    </row>
    <row r="228" spans="2:19">
      <c r="B228" s="2"/>
      <c r="E228" s="4" t="s">
        <v>112</v>
      </c>
      <c r="F228" s="4" t="s">
        <v>715</v>
      </c>
      <c r="G228" s="4"/>
      <c r="I228" s="4"/>
      <c r="J228" s="4"/>
      <c r="K228" s="4"/>
      <c r="L228" s="4"/>
      <c r="M228" s="4"/>
      <c r="N228" s="4"/>
      <c r="O228" s="4"/>
      <c r="P228" s="4"/>
      <c r="Q228" s="4"/>
      <c r="R228" s="4"/>
      <c r="S228" s="4"/>
    </row>
    <row r="229" spans="2:19">
      <c r="B229" s="2"/>
      <c r="E229" s="4"/>
      <c r="F229" s="4" t="s">
        <v>716</v>
      </c>
      <c r="G229" s="4"/>
      <c r="H229" s="4"/>
      <c r="I229" s="4"/>
      <c r="J229" s="4"/>
      <c r="K229" s="4"/>
      <c r="L229" s="4"/>
      <c r="M229" s="4"/>
      <c r="N229" s="4"/>
      <c r="O229" s="4"/>
      <c r="P229" s="4"/>
      <c r="Q229" s="4"/>
      <c r="R229" s="4"/>
      <c r="S229" s="4"/>
    </row>
    <row r="230" spans="2:19">
      <c r="B230" s="2"/>
      <c r="D230" s="4"/>
      <c r="E230" s="4" t="s">
        <v>113</v>
      </c>
      <c r="F230" s="4" t="s">
        <v>678</v>
      </c>
      <c r="G230" s="4"/>
      <c r="I230" s="4"/>
      <c r="J230" s="4"/>
      <c r="K230" s="4"/>
      <c r="L230" s="4"/>
      <c r="M230" s="4"/>
      <c r="N230" s="4"/>
      <c r="O230" s="4"/>
      <c r="P230" s="4"/>
      <c r="Q230" s="4"/>
      <c r="R230" s="4"/>
      <c r="S230" s="4"/>
    </row>
    <row r="231" spans="2:19">
      <c r="B231" s="2"/>
      <c r="E231" s="4" t="s">
        <v>119</v>
      </c>
      <c r="F231" s="98" t="s">
        <v>950</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326</v>
      </c>
      <c r="F233" s="4"/>
      <c r="J233" s="4"/>
      <c r="K233" s="4"/>
      <c r="M233" s="4"/>
      <c r="N233" s="4"/>
      <c r="O233" s="4"/>
      <c r="P233" s="4"/>
      <c r="Q233" s="4"/>
      <c r="R233" s="4"/>
      <c r="S233" s="4"/>
    </row>
    <row r="234" spans="2:19">
      <c r="B234" s="4"/>
      <c r="C234" s="4"/>
      <c r="E234" t="s">
        <v>112</v>
      </c>
      <c r="F234" s="4" t="s">
        <v>326</v>
      </c>
      <c r="G234" s="2"/>
      <c r="H234" s="2"/>
      <c r="I234" s="2"/>
      <c r="L234" s="2"/>
      <c r="M234" s="2"/>
      <c r="N234" s="2"/>
      <c r="O234" s="2"/>
      <c r="P234" s="2"/>
      <c r="Q234" s="2"/>
      <c r="R234" s="4"/>
      <c r="S234" s="4"/>
    </row>
    <row r="235" spans="2:19">
      <c r="B235" s="4"/>
      <c r="C235" s="4"/>
      <c r="F235" s="4" t="s">
        <v>651</v>
      </c>
      <c r="G235" s="4" t="s">
        <v>717</v>
      </c>
      <c r="I235" s="4"/>
      <c r="M235" s="4"/>
      <c r="N235" s="4"/>
      <c r="O235" s="4"/>
      <c r="P235" s="4"/>
      <c r="Q235" s="4"/>
      <c r="R235" s="4"/>
      <c r="S235" s="4"/>
    </row>
    <row r="236" spans="2:19">
      <c r="B236" s="4"/>
      <c r="C236" s="4"/>
      <c r="F236" s="4"/>
      <c r="G236" s="4" t="s">
        <v>796</v>
      </c>
      <c r="I236" s="4"/>
      <c r="M236" s="4"/>
      <c r="N236" s="4"/>
      <c r="O236" s="4"/>
      <c r="P236" s="4"/>
      <c r="Q236" s="4"/>
      <c r="R236" s="4"/>
      <c r="S236" s="4"/>
    </row>
    <row r="237" spans="2:19">
      <c r="B237" s="4"/>
      <c r="C237" s="4"/>
      <c r="E237" t="s">
        <v>113</v>
      </c>
      <c r="F237" s="136" t="s">
        <v>443</v>
      </c>
      <c r="G237" s="2"/>
      <c r="H237" s="2"/>
      <c r="I237" s="2"/>
      <c r="L237" s="2"/>
      <c r="M237" s="2"/>
      <c r="N237" s="2"/>
      <c r="O237" s="2"/>
      <c r="P237" s="2"/>
      <c r="Q237" s="2"/>
      <c r="R237" s="2"/>
      <c r="S237" s="2"/>
    </row>
    <row r="238" spans="2:19">
      <c r="B238" s="4"/>
      <c r="C238" s="4"/>
      <c r="F238" s="4" t="s">
        <v>651</v>
      </c>
      <c r="G238" s="4" t="s">
        <v>720</v>
      </c>
      <c r="I238" s="4"/>
      <c r="M238" s="4"/>
      <c r="N238" s="4"/>
      <c r="O238" s="4"/>
      <c r="P238" s="4"/>
      <c r="Q238" s="4"/>
      <c r="R238" s="4"/>
      <c r="S238" s="4"/>
    </row>
    <row r="239" spans="2:19">
      <c r="B239" s="4"/>
      <c r="C239" s="4"/>
      <c r="F239" s="4"/>
      <c r="G239" s="4" t="s">
        <v>685</v>
      </c>
      <c r="H239" s="4" t="s">
        <v>939</v>
      </c>
      <c r="I239" s="4"/>
      <c r="M239" s="4"/>
      <c r="N239" s="4"/>
      <c r="O239" s="4"/>
      <c r="P239" s="4"/>
      <c r="Q239" s="4"/>
      <c r="R239" s="4"/>
      <c r="S239" s="4"/>
    </row>
    <row r="240" spans="2:19">
      <c r="B240" s="4"/>
      <c r="C240" s="4"/>
      <c r="F240" s="4" t="s">
        <v>347</v>
      </c>
      <c r="G240" s="136" t="s">
        <v>721</v>
      </c>
      <c r="I240" s="4"/>
      <c r="M240" s="4"/>
      <c r="N240" s="4"/>
      <c r="O240" s="4"/>
      <c r="P240" s="4"/>
      <c r="Q240" s="4"/>
      <c r="R240" s="4"/>
      <c r="S240" s="4"/>
    </row>
    <row r="241" spans="2:21">
      <c r="B241" s="4"/>
      <c r="C241" s="4"/>
      <c r="E241" t="s">
        <v>119</v>
      </c>
      <c r="F241" s="4" t="s">
        <v>651</v>
      </c>
      <c r="G241" s="136" t="s">
        <v>940</v>
      </c>
      <c r="I241" s="4"/>
      <c r="M241" s="4"/>
      <c r="N241" s="4"/>
      <c r="O241" s="4"/>
      <c r="P241" s="4"/>
      <c r="Q241" s="4"/>
      <c r="R241" s="4"/>
      <c r="S241" s="4"/>
    </row>
    <row r="242" spans="2:21">
      <c r="B242" s="4"/>
      <c r="C242" s="4"/>
      <c r="F242" s="4" t="s">
        <v>347</v>
      </c>
      <c r="G242" s="136" t="s">
        <v>941</v>
      </c>
      <c r="I242" s="4"/>
      <c r="M242" s="4"/>
      <c r="N242" s="4"/>
      <c r="O242" s="4"/>
      <c r="P242" s="4"/>
      <c r="Q242" s="4"/>
      <c r="R242" s="4"/>
      <c r="S242" s="4"/>
    </row>
    <row r="243" spans="2:21">
      <c r="B243" s="4"/>
      <c r="C243" s="4"/>
      <c r="F243" s="4" t="s">
        <v>348</v>
      </c>
      <c r="G243" s="136" t="s">
        <v>718</v>
      </c>
      <c r="I243" s="4"/>
      <c r="M243" s="4"/>
      <c r="N243" s="4"/>
      <c r="O243" s="4"/>
      <c r="P243" s="4"/>
      <c r="Q243" s="4"/>
      <c r="R243" s="4"/>
      <c r="S243" s="4"/>
    </row>
    <row r="244" spans="2:21">
      <c r="B244" s="4"/>
      <c r="C244" s="4"/>
      <c r="F244" s="4"/>
      <c r="G244" s="136" t="s">
        <v>719</v>
      </c>
      <c r="I244" s="4"/>
      <c r="M244" s="4"/>
      <c r="N244" s="4"/>
      <c r="O244" s="4"/>
      <c r="P244" s="4"/>
      <c r="Q244" s="4"/>
      <c r="R244" s="4"/>
      <c r="S244" s="4"/>
    </row>
    <row r="245" spans="2:21">
      <c r="B245" s="4"/>
      <c r="C245" s="4"/>
      <c r="D245" s="2"/>
      <c r="E245" s="4" t="s">
        <v>119</v>
      </c>
      <c r="F245" s="4" t="s">
        <v>327</v>
      </c>
      <c r="H245" s="4"/>
      <c r="I245" s="4"/>
      <c r="M245" s="4"/>
      <c r="N245" s="4"/>
      <c r="O245" s="4"/>
      <c r="P245" s="4"/>
      <c r="Q245" s="4"/>
      <c r="R245" s="4"/>
      <c r="S245" s="4"/>
    </row>
    <row r="246" spans="2:21">
      <c r="B246" s="4"/>
      <c r="C246" s="4"/>
      <c r="D246" s="2"/>
      <c r="E246" s="2"/>
      <c r="F246" t="s">
        <v>651</v>
      </c>
      <c r="G246" s="4" t="s">
        <v>431</v>
      </c>
      <c r="I246" s="4"/>
      <c r="M246" s="4"/>
      <c r="N246" s="4"/>
      <c r="O246" s="4"/>
      <c r="P246" s="4"/>
      <c r="Q246" s="4"/>
      <c r="R246" s="4"/>
      <c r="S246" s="4"/>
    </row>
    <row r="247" spans="2:21">
      <c r="B247" s="4"/>
      <c r="C247" s="4"/>
      <c r="D247" s="2"/>
      <c r="E247" s="2"/>
      <c r="F247" s="4"/>
      <c r="G247" s="4" t="s">
        <v>432</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382</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1146</v>
      </c>
      <c r="G251" s="4"/>
      <c r="I251" s="120"/>
      <c r="J251" s="4"/>
      <c r="K251" s="4"/>
      <c r="L251" s="4"/>
      <c r="M251" s="4"/>
      <c r="N251" s="4"/>
      <c r="O251" s="4"/>
      <c r="P251" s="4"/>
      <c r="Q251" s="4"/>
      <c r="R251" s="4"/>
      <c r="S251" s="4"/>
      <c r="T251" s="4"/>
      <c r="U251" s="4"/>
    </row>
    <row r="252" spans="2:21">
      <c r="B252" s="2"/>
      <c r="C252" s="2"/>
      <c r="E252" s="4" t="s">
        <v>113</v>
      </c>
      <c r="F252" s="4" t="s">
        <v>936</v>
      </c>
      <c r="I252" s="4"/>
      <c r="J252" s="4"/>
      <c r="K252" s="4"/>
      <c r="L252" s="4"/>
      <c r="M252" s="4"/>
      <c r="N252" s="4"/>
      <c r="O252" s="4"/>
      <c r="P252" s="4"/>
      <c r="Q252" s="4"/>
      <c r="R252" s="4"/>
      <c r="S252" s="4"/>
      <c r="T252" s="4"/>
      <c r="U252" s="4"/>
    </row>
    <row r="253" spans="2:21">
      <c r="B253" s="2"/>
      <c r="C253" s="2"/>
      <c r="E253" s="4"/>
      <c r="F253" s="204" t="s">
        <v>651</v>
      </c>
      <c r="G253" s="204" t="s">
        <v>809</v>
      </c>
      <c r="I253" s="3"/>
      <c r="K253" s="3"/>
      <c r="L253" s="3"/>
      <c r="M253" s="3"/>
      <c r="N253" s="3"/>
      <c r="O253" s="3"/>
      <c r="Q253" s="4"/>
      <c r="R253" s="4"/>
      <c r="S253" s="4"/>
      <c r="T253" s="4"/>
      <c r="U253" s="4"/>
    </row>
    <row r="254" spans="2:21">
      <c r="B254" s="2"/>
      <c r="C254" s="2"/>
      <c r="E254" s="4"/>
      <c r="F254" s="204"/>
      <c r="G254" s="204" t="s">
        <v>810</v>
      </c>
      <c r="I254" s="3"/>
      <c r="K254" s="3"/>
      <c r="L254" s="3"/>
      <c r="M254" s="3"/>
      <c r="N254" s="3"/>
      <c r="O254" s="3"/>
      <c r="P254" s="3"/>
    </row>
    <row r="255" spans="2:21">
      <c r="B255" s="2"/>
      <c r="C255" s="2"/>
      <c r="E255" s="4"/>
      <c r="F255" s="204" t="s">
        <v>347</v>
      </c>
      <c r="G255" s="204" t="s">
        <v>942</v>
      </c>
      <c r="I255" s="4"/>
      <c r="K255" s="4"/>
      <c r="L255" s="4"/>
      <c r="M255" s="4"/>
      <c r="N255" s="4"/>
      <c r="O255" s="4"/>
      <c r="P255" s="3"/>
    </row>
    <row r="256" spans="2:21">
      <c r="B256" s="2"/>
      <c r="C256" s="2"/>
      <c r="E256" s="4"/>
      <c r="F256" s="204"/>
      <c r="G256" s="204" t="s">
        <v>868</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206</v>
      </c>
      <c r="E258" s="2" t="s">
        <v>383</v>
      </c>
      <c r="G258" s="4"/>
      <c r="H258" s="4"/>
      <c r="I258" s="4"/>
      <c r="J258" s="4"/>
      <c r="K258" s="4"/>
      <c r="L258" s="4"/>
      <c r="M258" s="4"/>
      <c r="N258" s="4"/>
      <c r="O258" s="4"/>
      <c r="P258" s="4"/>
      <c r="Q258" s="4"/>
      <c r="R258" s="4"/>
      <c r="S258" s="4"/>
    </row>
    <row r="259" spans="2:21">
      <c r="B259" s="2"/>
      <c r="C259" s="2"/>
      <c r="E259" s="4" t="s">
        <v>112</v>
      </c>
      <c r="F259" s="4" t="s">
        <v>252</v>
      </c>
      <c r="G259" s="4"/>
      <c r="I259" s="4"/>
      <c r="J259" s="4"/>
      <c r="K259" s="4"/>
      <c r="L259" s="4"/>
      <c r="M259" s="4"/>
      <c r="N259" s="4"/>
      <c r="O259" s="4"/>
      <c r="P259" s="4"/>
      <c r="Q259" s="4"/>
      <c r="R259" s="4"/>
      <c r="S259" s="4"/>
    </row>
    <row r="260" spans="2:21">
      <c r="B260" s="2"/>
      <c r="C260" s="2"/>
      <c r="E260" s="4" t="s">
        <v>113</v>
      </c>
      <c r="F260" s="4" t="s">
        <v>801</v>
      </c>
      <c r="G260" s="4"/>
      <c r="I260" s="4"/>
      <c r="J260" s="4"/>
      <c r="K260" s="4"/>
      <c r="L260" s="4"/>
      <c r="M260" s="4"/>
      <c r="N260" s="4"/>
      <c r="O260" s="4"/>
      <c r="P260" s="4"/>
      <c r="Q260" s="4"/>
      <c r="R260" s="4"/>
      <c r="S260" s="4"/>
    </row>
    <row r="261" spans="2:21">
      <c r="B261" s="2"/>
      <c r="C261" s="2"/>
      <c r="E261" s="4" t="s">
        <v>119</v>
      </c>
      <c r="F261" s="4" t="s">
        <v>253</v>
      </c>
      <c r="I261" s="4"/>
      <c r="J261" s="4"/>
      <c r="K261" s="4"/>
      <c r="L261" s="4"/>
      <c r="M261" s="4"/>
      <c r="N261" s="4"/>
      <c r="O261" s="4"/>
      <c r="P261" s="4"/>
      <c r="Q261" s="4"/>
      <c r="R261" s="4"/>
      <c r="S261" s="4"/>
    </row>
    <row r="262" spans="2:21">
      <c r="B262" s="2"/>
      <c r="C262" s="2"/>
      <c r="E262" s="2"/>
      <c r="F262" s="4" t="s">
        <v>802</v>
      </c>
      <c r="I262" s="4"/>
      <c r="J262" s="4"/>
      <c r="K262" s="4"/>
      <c r="L262" s="4"/>
      <c r="M262" s="4"/>
      <c r="N262" s="4"/>
      <c r="O262" s="4"/>
      <c r="P262" s="4"/>
      <c r="Q262" s="4"/>
      <c r="R262" s="4"/>
      <c r="S262" s="4"/>
    </row>
    <row r="263" spans="2:21">
      <c r="B263" s="2"/>
      <c r="C263" s="2"/>
      <c r="E263" s="4" t="s">
        <v>579</v>
      </c>
      <c r="F263" s="204" t="s">
        <v>811</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340</v>
      </c>
      <c r="E265" s="2" t="s">
        <v>72</v>
      </c>
      <c r="G265" s="4"/>
      <c r="H265" s="4"/>
      <c r="I265" s="4"/>
      <c r="J265" s="4"/>
      <c r="K265" s="4"/>
      <c r="L265" s="4"/>
      <c r="M265" s="4"/>
      <c r="N265" s="4"/>
      <c r="O265" s="4"/>
      <c r="P265" s="4"/>
      <c r="Q265" s="4"/>
      <c r="R265" s="4"/>
      <c r="S265" s="4"/>
    </row>
    <row r="266" spans="2:21">
      <c r="B266" s="2"/>
      <c r="C266" s="2"/>
      <c r="E266" s="4" t="s">
        <v>1016</v>
      </c>
      <c r="F266" s="4"/>
      <c r="G266" s="4"/>
      <c r="O266" s="4"/>
      <c r="P266" s="4"/>
      <c r="Q266" s="4"/>
      <c r="R266" s="4"/>
      <c r="S266" s="4"/>
    </row>
    <row r="267" spans="2:21">
      <c r="B267" s="2"/>
      <c r="C267" s="2"/>
      <c r="E267" s="2"/>
      <c r="G267" s="4"/>
      <c r="H267" s="4"/>
      <c r="O267" s="4"/>
      <c r="P267" s="4"/>
      <c r="Q267" s="4"/>
      <c r="R267" s="4"/>
      <c r="S267" s="4"/>
    </row>
    <row r="268" spans="2:21">
      <c r="B268" s="2"/>
      <c r="C268" s="2"/>
      <c r="D268" s="2" t="s">
        <v>572</v>
      </c>
      <c r="E268" s="2" t="s">
        <v>286</v>
      </c>
      <c r="G268" s="4"/>
    </row>
    <row r="269" spans="2:21">
      <c r="B269" s="2"/>
      <c r="C269" s="2"/>
      <c r="E269" s="4" t="s">
        <v>254</v>
      </c>
      <c r="F269" s="4"/>
      <c r="G269" s="4"/>
      <c r="J269" s="4"/>
      <c r="K269" s="4"/>
      <c r="L269" s="4"/>
      <c r="M269" s="4"/>
      <c r="N269" s="4"/>
    </row>
    <row r="270" spans="2:21">
      <c r="B270" s="2"/>
      <c r="C270" s="2"/>
      <c r="E270" s="4" t="s">
        <v>943</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512</v>
      </c>
      <c r="E272" s="2" t="s">
        <v>610</v>
      </c>
      <c r="G272" s="4"/>
      <c r="H272" s="4"/>
      <c r="J272" s="4"/>
      <c r="K272" s="4"/>
      <c r="L272" s="4"/>
      <c r="M272" s="4"/>
      <c r="N272" s="4"/>
      <c r="O272" s="4"/>
      <c r="P272" s="4"/>
      <c r="Q272" s="4"/>
      <c r="R272" s="4"/>
      <c r="S272" s="4"/>
      <c r="T272" s="4"/>
      <c r="U272" s="4"/>
    </row>
    <row r="273" spans="2:23">
      <c r="B273" s="2"/>
      <c r="D273" s="4"/>
      <c r="E273" s="4" t="s">
        <v>1009</v>
      </c>
      <c r="J273" s="4"/>
      <c r="K273" s="4"/>
      <c r="L273" s="4"/>
      <c r="M273" s="4"/>
      <c r="N273" s="4"/>
      <c r="O273" s="4"/>
      <c r="P273" s="4"/>
      <c r="Q273" s="4"/>
      <c r="R273" s="4"/>
      <c r="S273" s="4"/>
      <c r="T273" s="4"/>
      <c r="U273" s="4"/>
    </row>
    <row r="274" spans="2:23">
      <c r="B274" s="2"/>
      <c r="D274" s="4"/>
      <c r="E274" s="4" t="s">
        <v>937</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302</v>
      </c>
      <c r="E276" s="2" t="s">
        <v>287</v>
      </c>
      <c r="K276" s="4"/>
      <c r="L276" s="4"/>
      <c r="M276" s="4"/>
      <c r="N276" s="4"/>
      <c r="O276" s="4"/>
      <c r="P276" s="4"/>
      <c r="Q276" s="4"/>
      <c r="R276" s="4"/>
      <c r="S276" s="4"/>
      <c r="T276" s="4"/>
      <c r="U276" s="4"/>
    </row>
    <row r="277" spans="2:23">
      <c r="B277" s="2"/>
      <c r="D277" s="2"/>
      <c r="E277" t="s">
        <v>255</v>
      </c>
      <c r="K277" s="4"/>
      <c r="L277" s="4"/>
      <c r="M277" s="4"/>
      <c r="N277" s="4"/>
      <c r="O277" s="4"/>
      <c r="P277" s="4"/>
      <c r="Q277" s="4"/>
      <c r="R277" s="4"/>
      <c r="S277" s="4"/>
    </row>
    <row r="278" spans="2:23">
      <c r="B278" s="2"/>
      <c r="D278" s="4"/>
      <c r="E278" s="4" t="s">
        <v>944</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428</v>
      </c>
      <c r="E280" s="2" t="s">
        <v>424</v>
      </c>
      <c r="G280" s="4"/>
      <c r="H280" s="4"/>
      <c r="I280" s="4"/>
      <c r="J280" s="4"/>
      <c r="K280" s="4"/>
      <c r="L280" s="4"/>
      <c r="M280" s="4"/>
      <c r="O280" s="4"/>
      <c r="P280" s="4"/>
      <c r="Q280" s="4"/>
      <c r="R280" s="4"/>
      <c r="S280" s="4"/>
    </row>
    <row r="281" spans="2:23">
      <c r="B281" s="2"/>
      <c r="D281" s="2"/>
      <c r="E281" t="s">
        <v>256</v>
      </c>
      <c r="G281" s="4"/>
      <c r="H281" s="4"/>
      <c r="I281" s="4"/>
      <c r="J281" s="4"/>
      <c r="K281" s="4"/>
      <c r="L281" s="4"/>
      <c r="M281" s="4"/>
      <c r="P281" s="4"/>
      <c r="Q281" s="4"/>
      <c r="R281" s="4"/>
      <c r="S281" s="4"/>
    </row>
    <row r="282" spans="2:23">
      <c r="B282" s="2"/>
      <c r="D282" s="2"/>
      <c r="E282" t="s">
        <v>257</v>
      </c>
      <c r="G282" s="4"/>
      <c r="H282" s="4"/>
      <c r="I282" s="4"/>
      <c r="J282" s="4"/>
      <c r="K282" s="4"/>
      <c r="L282" s="4"/>
      <c r="M282" s="4"/>
      <c r="P282" s="4"/>
      <c r="Q282" s="4"/>
      <c r="R282" s="4"/>
      <c r="S282" s="4"/>
    </row>
    <row r="283" spans="2:23">
      <c r="B283" s="2"/>
      <c r="D283" s="2"/>
      <c r="E283" s="120" t="s">
        <v>945</v>
      </c>
      <c r="F283" s="120"/>
      <c r="G283" s="4"/>
      <c r="H283" s="120"/>
      <c r="I283" s="120"/>
      <c r="J283" s="4"/>
      <c r="K283" s="4"/>
      <c r="L283" s="4"/>
      <c r="M283" s="4"/>
      <c r="P283" s="4"/>
      <c r="Q283" s="4"/>
      <c r="R283" s="4"/>
      <c r="S283" s="4"/>
    </row>
    <row r="284" spans="2:23">
      <c r="B284" s="2"/>
      <c r="D284" s="2"/>
      <c r="E284" s="445" t="s">
        <v>867</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555</v>
      </c>
      <c r="E286" s="2" t="s">
        <v>556</v>
      </c>
      <c r="K286" s="4"/>
      <c r="L286" s="4"/>
      <c r="M286" s="4"/>
      <c r="N286" s="4"/>
    </row>
    <row r="287" spans="2:23">
      <c r="B287" s="2"/>
      <c r="D287" s="4"/>
      <c r="E287" s="4" t="s">
        <v>112</v>
      </c>
      <c r="F287" s="4" t="s">
        <v>557</v>
      </c>
      <c r="G287" s="4"/>
      <c r="O287" s="4"/>
      <c r="P287" s="4"/>
      <c r="Q287" s="4"/>
      <c r="R287" s="4"/>
      <c r="S287" s="4"/>
      <c r="T287" s="4"/>
      <c r="U287" s="4"/>
      <c r="V287" s="4"/>
      <c r="W287" s="4"/>
    </row>
    <row r="288" spans="2:23">
      <c r="B288" s="2"/>
      <c r="D288" s="4"/>
      <c r="E288" s="4"/>
      <c r="F288" s="120" t="s">
        <v>1147</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558</v>
      </c>
      <c r="G289" s="4"/>
      <c r="L289" s="4"/>
      <c r="M289" s="4"/>
      <c r="N289" s="4"/>
      <c r="O289" s="4"/>
      <c r="P289" s="4"/>
      <c r="Q289" s="4"/>
      <c r="R289" s="4"/>
      <c r="S289" s="4"/>
      <c r="T289" s="4"/>
      <c r="U289" s="4"/>
      <c r="V289" s="4"/>
      <c r="W289" s="4"/>
    </row>
    <row r="290" spans="2:23">
      <c r="B290" s="2"/>
      <c r="D290" s="4"/>
      <c r="E290" s="4" t="s">
        <v>119</v>
      </c>
      <c r="F290" s="4" t="s">
        <v>258</v>
      </c>
      <c r="G290" s="4"/>
      <c r="H290" s="4"/>
      <c r="K290" s="4"/>
      <c r="L290" s="4"/>
      <c r="M290" s="4"/>
      <c r="N290" s="4"/>
      <c r="O290" s="4"/>
      <c r="P290" s="4"/>
      <c r="Q290" s="4"/>
      <c r="R290" s="4"/>
      <c r="S290" s="4"/>
      <c r="T290" s="4"/>
      <c r="U290" s="4"/>
      <c r="V290" s="4"/>
      <c r="W290" s="4"/>
    </row>
    <row r="291" spans="2:23">
      <c r="B291" s="2"/>
      <c r="D291" s="4"/>
      <c r="E291" s="4"/>
      <c r="F291" s="4" t="s">
        <v>651</v>
      </c>
      <c r="G291" s="4" t="s">
        <v>259</v>
      </c>
      <c r="K291" s="4"/>
      <c r="L291" s="4"/>
      <c r="M291" s="4"/>
      <c r="N291" s="4"/>
      <c r="O291" s="4"/>
      <c r="P291" s="4"/>
      <c r="Q291" s="4"/>
      <c r="R291" s="4"/>
      <c r="S291" s="4"/>
      <c r="T291" s="4"/>
      <c r="U291" s="4"/>
      <c r="V291" s="4"/>
      <c r="W291" s="4"/>
    </row>
    <row r="292" spans="2:23">
      <c r="B292" s="2"/>
      <c r="D292" s="4"/>
      <c r="E292" s="4"/>
      <c r="F292" s="4" t="s">
        <v>347</v>
      </c>
      <c r="G292" s="4" t="s">
        <v>938</v>
      </c>
      <c r="H292" s="4"/>
      <c r="K292" s="4"/>
      <c r="L292" s="4"/>
      <c r="M292" s="4"/>
      <c r="N292" s="4"/>
      <c r="O292" s="4"/>
      <c r="P292" s="4"/>
      <c r="Q292" s="4"/>
      <c r="R292" s="4"/>
      <c r="S292" s="4"/>
      <c r="T292" s="4"/>
      <c r="U292" s="4"/>
      <c r="V292" s="4"/>
      <c r="W292" s="4"/>
    </row>
    <row r="293" spans="2:23">
      <c r="B293" s="2"/>
      <c r="D293" s="4"/>
      <c r="E293" s="4"/>
      <c r="F293" s="4" t="s">
        <v>348</v>
      </c>
      <c r="G293" s="4" t="s">
        <v>559</v>
      </c>
      <c r="K293" s="4"/>
      <c r="L293" s="4"/>
      <c r="M293" s="4"/>
      <c r="N293" s="4"/>
      <c r="O293" s="4"/>
      <c r="P293" s="4"/>
      <c r="Q293" s="4"/>
      <c r="R293" s="4"/>
      <c r="S293" s="4"/>
      <c r="T293" s="4"/>
      <c r="U293" s="4"/>
      <c r="V293" s="4"/>
      <c r="W293" s="4"/>
    </row>
    <row r="294" spans="2:23">
      <c r="B294" s="2"/>
      <c r="D294" s="4"/>
      <c r="E294" s="4"/>
      <c r="F294" s="4" t="s">
        <v>442</v>
      </c>
      <c r="G294" s="4" t="s">
        <v>260</v>
      </c>
      <c r="H294" s="4"/>
      <c r="K294" s="4"/>
      <c r="L294" s="4"/>
      <c r="M294" s="4"/>
      <c r="N294" s="4"/>
      <c r="O294" s="4"/>
      <c r="P294" s="4"/>
      <c r="Q294" s="4"/>
      <c r="R294" s="4"/>
      <c r="S294" s="4"/>
      <c r="T294" s="4"/>
      <c r="U294" s="4"/>
      <c r="V294" s="4"/>
      <c r="W294" s="4"/>
    </row>
    <row r="295" spans="2:23">
      <c r="B295" s="2"/>
      <c r="D295" s="4"/>
      <c r="E295" s="4"/>
      <c r="F295" s="4" t="s">
        <v>261</v>
      </c>
      <c r="G295" s="4" t="s">
        <v>389</v>
      </c>
      <c r="K295" s="4"/>
      <c r="L295" s="4"/>
      <c r="M295" s="4"/>
      <c r="N295" s="4"/>
      <c r="O295" s="4"/>
      <c r="P295" s="4"/>
      <c r="Q295" s="4"/>
      <c r="R295" s="4"/>
      <c r="S295" s="4"/>
      <c r="T295" s="4"/>
      <c r="U295" s="4"/>
      <c r="V295" s="4"/>
      <c r="W295" s="4"/>
    </row>
    <row r="296" spans="2:23">
      <c r="B296" s="2"/>
      <c r="D296" s="4"/>
      <c r="E296" s="4"/>
      <c r="F296" s="4" t="s">
        <v>262</v>
      </c>
      <c r="G296" s="4" t="s">
        <v>169</v>
      </c>
      <c r="H296" s="4"/>
      <c r="K296" s="4"/>
      <c r="L296" s="4"/>
      <c r="M296" s="4"/>
      <c r="N296" s="4"/>
      <c r="O296" s="4"/>
      <c r="P296" s="4"/>
      <c r="Q296" s="4"/>
      <c r="R296" s="4"/>
      <c r="S296" s="4"/>
      <c r="T296" s="4"/>
      <c r="U296" s="4"/>
      <c r="V296" s="4"/>
      <c r="W296" s="4"/>
    </row>
    <row r="297" spans="2:23">
      <c r="B297" s="2"/>
      <c r="D297" s="4"/>
      <c r="E297" s="4" t="s">
        <v>579</v>
      </c>
      <c r="F297" s="4" t="s">
        <v>740</v>
      </c>
      <c r="G297" s="4"/>
      <c r="K297" s="4"/>
      <c r="L297" s="4"/>
      <c r="M297" s="4"/>
      <c r="N297" s="4"/>
      <c r="O297" s="4"/>
      <c r="P297" s="4"/>
      <c r="Q297" s="4"/>
      <c r="R297" s="4"/>
      <c r="S297" s="4"/>
      <c r="T297" s="4"/>
      <c r="U297" s="4"/>
      <c r="V297" s="4"/>
      <c r="W297" s="4"/>
    </row>
    <row r="298" spans="2:23">
      <c r="B298" s="2"/>
      <c r="D298" s="4"/>
      <c r="E298" s="4" t="s">
        <v>761</v>
      </c>
      <c r="F298" s="4" t="s">
        <v>747</v>
      </c>
      <c r="G298" s="4"/>
      <c r="K298" s="4"/>
      <c r="L298" s="4"/>
      <c r="M298" s="4"/>
      <c r="N298" s="4"/>
      <c r="O298" s="4"/>
      <c r="P298" s="4"/>
      <c r="Q298" s="4"/>
      <c r="R298" s="4"/>
      <c r="S298" s="4"/>
      <c r="T298" s="4"/>
      <c r="U298" s="4"/>
      <c r="V298" s="4"/>
      <c r="W298" s="4"/>
    </row>
    <row r="299" spans="2:23">
      <c r="B299" s="2"/>
      <c r="D299" s="4"/>
      <c r="E299" s="4"/>
      <c r="F299" s="120" t="s">
        <v>961</v>
      </c>
      <c r="G299" s="120"/>
      <c r="H299" s="120"/>
      <c r="I299" s="120"/>
      <c r="J299" s="120"/>
      <c r="K299" s="120"/>
      <c r="L299" s="120"/>
      <c r="M299" s="4"/>
      <c r="N299" s="4"/>
      <c r="O299" s="4"/>
      <c r="P299" s="4"/>
      <c r="Q299" s="4"/>
      <c r="R299" s="4"/>
      <c r="S299" s="4"/>
      <c r="T299" s="4"/>
      <c r="U299" s="4"/>
      <c r="V299" s="4"/>
      <c r="W299" s="4"/>
    </row>
    <row r="300" spans="2:23">
      <c r="B300" s="2"/>
      <c r="D300" s="4"/>
      <c r="E300" s="4"/>
      <c r="F300" s="120" t="s">
        <v>962</v>
      </c>
      <c r="G300" s="120"/>
      <c r="H300" s="120"/>
      <c r="I300" s="120"/>
      <c r="J300" s="120"/>
      <c r="K300" s="120"/>
      <c r="L300" s="120"/>
      <c r="M300" s="4"/>
      <c r="N300" s="4"/>
      <c r="O300" s="4"/>
      <c r="P300" s="4"/>
      <c r="Q300" s="4"/>
      <c r="R300" s="4"/>
      <c r="S300" s="4"/>
      <c r="T300" s="4"/>
      <c r="U300" s="4"/>
      <c r="V300" s="4"/>
      <c r="W300" s="4"/>
    </row>
    <row r="301" spans="2:23">
      <c r="B301" s="2"/>
      <c r="D301" s="4"/>
      <c r="E301" s="4"/>
      <c r="F301" s="120" t="s">
        <v>963</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553</v>
      </c>
      <c r="E303" s="2" t="s">
        <v>288</v>
      </c>
      <c r="G303" s="4"/>
      <c r="H303" s="4"/>
      <c r="I303" s="4"/>
      <c r="J303" s="4"/>
      <c r="K303" s="4"/>
      <c r="L303" s="4"/>
      <c r="M303" s="4"/>
      <c r="N303" s="4"/>
      <c r="O303" s="4"/>
      <c r="P303" s="4"/>
      <c r="Q303" s="4"/>
      <c r="R303" s="4"/>
      <c r="S303" s="4"/>
      <c r="T303" s="4"/>
      <c r="U303" s="4"/>
      <c r="V303" s="4"/>
      <c r="W303" s="4"/>
    </row>
    <row r="304" spans="2:23">
      <c r="B304" s="2"/>
      <c r="D304" s="2"/>
      <c r="E304" s="4" t="s">
        <v>946</v>
      </c>
      <c r="F304" s="4"/>
      <c r="K304" s="4"/>
      <c r="L304" s="4"/>
      <c r="M304" s="4"/>
      <c r="N304" s="4"/>
      <c r="O304" s="4"/>
      <c r="P304" s="4"/>
      <c r="Q304" s="4"/>
      <c r="R304" s="4"/>
      <c r="S304" s="4"/>
      <c r="T304" s="4"/>
      <c r="U304" s="4"/>
      <c r="V304" s="4"/>
      <c r="W304" s="4"/>
    </row>
    <row r="305" spans="2:23">
      <c r="B305" s="2"/>
      <c r="D305" s="2"/>
      <c r="E305" s="4" t="s">
        <v>944</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612</v>
      </c>
      <c r="I307" s="4"/>
      <c r="J307" s="4"/>
      <c r="K307" s="4"/>
      <c r="L307" s="4"/>
      <c r="M307" s="4"/>
      <c r="N307" s="4"/>
      <c r="O307" s="4"/>
      <c r="P307" s="4"/>
    </row>
    <row r="308" spans="2:23">
      <c r="B308" s="2"/>
      <c r="D308" s="2" t="s">
        <v>206</v>
      </c>
      <c r="E308" s="2" t="s">
        <v>263</v>
      </c>
      <c r="G308" s="2"/>
      <c r="H308" s="2"/>
      <c r="I308" s="2"/>
      <c r="J308" s="2"/>
      <c r="K308" s="2"/>
      <c r="L308" s="2"/>
      <c r="M308" s="2"/>
      <c r="N308" s="2"/>
      <c r="O308" s="2"/>
      <c r="P308" s="2"/>
      <c r="Q308" s="2"/>
      <c r="R308" s="2"/>
    </row>
    <row r="309" spans="2:23">
      <c r="B309" s="2"/>
      <c r="D309" s="2"/>
      <c r="E309" t="s">
        <v>264</v>
      </c>
      <c r="G309" s="4"/>
      <c r="I309" s="4"/>
      <c r="K309" s="4"/>
    </row>
    <row r="310" spans="2:23">
      <c r="B310" s="2"/>
      <c r="D310" s="2"/>
      <c r="E310" s="4" t="s">
        <v>797</v>
      </c>
      <c r="F310" s="4"/>
      <c r="G310" s="4"/>
      <c r="I310" s="4"/>
      <c r="K310" s="4"/>
    </row>
    <row r="311" spans="2:23">
      <c r="B311" s="2"/>
      <c r="D311" s="2"/>
      <c r="E311" s="4" t="s">
        <v>947</v>
      </c>
      <c r="F311" s="4"/>
      <c r="G311" s="4"/>
      <c r="I311" s="4"/>
      <c r="K311" s="4"/>
    </row>
    <row r="312" spans="2:23">
      <c r="B312" s="2"/>
      <c r="D312" s="2"/>
      <c r="E312" s="4" t="s">
        <v>798</v>
      </c>
      <c r="F312" s="4"/>
      <c r="G312" s="4"/>
      <c r="I312" s="4"/>
      <c r="K312" s="4"/>
    </row>
    <row r="313" spans="2:23">
      <c r="B313" s="2"/>
      <c r="D313" s="2"/>
      <c r="G313" s="4"/>
      <c r="I313" s="4"/>
      <c r="K313" s="4"/>
    </row>
    <row r="314" spans="2:23">
      <c r="B314" s="2"/>
      <c r="D314" s="2" t="s">
        <v>340</v>
      </c>
      <c r="E314" s="2" t="s">
        <v>749</v>
      </c>
      <c r="G314" s="4"/>
      <c r="H314" s="4"/>
      <c r="I314" s="4"/>
      <c r="J314" s="4"/>
      <c r="K314" s="4"/>
      <c r="P314" s="4"/>
      <c r="Q314" s="4"/>
      <c r="R314" s="4"/>
      <c r="S314" s="4"/>
    </row>
    <row r="315" spans="2:23">
      <c r="B315" s="2"/>
      <c r="D315" s="2"/>
      <c r="E315" t="s">
        <v>265</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572</v>
      </c>
      <c r="E317" s="170" t="s">
        <v>733</v>
      </c>
      <c r="F317" s="3"/>
      <c r="G317" s="4"/>
      <c r="H317" s="4"/>
      <c r="I317" s="4"/>
      <c r="J317" s="4"/>
      <c r="K317" s="4"/>
      <c r="L317" s="4"/>
      <c r="M317" s="4"/>
      <c r="N317" s="4"/>
      <c r="O317" s="4"/>
      <c r="P317" s="4"/>
      <c r="Q317" s="4"/>
      <c r="R317" s="4"/>
      <c r="S317" s="4"/>
    </row>
    <row r="318" spans="2:23">
      <c r="B318" s="2"/>
      <c r="E318" t="s">
        <v>730</v>
      </c>
      <c r="I318" s="4"/>
      <c r="J318" s="4"/>
      <c r="K318" s="4"/>
      <c r="L318" s="4"/>
      <c r="M318" s="4"/>
      <c r="N318" s="4"/>
      <c r="O318" s="4"/>
      <c r="P318" s="4"/>
      <c r="Q318" s="4"/>
      <c r="R318" s="4"/>
      <c r="S318" s="4"/>
    </row>
    <row r="319" spans="2:23">
      <c r="B319" s="2"/>
      <c r="E319" t="s">
        <v>731</v>
      </c>
      <c r="I319" s="4"/>
      <c r="J319" s="4"/>
      <c r="K319" s="4"/>
      <c r="L319" s="4"/>
      <c r="M319" s="4"/>
      <c r="N319" s="4"/>
      <c r="O319" s="4"/>
      <c r="P319" s="4"/>
      <c r="Q319" s="4"/>
      <c r="R319" s="4"/>
      <c r="S319" s="4"/>
    </row>
    <row r="320" spans="2:23">
      <c r="B320" s="2"/>
      <c r="E320" t="s">
        <v>732</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613</v>
      </c>
      <c r="I322" s="4"/>
      <c r="J322" s="4"/>
      <c r="K322" s="4"/>
      <c r="L322" s="4"/>
      <c r="M322" s="4"/>
      <c r="N322" s="4"/>
      <c r="O322" s="4"/>
      <c r="P322" s="4"/>
      <c r="Q322" s="4"/>
      <c r="R322" s="4"/>
      <c r="S322" s="4"/>
    </row>
    <row r="323" spans="1:38">
      <c r="A323" t="s">
        <v>249</v>
      </c>
      <c r="D323" s="2" t="s">
        <v>206</v>
      </c>
      <c r="E323" s="2" t="s">
        <v>613</v>
      </c>
      <c r="J323" s="2"/>
      <c r="K323" s="2"/>
      <c r="L323" s="2"/>
      <c r="M323" s="4"/>
      <c r="N323" s="4"/>
      <c r="O323" s="4"/>
      <c r="P323" s="4"/>
      <c r="Q323" s="4"/>
      <c r="R323" s="4"/>
      <c r="S323" s="4"/>
    </row>
    <row r="324" spans="1:38">
      <c r="E324" t="s">
        <v>112</v>
      </c>
      <c r="F324" s="4" t="s">
        <v>948</v>
      </c>
      <c r="J324" s="4"/>
      <c r="K324" s="4"/>
      <c r="L324" s="4"/>
      <c r="M324" s="4"/>
      <c r="N324" s="4"/>
      <c r="O324" s="4"/>
      <c r="P324" s="4"/>
      <c r="Q324" s="4"/>
      <c r="R324" s="4"/>
      <c r="S324" s="4"/>
    </row>
    <row r="325" spans="1:38">
      <c r="E325" s="4" t="s">
        <v>113</v>
      </c>
      <c r="F325" t="s">
        <v>734</v>
      </c>
      <c r="J325" s="4"/>
      <c r="K325" s="4"/>
      <c r="L325" s="4"/>
      <c r="M325" s="4"/>
      <c r="N325" s="4"/>
      <c r="O325" s="4"/>
      <c r="P325" s="4"/>
      <c r="Q325" s="4"/>
      <c r="R325" s="4"/>
      <c r="S325" s="4"/>
    </row>
    <row r="326" spans="1:38">
      <c r="F326" s="120" t="s">
        <v>1148</v>
      </c>
      <c r="I326" s="120"/>
      <c r="J326" s="4"/>
      <c r="K326" s="4"/>
      <c r="L326" s="4"/>
      <c r="M326" s="4"/>
      <c r="N326" s="4"/>
      <c r="O326" s="4"/>
      <c r="P326" s="4"/>
      <c r="Q326" s="4"/>
      <c r="R326" s="4"/>
      <c r="S326" s="4"/>
    </row>
    <row r="327" spans="1:38">
      <c r="F327" s="120" t="s">
        <v>1149</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513</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429</v>
      </c>
      <c r="G331" s="2" t="s">
        <v>22</v>
      </c>
      <c r="I331" s="2"/>
      <c r="J331" s="4"/>
      <c r="K331" s="4"/>
      <c r="L331" s="4"/>
      <c r="M331" s="4"/>
      <c r="N331" s="4"/>
      <c r="O331" s="4"/>
      <c r="P331" s="4"/>
      <c r="Q331" s="4"/>
      <c r="R331" s="4"/>
      <c r="S331" s="4"/>
    </row>
    <row r="332" spans="1:38">
      <c r="B332" s="2"/>
      <c r="C332" s="2"/>
      <c r="D332" s="2" t="s">
        <v>206</v>
      </c>
      <c r="E332" s="2" t="s">
        <v>22</v>
      </c>
      <c r="G332" s="2"/>
      <c r="I332" s="2"/>
      <c r="J332" s="4"/>
      <c r="K332" s="4"/>
      <c r="L332" s="4"/>
      <c r="M332" s="4"/>
      <c r="N332" s="4"/>
      <c r="O332" s="4"/>
      <c r="P332" s="4"/>
      <c r="Q332" s="4"/>
      <c r="R332" s="4"/>
      <c r="S332" s="4"/>
    </row>
    <row r="333" spans="1:38">
      <c r="B333" s="2"/>
      <c r="E333" t="s">
        <v>112</v>
      </c>
      <c r="F333" t="s">
        <v>737</v>
      </c>
      <c r="J333" s="4"/>
      <c r="K333" s="4"/>
      <c r="L333" s="4"/>
      <c r="M333" s="4"/>
      <c r="N333" s="4"/>
      <c r="O333" s="4"/>
      <c r="P333" s="4"/>
      <c r="Q333" s="4"/>
      <c r="R333" s="4"/>
      <c r="S333" s="4"/>
    </row>
    <row r="334" spans="1:38">
      <c r="B334" s="2"/>
      <c r="E334" s="4"/>
      <c r="F334" s="4" t="s">
        <v>738</v>
      </c>
      <c r="J334" s="4"/>
      <c r="K334" s="4"/>
      <c r="L334" s="4"/>
      <c r="M334" s="4"/>
      <c r="N334" s="4"/>
      <c r="O334" s="4"/>
      <c r="P334" s="4"/>
      <c r="Q334" s="4"/>
      <c r="R334" s="4"/>
      <c r="S334" s="4"/>
    </row>
    <row r="335" spans="1:38">
      <c r="B335" s="2"/>
      <c r="E335" s="4"/>
      <c r="F335" s="4" t="s">
        <v>739</v>
      </c>
      <c r="I335" s="4"/>
      <c r="J335" s="4"/>
      <c r="K335" s="4"/>
      <c r="L335" s="4"/>
      <c r="M335" s="4"/>
      <c r="N335" s="4"/>
      <c r="O335" s="4"/>
      <c r="P335" s="4"/>
      <c r="Q335" s="4"/>
      <c r="R335" s="4"/>
      <c r="S335" s="4"/>
    </row>
    <row r="336" spans="1:38">
      <c r="B336" s="2"/>
      <c r="E336" s="4" t="s">
        <v>113</v>
      </c>
      <c r="F336" s="1435" t="s">
        <v>1152</v>
      </c>
      <c r="G336" s="1435"/>
      <c r="H336" s="1435"/>
      <c r="I336" s="1435"/>
      <c r="J336" s="1435"/>
      <c r="K336" s="1435"/>
      <c r="L336" s="1435"/>
      <c r="M336" s="1435"/>
      <c r="N336" s="1435"/>
      <c r="O336" s="1435"/>
      <c r="P336" s="1435"/>
      <c r="Q336" s="1435"/>
      <c r="R336" s="1435"/>
      <c r="S336" s="1435"/>
      <c r="T336" s="1435"/>
      <c r="U336" s="1435"/>
      <c r="V336" s="1435"/>
      <c r="W336" s="1435"/>
      <c r="X336" s="1435"/>
      <c r="Y336" s="1435"/>
      <c r="Z336" s="1435"/>
      <c r="AA336" s="1435"/>
      <c r="AB336" s="1435"/>
      <c r="AC336" s="1435"/>
      <c r="AD336" s="1435"/>
      <c r="AE336" s="1435"/>
      <c r="AF336" s="1435"/>
      <c r="AG336" s="1435"/>
      <c r="AH336" s="1435"/>
      <c r="AI336" s="1435"/>
      <c r="AJ336" s="1435"/>
      <c r="AK336" s="1435"/>
    </row>
    <row r="337" spans="2:37">
      <c r="B337" s="2"/>
      <c r="E337" s="4"/>
      <c r="F337" s="1435"/>
      <c r="G337" s="1435"/>
      <c r="H337" s="1435"/>
      <c r="I337" s="1435"/>
      <c r="J337" s="1435"/>
      <c r="K337" s="1435"/>
      <c r="L337" s="1435"/>
      <c r="M337" s="1435"/>
      <c r="N337" s="1435"/>
      <c r="O337" s="1435"/>
      <c r="P337" s="1435"/>
      <c r="Q337" s="1435"/>
      <c r="R337" s="1435"/>
      <c r="S337" s="1435"/>
      <c r="T337" s="1435"/>
      <c r="U337" s="1435"/>
      <c r="V337" s="1435"/>
      <c r="W337" s="1435"/>
      <c r="X337" s="1435"/>
      <c r="Y337" s="1435"/>
      <c r="Z337" s="1435"/>
      <c r="AA337" s="1435"/>
      <c r="AB337" s="1435"/>
      <c r="AC337" s="1435"/>
      <c r="AD337" s="1435"/>
      <c r="AE337" s="1435"/>
      <c r="AF337" s="1435"/>
      <c r="AG337" s="1435"/>
      <c r="AH337" s="1435"/>
      <c r="AI337" s="1435"/>
      <c r="AJ337" s="1435"/>
      <c r="AK337" s="1435"/>
    </row>
    <row r="338" spans="2:37">
      <c r="B338" s="2"/>
      <c r="E338" s="4"/>
      <c r="F338" s="1435"/>
      <c r="G338" s="1435"/>
      <c r="H338" s="1435"/>
      <c r="I338" s="1435"/>
      <c r="J338" s="1435"/>
      <c r="K338" s="1435"/>
      <c r="L338" s="1435"/>
      <c r="M338" s="1435"/>
      <c r="N338" s="1435"/>
      <c r="O338" s="1435"/>
      <c r="P338" s="1435"/>
      <c r="Q338" s="1435"/>
      <c r="R338" s="1435"/>
      <c r="S338" s="1435"/>
      <c r="T338" s="1435"/>
      <c r="U338" s="1435"/>
      <c r="V338" s="1435"/>
      <c r="W338" s="1435"/>
      <c r="X338" s="1435"/>
      <c r="Y338" s="1435"/>
      <c r="Z338" s="1435"/>
      <c r="AA338" s="1435"/>
      <c r="AB338" s="1435"/>
      <c r="AC338" s="1435"/>
      <c r="AD338" s="1435"/>
      <c r="AE338" s="1435"/>
      <c r="AF338" s="1435"/>
      <c r="AG338" s="1435"/>
      <c r="AH338" s="1435"/>
      <c r="AI338" s="1435"/>
      <c r="AJ338" s="1435"/>
      <c r="AK338" s="1435"/>
    </row>
    <row r="339" spans="2:37">
      <c r="B339" s="2"/>
      <c r="F339" s="4"/>
      <c r="H339" s="4"/>
      <c r="I339" s="4"/>
      <c r="J339" s="4"/>
      <c r="K339" s="4"/>
      <c r="L339" s="4"/>
      <c r="M339" s="4"/>
      <c r="N339" s="4"/>
      <c r="O339" s="4"/>
      <c r="P339" s="4"/>
      <c r="Q339" s="4"/>
      <c r="R339" s="4"/>
      <c r="S339" s="4"/>
    </row>
    <row r="340" spans="2:37">
      <c r="B340" s="2"/>
      <c r="C340" s="2" t="s">
        <v>430</v>
      </c>
      <c r="G340" s="2" t="s">
        <v>1225</v>
      </c>
      <c r="I340" s="2"/>
      <c r="J340" s="4"/>
      <c r="K340" s="4"/>
      <c r="L340" s="4"/>
      <c r="M340" s="4"/>
      <c r="N340" s="4"/>
      <c r="O340" s="4"/>
      <c r="P340" s="4"/>
      <c r="Q340" s="4"/>
      <c r="R340" s="4"/>
      <c r="S340" s="4"/>
    </row>
    <row r="341" spans="2:37" ht="13.35" customHeight="1">
      <c r="B341" s="2"/>
      <c r="E341" s="1830" t="s">
        <v>1232</v>
      </c>
      <c r="F341" s="1830"/>
      <c r="G341" s="1830"/>
      <c r="H341" s="1830"/>
      <c r="I341" s="1830"/>
      <c r="J341" s="1830"/>
      <c r="K341" s="1830"/>
      <c r="L341" s="1830"/>
      <c r="M341" s="1830"/>
      <c r="N341" s="1830"/>
      <c r="O341" s="1830"/>
      <c r="P341" s="1830"/>
      <c r="Q341" s="1830"/>
      <c r="R341" s="1830"/>
      <c r="S341" s="1830"/>
      <c r="T341" s="1830"/>
      <c r="U341" s="1830"/>
      <c r="V341" s="1830"/>
      <c r="W341" s="1830"/>
      <c r="X341" s="1830"/>
      <c r="Y341" s="1830"/>
      <c r="Z341" s="1830"/>
      <c r="AA341" s="1830"/>
      <c r="AB341" s="1830"/>
      <c r="AC341" s="1830"/>
      <c r="AD341" s="1830"/>
      <c r="AE341" s="1830"/>
      <c r="AF341" s="1830"/>
      <c r="AG341" s="1830"/>
      <c r="AH341" s="1830"/>
      <c r="AI341" s="1830"/>
      <c r="AJ341" s="1830"/>
      <c r="AK341" s="1830"/>
    </row>
    <row r="342" spans="2:37">
      <c r="B342" s="2"/>
      <c r="E342" s="1830"/>
      <c r="F342" s="1830"/>
      <c r="G342" s="1830"/>
      <c r="H342" s="1830"/>
      <c r="I342" s="1830"/>
      <c r="J342" s="1830"/>
      <c r="K342" s="1830"/>
      <c r="L342" s="1830"/>
      <c r="M342" s="1830"/>
      <c r="N342" s="1830"/>
      <c r="O342" s="1830"/>
      <c r="P342" s="1830"/>
      <c r="Q342" s="1830"/>
      <c r="R342" s="1830"/>
      <c r="S342" s="1830"/>
      <c r="T342" s="1830"/>
      <c r="U342" s="1830"/>
      <c r="V342" s="1830"/>
      <c r="W342" s="1830"/>
      <c r="X342" s="1830"/>
      <c r="Y342" s="1830"/>
      <c r="Z342" s="1830"/>
      <c r="AA342" s="1830"/>
      <c r="AB342" s="1830"/>
      <c r="AC342" s="1830"/>
      <c r="AD342" s="1830"/>
      <c r="AE342" s="1830"/>
      <c r="AF342" s="1830"/>
      <c r="AG342" s="1830"/>
      <c r="AH342" s="1830"/>
      <c r="AI342" s="1830"/>
      <c r="AJ342" s="1830"/>
      <c r="AK342" s="1830"/>
    </row>
    <row r="343" spans="2:37">
      <c r="B343" s="2"/>
      <c r="E343" s="1830"/>
      <c r="F343" s="1830"/>
      <c r="G343" s="1830"/>
      <c r="H343" s="1830"/>
      <c r="I343" s="1830"/>
      <c r="J343" s="1830"/>
      <c r="K343" s="1830"/>
      <c r="L343" s="1830"/>
      <c r="M343" s="1830"/>
      <c r="N343" s="1830"/>
      <c r="O343" s="1830"/>
      <c r="P343" s="1830"/>
      <c r="Q343" s="1830"/>
      <c r="R343" s="1830"/>
      <c r="S343" s="1830"/>
      <c r="T343" s="1830"/>
      <c r="U343" s="1830"/>
      <c r="V343" s="1830"/>
      <c r="W343" s="1830"/>
      <c r="X343" s="1830"/>
      <c r="Y343" s="1830"/>
      <c r="Z343" s="1830"/>
      <c r="AA343" s="1830"/>
      <c r="AB343" s="1830"/>
      <c r="AC343" s="1830"/>
      <c r="AD343" s="1830"/>
      <c r="AE343" s="1830"/>
      <c r="AF343" s="1830"/>
      <c r="AG343" s="1830"/>
      <c r="AH343" s="1830"/>
      <c r="AI343" s="1830"/>
      <c r="AJ343" s="1830"/>
      <c r="AK343" s="1830"/>
    </row>
    <row r="344" spans="2:37">
      <c r="B344" s="2"/>
      <c r="E344" s="1830"/>
      <c r="F344" s="1830"/>
      <c r="G344" s="1830"/>
      <c r="H344" s="1830"/>
      <c r="I344" s="1830"/>
      <c r="J344" s="1830"/>
      <c r="K344" s="1830"/>
      <c r="L344" s="1830"/>
      <c r="M344" s="1830"/>
      <c r="N344" s="1830"/>
      <c r="O344" s="1830"/>
      <c r="P344" s="1830"/>
      <c r="Q344" s="1830"/>
      <c r="R344" s="1830"/>
      <c r="S344" s="1830"/>
      <c r="T344" s="1830"/>
      <c r="U344" s="1830"/>
      <c r="V344" s="1830"/>
      <c r="W344" s="1830"/>
      <c r="X344" s="1830"/>
      <c r="Y344" s="1830"/>
      <c r="Z344" s="1830"/>
      <c r="AA344" s="1830"/>
      <c r="AB344" s="1830"/>
      <c r="AC344" s="1830"/>
      <c r="AD344" s="1830"/>
      <c r="AE344" s="1830"/>
      <c r="AF344" s="1830"/>
      <c r="AG344" s="1830"/>
      <c r="AH344" s="1830"/>
      <c r="AI344" s="1830"/>
      <c r="AJ344" s="1830"/>
      <c r="AK344" s="1830"/>
    </row>
    <row r="345" spans="2:37">
      <c r="B345" s="2"/>
      <c r="E345" s="1830"/>
      <c r="F345" s="1830"/>
      <c r="G345" s="1830"/>
      <c r="H345" s="1830"/>
      <c r="I345" s="1830"/>
      <c r="J345" s="1830"/>
      <c r="K345" s="1830"/>
      <c r="L345" s="1830"/>
      <c r="M345" s="1830"/>
      <c r="N345" s="1830"/>
      <c r="O345" s="1830"/>
      <c r="P345" s="1830"/>
      <c r="Q345" s="1830"/>
      <c r="R345" s="1830"/>
      <c r="S345" s="1830"/>
      <c r="T345" s="1830"/>
      <c r="U345" s="1830"/>
      <c r="V345" s="1830"/>
      <c r="W345" s="1830"/>
      <c r="X345" s="1830"/>
      <c r="Y345" s="1830"/>
      <c r="Z345" s="1830"/>
      <c r="AA345" s="1830"/>
      <c r="AB345" s="1830"/>
      <c r="AC345" s="1830"/>
      <c r="AD345" s="1830"/>
      <c r="AE345" s="1830"/>
      <c r="AF345" s="1830"/>
      <c r="AG345" s="1830"/>
      <c r="AH345" s="1830"/>
      <c r="AI345" s="1830"/>
      <c r="AJ345" s="1830"/>
      <c r="AK345" s="1830"/>
    </row>
    <row r="346" spans="2:37">
      <c r="B346" s="2"/>
      <c r="E346" s="3" t="s">
        <v>112</v>
      </c>
      <c r="F346" s="1435" t="s">
        <v>1234</v>
      </c>
      <c r="G346" s="1435"/>
      <c r="H346" s="1435"/>
      <c r="I346" s="1435"/>
      <c r="J346" s="1435"/>
      <c r="K346" s="1435"/>
      <c r="L346" s="1435"/>
      <c r="M346" s="1435"/>
      <c r="N346" s="1435"/>
      <c r="O346" s="1435"/>
      <c r="P346" s="1435"/>
      <c r="Q346" s="1435"/>
      <c r="R346" s="1435"/>
      <c r="S346" s="1435"/>
      <c r="T346" s="1435"/>
      <c r="U346" s="1435"/>
      <c r="V346" s="1435"/>
      <c r="W346" s="1435"/>
      <c r="X346" s="1435"/>
      <c r="Y346" s="1435"/>
      <c r="Z346" s="1435"/>
      <c r="AA346" s="1435"/>
      <c r="AB346" s="1435"/>
      <c r="AC346" s="1435"/>
      <c r="AD346" s="1435"/>
      <c r="AE346" s="1435"/>
      <c r="AF346" s="1435"/>
      <c r="AG346" s="1435"/>
      <c r="AH346" s="1435"/>
      <c r="AI346" s="1435"/>
      <c r="AJ346" s="1435"/>
      <c r="AK346" s="1435"/>
    </row>
    <row r="347" spans="2:37">
      <c r="B347" s="2"/>
      <c r="E347" s="3"/>
      <c r="F347" s="1435"/>
      <c r="G347" s="1435"/>
      <c r="H347" s="1435"/>
      <c r="I347" s="1435"/>
      <c r="J347" s="1435"/>
      <c r="K347" s="1435"/>
      <c r="L347" s="1435"/>
      <c r="M347" s="1435"/>
      <c r="N347" s="1435"/>
      <c r="O347" s="1435"/>
      <c r="P347" s="1435"/>
      <c r="Q347" s="1435"/>
      <c r="R347" s="1435"/>
      <c r="S347" s="1435"/>
      <c r="T347" s="1435"/>
      <c r="U347" s="1435"/>
      <c r="V347" s="1435"/>
      <c r="W347" s="1435"/>
      <c r="X347" s="1435"/>
      <c r="Y347" s="1435"/>
      <c r="Z347" s="1435"/>
      <c r="AA347" s="1435"/>
      <c r="AB347" s="1435"/>
      <c r="AC347" s="1435"/>
      <c r="AD347" s="1435"/>
      <c r="AE347" s="1435"/>
      <c r="AF347" s="1435"/>
      <c r="AG347" s="1435"/>
      <c r="AH347" s="1435"/>
      <c r="AI347" s="1435"/>
      <c r="AJ347" s="1435"/>
      <c r="AK347" s="1435"/>
    </row>
    <row r="348" spans="2:37">
      <c r="B348" s="2"/>
      <c r="E348" s="3"/>
      <c r="F348" s="1435"/>
      <c r="G348" s="1435"/>
      <c r="H348" s="1435"/>
      <c r="I348" s="1435"/>
      <c r="J348" s="1435"/>
      <c r="K348" s="1435"/>
      <c r="L348" s="1435"/>
      <c r="M348" s="1435"/>
      <c r="N348" s="1435"/>
      <c r="O348" s="1435"/>
      <c r="P348" s="1435"/>
      <c r="Q348" s="1435"/>
      <c r="R348" s="1435"/>
      <c r="S348" s="1435"/>
      <c r="T348" s="1435"/>
      <c r="U348" s="1435"/>
      <c r="V348" s="1435"/>
      <c r="W348" s="1435"/>
      <c r="X348" s="1435"/>
      <c r="Y348" s="1435"/>
      <c r="Z348" s="1435"/>
      <c r="AA348" s="1435"/>
      <c r="AB348" s="1435"/>
      <c r="AC348" s="1435"/>
      <c r="AD348" s="1435"/>
      <c r="AE348" s="1435"/>
      <c r="AF348" s="1435"/>
      <c r="AG348" s="1435"/>
      <c r="AH348" s="1435"/>
      <c r="AI348" s="1435"/>
      <c r="AJ348" s="1435"/>
      <c r="AK348" s="1435"/>
    </row>
    <row r="349" spans="2:37">
      <c r="B349" s="2"/>
      <c r="E349" s="3"/>
      <c r="F349" s="1435"/>
      <c r="G349" s="1435"/>
      <c r="H349" s="1435"/>
      <c r="I349" s="1435"/>
      <c r="J349" s="1435"/>
      <c r="K349" s="1435"/>
      <c r="L349" s="1435"/>
      <c r="M349" s="1435"/>
      <c r="N349" s="1435"/>
      <c r="O349" s="1435"/>
      <c r="P349" s="1435"/>
      <c r="Q349" s="1435"/>
      <c r="R349" s="1435"/>
      <c r="S349" s="1435"/>
      <c r="T349" s="1435"/>
      <c r="U349" s="1435"/>
      <c r="V349" s="1435"/>
      <c r="W349" s="1435"/>
      <c r="X349" s="1435"/>
      <c r="Y349" s="1435"/>
      <c r="Z349" s="1435"/>
      <c r="AA349" s="1435"/>
      <c r="AB349" s="1435"/>
      <c r="AC349" s="1435"/>
      <c r="AD349" s="1435"/>
      <c r="AE349" s="1435"/>
      <c r="AF349" s="1435"/>
      <c r="AG349" s="1435"/>
      <c r="AH349" s="1435"/>
      <c r="AI349" s="1435"/>
      <c r="AJ349" s="1435"/>
      <c r="AK349" s="1435"/>
    </row>
    <row r="350" spans="2:37">
      <c r="B350" s="2"/>
      <c r="E350" s="3" t="s">
        <v>113</v>
      </c>
      <c r="F350" s="1435" t="s">
        <v>1233</v>
      </c>
      <c r="G350" s="1435"/>
      <c r="H350" s="1435"/>
      <c r="I350" s="1435"/>
      <c r="J350" s="1435"/>
      <c r="K350" s="1435"/>
      <c r="L350" s="1435"/>
      <c r="M350" s="1435"/>
      <c r="N350" s="1435"/>
      <c r="O350" s="1435"/>
      <c r="P350" s="1435"/>
      <c r="Q350" s="1435"/>
      <c r="R350" s="1435"/>
      <c r="S350" s="1435"/>
      <c r="T350" s="1435"/>
      <c r="U350" s="1435"/>
      <c r="V350" s="1435"/>
      <c r="W350" s="1435"/>
      <c r="X350" s="1435"/>
      <c r="Y350" s="1435"/>
      <c r="Z350" s="1435"/>
      <c r="AA350" s="1435"/>
      <c r="AB350" s="1435"/>
      <c r="AC350" s="1435"/>
      <c r="AD350" s="1435"/>
      <c r="AE350" s="1435"/>
      <c r="AF350" s="1435"/>
      <c r="AG350" s="1435"/>
      <c r="AH350" s="1435"/>
      <c r="AI350" s="1435"/>
      <c r="AJ350" s="1435"/>
      <c r="AK350" s="1435"/>
    </row>
    <row r="351" spans="2:37">
      <c r="B351" s="2"/>
      <c r="F351" s="1435"/>
      <c r="G351" s="1435"/>
      <c r="H351" s="1435"/>
      <c r="I351" s="1435"/>
      <c r="J351" s="1435"/>
      <c r="K351" s="1435"/>
      <c r="L351" s="1435"/>
      <c r="M351" s="1435"/>
      <c r="N351" s="1435"/>
      <c r="O351" s="1435"/>
      <c r="P351" s="1435"/>
      <c r="Q351" s="1435"/>
      <c r="R351" s="1435"/>
      <c r="S351" s="1435"/>
      <c r="T351" s="1435"/>
      <c r="U351" s="1435"/>
      <c r="V351" s="1435"/>
      <c r="W351" s="1435"/>
      <c r="X351" s="1435"/>
      <c r="Y351" s="1435"/>
      <c r="Z351" s="1435"/>
      <c r="AA351" s="1435"/>
      <c r="AB351" s="1435"/>
      <c r="AC351" s="1435"/>
      <c r="AD351" s="1435"/>
      <c r="AE351" s="1435"/>
      <c r="AF351" s="1435"/>
      <c r="AG351" s="1435"/>
      <c r="AH351" s="1435"/>
      <c r="AI351" s="1435"/>
      <c r="AJ351" s="1435"/>
      <c r="AK351" s="1435"/>
    </row>
    <row r="352" spans="2:37">
      <c r="B352" s="2"/>
      <c r="F352" s="1435"/>
      <c r="G352" s="1435"/>
      <c r="H352" s="1435"/>
      <c r="I352" s="1435"/>
      <c r="J352" s="1435"/>
      <c r="K352" s="1435"/>
      <c r="L352" s="1435"/>
      <c r="M352" s="1435"/>
      <c r="N352" s="1435"/>
      <c r="O352" s="1435"/>
      <c r="P352" s="1435"/>
      <c r="Q352" s="1435"/>
      <c r="R352" s="1435"/>
      <c r="S352" s="1435"/>
      <c r="T352" s="1435"/>
      <c r="U352" s="1435"/>
      <c r="V352" s="1435"/>
      <c r="W352" s="1435"/>
      <c r="X352" s="1435"/>
      <c r="Y352" s="1435"/>
      <c r="Z352" s="1435"/>
      <c r="AA352" s="1435"/>
      <c r="AB352" s="1435"/>
      <c r="AC352" s="1435"/>
      <c r="AD352" s="1435"/>
      <c r="AE352" s="1435"/>
      <c r="AF352" s="1435"/>
      <c r="AG352" s="1435"/>
      <c r="AH352" s="1435"/>
      <c r="AI352" s="1435"/>
      <c r="AJ352" s="1435"/>
      <c r="AK352" s="1435"/>
    </row>
    <row r="353" spans="1:38">
      <c r="B353" s="2"/>
      <c r="F353" s="4"/>
      <c r="H353" s="4"/>
      <c r="I353" s="4"/>
      <c r="J353" s="4"/>
      <c r="K353" s="4"/>
      <c r="L353" s="4"/>
      <c r="M353" s="4"/>
      <c r="N353" s="4"/>
      <c r="O353" s="4"/>
      <c r="P353" s="4"/>
      <c r="Q353" s="4"/>
      <c r="R353" s="4"/>
      <c r="S353" s="4"/>
    </row>
    <row r="354" spans="1:38">
      <c r="A354" s="5"/>
      <c r="B354" s="11" t="s">
        <v>750</v>
      </c>
      <c r="C354" s="11" t="s">
        <v>614</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35" customHeight="1">
      <c r="B356" s="2"/>
      <c r="C356" s="11" t="s">
        <v>1215</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3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206</v>
      </c>
      <c r="E358" s="2" t="s">
        <v>122</v>
      </c>
      <c r="I358" s="4"/>
      <c r="J358" s="4"/>
      <c r="K358" s="4"/>
      <c r="L358" s="4"/>
      <c r="M358" s="4"/>
      <c r="N358" s="4"/>
      <c r="O358" s="4"/>
      <c r="P358" s="4"/>
      <c r="Q358" s="4"/>
      <c r="R358" s="4"/>
      <c r="S358" s="4"/>
    </row>
    <row r="359" spans="1:38">
      <c r="B359" s="2"/>
      <c r="E359" t="s">
        <v>112</v>
      </c>
      <c r="F359" s="4" t="s">
        <v>741</v>
      </c>
      <c r="I359" s="4"/>
      <c r="J359" s="4"/>
      <c r="K359" s="4"/>
      <c r="L359" s="4"/>
      <c r="M359" s="4"/>
      <c r="N359" s="4"/>
      <c r="O359" s="4"/>
      <c r="P359" s="4"/>
      <c r="Q359" s="4"/>
      <c r="R359" s="4"/>
      <c r="S359" s="4"/>
    </row>
    <row r="360" spans="1:38">
      <c r="B360" s="2"/>
      <c r="F360" s="4" t="s">
        <v>742</v>
      </c>
      <c r="I360" s="4"/>
      <c r="J360" s="4"/>
      <c r="K360" s="4"/>
      <c r="L360" s="4"/>
      <c r="M360" s="4"/>
      <c r="N360" s="4"/>
      <c r="O360" s="4"/>
      <c r="P360" s="4"/>
      <c r="Q360" s="4"/>
      <c r="R360" s="4"/>
      <c r="S360" s="4"/>
    </row>
    <row r="361" spans="1:38">
      <c r="B361" s="2"/>
      <c r="F361" s="4" t="s">
        <v>870</v>
      </c>
      <c r="G361" s="4"/>
      <c r="K361" s="4"/>
      <c r="L361" s="4"/>
      <c r="M361" s="4"/>
      <c r="N361" s="4"/>
      <c r="O361" s="4"/>
      <c r="P361" s="4"/>
      <c r="Q361" s="4"/>
      <c r="R361" s="4"/>
      <c r="S361" s="4"/>
    </row>
    <row r="362" spans="1:38">
      <c r="B362" s="2"/>
      <c r="E362" t="s">
        <v>113</v>
      </c>
      <c r="F362" s="4" t="s">
        <v>869</v>
      </c>
      <c r="I362" s="4"/>
      <c r="J362" s="4"/>
      <c r="K362" s="4"/>
      <c r="L362" s="4"/>
      <c r="M362" s="4"/>
      <c r="N362" s="4"/>
      <c r="O362" s="4"/>
      <c r="P362" s="4"/>
      <c r="Q362" s="4"/>
      <c r="R362" s="4"/>
      <c r="S362" s="4"/>
    </row>
    <row r="363" spans="1:38">
      <c r="B363" s="2"/>
      <c r="E363" t="s">
        <v>119</v>
      </c>
      <c r="F363" s="4" t="s">
        <v>743</v>
      </c>
      <c r="I363" s="4"/>
      <c r="J363" s="4"/>
      <c r="K363" s="4"/>
      <c r="L363" s="4"/>
      <c r="M363" s="4"/>
      <c r="N363" s="4"/>
      <c r="O363" s="4"/>
      <c r="P363" s="4"/>
      <c r="Q363" s="4"/>
      <c r="R363" s="4"/>
      <c r="S363" s="4"/>
    </row>
    <row r="364" spans="1:38">
      <c r="B364" s="2"/>
      <c r="F364" s="4" t="s">
        <v>744</v>
      </c>
      <c r="J364" s="4"/>
      <c r="K364" s="4"/>
      <c r="L364" s="4"/>
      <c r="M364" s="4"/>
      <c r="N364" s="4"/>
      <c r="O364" s="4"/>
      <c r="P364" s="4"/>
      <c r="Q364" s="4"/>
      <c r="R364" s="4"/>
      <c r="S364" s="4"/>
    </row>
    <row r="365" spans="1:38">
      <c r="B365" s="2"/>
      <c r="E365" s="1831" t="s">
        <v>1223</v>
      </c>
      <c r="F365" s="1831"/>
      <c r="G365" s="1831"/>
      <c r="H365" s="1831"/>
      <c r="I365" s="1831"/>
      <c r="J365" s="1831"/>
      <c r="K365" s="1831"/>
      <c r="L365" s="1831"/>
      <c r="M365" s="1831"/>
      <c r="N365" s="1831"/>
      <c r="O365" s="1831"/>
      <c r="P365" s="1831"/>
      <c r="Q365" s="1831"/>
      <c r="R365" s="1831"/>
      <c r="S365" s="1831"/>
      <c r="T365" s="1831"/>
      <c r="U365" s="1831"/>
      <c r="V365" s="1831"/>
      <c r="W365" s="1831"/>
      <c r="X365" s="1831"/>
      <c r="Y365" s="1831"/>
      <c r="Z365" s="1831"/>
      <c r="AA365" s="1831"/>
      <c r="AB365" s="1831"/>
      <c r="AC365" s="1831"/>
      <c r="AD365" s="1831"/>
      <c r="AE365" s="1831"/>
      <c r="AF365" s="1831"/>
      <c r="AG365" s="1831"/>
      <c r="AH365" s="1831"/>
      <c r="AI365" s="1831"/>
      <c r="AJ365" s="1831"/>
      <c r="AK365" s="1831"/>
      <c r="AL365" s="1831"/>
    </row>
    <row r="366" spans="1:38">
      <c r="B366" s="2"/>
      <c r="E366" s="1831"/>
      <c r="F366" s="1831"/>
      <c r="G366" s="1831"/>
      <c r="H366" s="1831"/>
      <c r="I366" s="1831"/>
      <c r="J366" s="1831"/>
      <c r="K366" s="1831"/>
      <c r="L366" s="1831"/>
      <c r="M366" s="1831"/>
      <c r="N366" s="1831"/>
      <c r="O366" s="1831"/>
      <c r="P366" s="1831"/>
      <c r="Q366" s="1831"/>
      <c r="R366" s="1831"/>
      <c r="S366" s="1831"/>
      <c r="T366" s="1831"/>
      <c r="U366" s="1831"/>
      <c r="V366" s="1831"/>
      <c r="W366" s="1831"/>
      <c r="X366" s="1831"/>
      <c r="Y366" s="1831"/>
      <c r="Z366" s="1831"/>
      <c r="AA366" s="1831"/>
      <c r="AB366" s="1831"/>
      <c r="AC366" s="1831"/>
      <c r="AD366" s="1831"/>
      <c r="AE366" s="1831"/>
      <c r="AF366" s="1831"/>
      <c r="AG366" s="1831"/>
      <c r="AH366" s="1831"/>
      <c r="AI366" s="1831"/>
      <c r="AJ366" s="1831"/>
      <c r="AK366" s="1831"/>
      <c r="AL366" s="1831"/>
    </row>
    <row r="367" spans="1:38" s="1832" customFormat="1">
      <c r="A367"/>
      <c r="B367" s="2"/>
      <c r="C367"/>
      <c r="D367"/>
      <c r="E367" s="1362" t="s">
        <v>1255</v>
      </c>
    </row>
    <row r="368" spans="1:38" s="1832"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340</v>
      </c>
      <c r="E370" s="2" t="s">
        <v>566</v>
      </c>
      <c r="J370" s="4"/>
      <c r="K370" s="4"/>
      <c r="L370" s="4"/>
      <c r="M370" s="4"/>
      <c r="N370" s="4"/>
      <c r="O370" s="4"/>
      <c r="P370" s="4"/>
      <c r="Q370" s="4"/>
      <c r="R370" s="4"/>
      <c r="S370" s="4"/>
    </row>
    <row r="371" spans="1:38">
      <c r="B371" s="2"/>
      <c r="E371" s="4" t="s">
        <v>745</v>
      </c>
      <c r="F371" s="4"/>
      <c r="G371" s="4"/>
      <c r="H371" s="4"/>
      <c r="I371" s="4"/>
      <c r="J371" s="4"/>
      <c r="K371" s="4"/>
      <c r="L371" s="4"/>
      <c r="M371" s="4"/>
      <c r="N371" s="4"/>
      <c r="O371" s="4"/>
      <c r="P371" s="4"/>
      <c r="Q371" s="4"/>
      <c r="R371" s="4"/>
      <c r="S371" s="4"/>
    </row>
    <row r="372" spans="1:38">
      <c r="B372" s="2"/>
      <c r="E372" s="4" t="s">
        <v>746</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572</v>
      </c>
      <c r="E374" s="2" t="s">
        <v>281</v>
      </c>
      <c r="J374" s="4"/>
      <c r="K374" s="4"/>
      <c r="L374" s="4"/>
      <c r="M374" s="4"/>
      <c r="N374" s="4"/>
      <c r="O374" s="4"/>
      <c r="P374" s="4"/>
      <c r="Q374" s="4"/>
      <c r="R374" s="4"/>
      <c r="S374" s="4"/>
    </row>
    <row r="375" spans="1:38">
      <c r="B375" s="2"/>
      <c r="E375" s="4" t="s">
        <v>112</v>
      </c>
      <c r="F375" s="4" t="s">
        <v>250</v>
      </c>
      <c r="G375" s="4"/>
      <c r="I375" s="4"/>
      <c r="J375" s="4"/>
      <c r="K375" s="4"/>
      <c r="L375" s="4"/>
      <c r="M375" s="4"/>
      <c r="N375" s="4"/>
      <c r="O375" s="4"/>
      <c r="P375" s="4"/>
      <c r="Q375" s="4"/>
      <c r="R375" s="4"/>
      <c r="S375" s="4"/>
    </row>
    <row r="376" spans="1:38">
      <c r="B376" s="2"/>
      <c r="E376" s="4"/>
      <c r="F376" s="120" t="s">
        <v>1150</v>
      </c>
      <c r="G376" s="4"/>
      <c r="I376" s="120"/>
      <c r="J376" s="4"/>
      <c r="K376" s="4"/>
      <c r="L376" s="4"/>
      <c r="M376" s="4"/>
      <c r="N376" s="4"/>
      <c r="O376" s="4"/>
      <c r="P376" s="4"/>
      <c r="Q376" s="4"/>
      <c r="R376" s="4"/>
      <c r="S376" s="4"/>
    </row>
    <row r="377" spans="1:38">
      <c r="B377" s="2"/>
      <c r="E377" s="4" t="s">
        <v>113</v>
      </c>
      <c r="F377" s="4" t="s">
        <v>251</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512</v>
      </c>
      <c r="E379" s="2" t="s">
        <v>1256</v>
      </c>
      <c r="J379" s="3"/>
      <c r="K379" s="3"/>
      <c r="L379" s="3"/>
      <c r="M379" s="3"/>
      <c r="N379" s="3"/>
      <c r="O379" s="3"/>
      <c r="P379" s="3"/>
      <c r="Q379" s="3"/>
      <c r="R379" s="3"/>
      <c r="S379" s="3"/>
    </row>
    <row r="380" spans="1:38">
      <c r="B380" s="2"/>
      <c r="D380" s="2"/>
      <c r="E380" s="3" t="s">
        <v>745</v>
      </c>
      <c r="F380" s="3"/>
      <c r="G380" s="3"/>
      <c r="J380" s="3"/>
      <c r="K380" s="3"/>
      <c r="L380" s="3"/>
      <c r="M380" s="3"/>
      <c r="N380" s="3"/>
      <c r="O380" s="3"/>
      <c r="P380" s="3"/>
      <c r="Q380" s="3"/>
      <c r="R380" s="3"/>
      <c r="S380" s="3"/>
    </row>
    <row r="381" spans="1:38">
      <c r="B381" s="2"/>
      <c r="D381" s="2"/>
      <c r="E381" s="3" t="s">
        <v>1153</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302</v>
      </c>
      <c r="E383" s="2" t="s">
        <v>283</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1257</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1150</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435" t="s">
        <v>1266</v>
      </c>
      <c r="G386" s="1435"/>
      <c r="H386" s="1435"/>
      <c r="I386" s="1435"/>
      <c r="J386" s="1435"/>
      <c r="K386" s="1435"/>
      <c r="L386" s="1435"/>
      <c r="M386" s="1435"/>
      <c r="N386" s="1435"/>
      <c r="O386" s="1435"/>
      <c r="P386" s="1435"/>
      <c r="Q386" s="1435"/>
      <c r="R386" s="1435"/>
      <c r="S386" s="1435"/>
      <c r="T386" s="1435"/>
      <c r="U386" s="1435"/>
      <c r="V386" s="1435"/>
      <c r="W386" s="1435"/>
      <c r="X386" s="1435"/>
      <c r="Y386" s="1435"/>
      <c r="Z386" s="1435"/>
      <c r="AA386" s="1435"/>
      <c r="AB386" s="1435"/>
      <c r="AC386" s="1435"/>
      <c r="AD386" s="1435"/>
      <c r="AE386" s="1435"/>
      <c r="AF386" s="1435"/>
      <c r="AG386" s="1435"/>
      <c r="AH386" s="1435"/>
      <c r="AI386" s="1435"/>
      <c r="AJ386" s="1435"/>
      <c r="AK386" s="1435"/>
    </row>
    <row r="387" spans="1:38">
      <c r="B387" s="2"/>
      <c r="E387" s="3"/>
      <c r="F387" s="1435"/>
      <c r="G387" s="1435"/>
      <c r="H387" s="1435"/>
      <c r="I387" s="1435"/>
      <c r="J387" s="1435"/>
      <c r="K387" s="1435"/>
      <c r="L387" s="1435"/>
      <c r="M387" s="1435"/>
      <c r="N387" s="1435"/>
      <c r="O387" s="1435"/>
      <c r="P387" s="1435"/>
      <c r="Q387" s="1435"/>
      <c r="R387" s="1435"/>
      <c r="S387" s="1435"/>
      <c r="T387" s="1435"/>
      <c r="U387" s="1435"/>
      <c r="V387" s="1435"/>
      <c r="W387" s="1435"/>
      <c r="X387" s="1435"/>
      <c r="Y387" s="1435"/>
      <c r="Z387" s="1435"/>
      <c r="AA387" s="1435"/>
      <c r="AB387" s="1435"/>
      <c r="AC387" s="1435"/>
      <c r="AD387" s="1435"/>
      <c r="AE387" s="1435"/>
      <c r="AF387" s="1435"/>
      <c r="AG387" s="1435"/>
      <c r="AH387" s="1435"/>
      <c r="AI387" s="1435"/>
      <c r="AJ387" s="1435"/>
      <c r="AK387" s="1435"/>
    </row>
    <row r="388" spans="1:38">
      <c r="B388" s="2"/>
      <c r="E388" s="3"/>
      <c r="F388" s="1435"/>
      <c r="G388" s="1435"/>
      <c r="H388" s="1435"/>
      <c r="I388" s="1435"/>
      <c r="J388" s="1435"/>
      <c r="K388" s="1435"/>
      <c r="L388" s="1435"/>
      <c r="M388" s="1435"/>
      <c r="N388" s="1435"/>
      <c r="O388" s="1435"/>
      <c r="P388" s="1435"/>
      <c r="Q388" s="1435"/>
      <c r="R388" s="1435"/>
      <c r="S388" s="1435"/>
      <c r="T388" s="1435"/>
      <c r="U388" s="1435"/>
      <c r="V388" s="1435"/>
      <c r="W388" s="1435"/>
      <c r="X388" s="1435"/>
      <c r="Y388" s="1435"/>
      <c r="Z388" s="1435"/>
      <c r="AA388" s="1435"/>
      <c r="AB388" s="1435"/>
      <c r="AC388" s="1435"/>
      <c r="AD388" s="1435"/>
      <c r="AE388" s="1435"/>
      <c r="AF388" s="1435"/>
      <c r="AG388" s="1435"/>
      <c r="AH388" s="1435"/>
      <c r="AI388" s="1435"/>
      <c r="AJ388" s="1435"/>
      <c r="AK388" s="1435"/>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428</v>
      </c>
      <c r="E390" s="2" t="s">
        <v>1272</v>
      </c>
      <c r="F390" s="3"/>
      <c r="G390" s="2"/>
      <c r="I390" s="120"/>
      <c r="J390" s="3"/>
      <c r="K390" s="3"/>
      <c r="L390" s="3"/>
      <c r="M390" s="3"/>
      <c r="N390" s="3"/>
      <c r="O390" s="3"/>
      <c r="P390" s="3"/>
      <c r="Q390" s="3"/>
      <c r="R390" s="3"/>
      <c r="S390" s="3"/>
    </row>
    <row r="391" spans="1:38" ht="13.35" customHeight="1">
      <c r="B391" s="2"/>
      <c r="D391" s="2"/>
      <c r="E391" s="3" t="s">
        <v>1271</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1153</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6" customHeight="1" zeroHeight="1"/>
  <cols>
    <col min="1" max="10" width="10.7109375" style="398" customWidth="1"/>
    <col min="11" max="16384" width="8.85546875" style="398" hidden="1"/>
  </cols>
  <sheetData>
    <row r="1" spans="1:10" ht="15.75">
      <c r="A1" s="1838" t="s">
        <v>1835</v>
      </c>
      <c r="B1" s="1839"/>
      <c r="C1" s="1839"/>
      <c r="D1" s="1839"/>
      <c r="E1" s="1839"/>
      <c r="F1" s="1839"/>
      <c r="G1" s="1839"/>
      <c r="H1" s="1839"/>
      <c r="I1" s="1839"/>
      <c r="J1" s="1839"/>
    </row>
    <row r="2" spans="1:10" ht="15">
      <c r="A2" s="1842" t="s">
        <v>1265</v>
      </c>
      <c r="B2" s="1843"/>
      <c r="C2" s="1843"/>
      <c r="D2" s="1843"/>
      <c r="E2" s="1843"/>
      <c r="F2" s="1843"/>
      <c r="G2" s="1843"/>
      <c r="H2" s="1843"/>
      <c r="I2" s="1843"/>
      <c r="J2" s="1843"/>
    </row>
    <row r="3" spans="1:10" ht="12.75"/>
    <row r="4" spans="1:10" ht="12.75" customHeight="1">
      <c r="A4" s="1840" t="s">
        <v>1998</v>
      </c>
      <c r="B4" s="1840"/>
      <c r="C4" s="1840"/>
      <c r="D4" s="1840"/>
      <c r="E4" s="1840"/>
      <c r="F4" s="1840"/>
      <c r="G4" s="1840"/>
      <c r="H4" s="1840"/>
      <c r="I4" s="1840"/>
      <c r="J4" s="1840"/>
    </row>
    <row r="5" spans="1:10" ht="12.75">
      <c r="A5" s="1840"/>
      <c r="B5" s="1840"/>
      <c r="C5" s="1840"/>
      <c r="D5" s="1840"/>
      <c r="E5" s="1840"/>
      <c r="F5" s="1840"/>
      <c r="G5" s="1840"/>
      <c r="H5" s="1840"/>
      <c r="I5" s="1840"/>
      <c r="J5" s="1840"/>
    </row>
    <row r="6" spans="1:10" ht="30" customHeight="1">
      <c r="A6" s="1840"/>
      <c r="B6" s="1840"/>
      <c r="C6" s="1840"/>
      <c r="D6" s="1840"/>
      <c r="E6" s="1840"/>
      <c r="F6" s="1840"/>
      <c r="G6" s="1840"/>
      <c r="H6" s="1840"/>
      <c r="I6" s="1840"/>
      <c r="J6" s="1840"/>
    </row>
    <row r="7" spans="1:10" ht="12.75">
      <c r="A7" s="412"/>
      <c r="B7" s="412"/>
      <c r="C7" s="412"/>
      <c r="D7" s="412"/>
      <c r="E7" s="412"/>
      <c r="F7" s="412"/>
      <c r="G7" s="412"/>
      <c r="H7" s="412"/>
      <c r="I7" s="412"/>
      <c r="J7" s="412"/>
    </row>
    <row r="8" spans="1:10" ht="12.75" customHeight="1">
      <c r="A8" s="398" t="s">
        <v>1838</v>
      </c>
      <c r="B8" s="412"/>
      <c r="C8" s="412"/>
      <c r="D8" s="412"/>
      <c r="E8" s="412"/>
      <c r="F8" s="412"/>
      <c r="G8" s="412"/>
      <c r="H8" s="412"/>
      <c r="I8" s="412"/>
      <c r="J8" s="412"/>
    </row>
    <row r="9" spans="1:10" ht="12.75"/>
    <row r="10" spans="1:10" ht="12.75" customHeight="1">
      <c r="A10" s="1844" t="s">
        <v>1840</v>
      </c>
      <c r="B10" s="1844"/>
      <c r="C10" s="1844"/>
      <c r="D10" s="1844"/>
      <c r="E10" s="1844"/>
      <c r="F10" s="1844"/>
      <c r="G10" s="1844"/>
      <c r="H10" s="1844"/>
      <c r="I10" s="1844"/>
      <c r="J10" s="1844"/>
    </row>
    <row r="11" spans="1:10" ht="12.75">
      <c r="A11" s="1844"/>
      <c r="B11" s="1844"/>
      <c r="C11" s="1844"/>
      <c r="D11" s="1844"/>
      <c r="E11" s="1844"/>
      <c r="F11" s="1844"/>
      <c r="G11" s="1844"/>
      <c r="H11" s="1844"/>
      <c r="I11" s="1844"/>
      <c r="J11" s="1844"/>
    </row>
    <row r="12" spans="1:10" ht="12.75">
      <c r="A12" s="1844"/>
      <c r="B12" s="1844"/>
      <c r="C12" s="1844"/>
      <c r="D12" s="1844"/>
      <c r="E12" s="1844"/>
      <c r="F12" s="1844"/>
      <c r="G12" s="1844"/>
      <c r="H12" s="1844"/>
      <c r="I12" s="1844"/>
      <c r="J12" s="1844"/>
    </row>
    <row r="13" spans="1:10" ht="12.75">
      <c r="A13" s="1844"/>
      <c r="B13" s="1844"/>
      <c r="C13" s="1844"/>
      <c r="D13" s="1844"/>
      <c r="E13" s="1844"/>
      <c r="F13" s="1844"/>
      <c r="G13" s="1844"/>
      <c r="H13" s="1844"/>
      <c r="I13" s="1844"/>
      <c r="J13" s="1844"/>
    </row>
    <row r="14" spans="1:10" ht="12.75">
      <c r="A14" s="1844"/>
      <c r="B14" s="1844"/>
      <c r="C14" s="1844"/>
      <c r="D14" s="1844"/>
      <c r="E14" s="1844"/>
      <c r="F14" s="1844"/>
      <c r="G14" s="1844"/>
      <c r="H14" s="1844"/>
      <c r="I14" s="1844"/>
      <c r="J14" s="1844"/>
    </row>
    <row r="15" spans="1:10" ht="12.75">
      <c r="A15" s="1844"/>
      <c r="B15" s="1844"/>
      <c r="C15" s="1844"/>
      <c r="D15" s="1844"/>
      <c r="E15" s="1844"/>
      <c r="F15" s="1844"/>
      <c r="G15" s="1844"/>
      <c r="H15" s="1844"/>
      <c r="I15" s="1844"/>
      <c r="J15" s="1844"/>
    </row>
    <row r="16" spans="1:10" ht="12.75">
      <c r="A16" s="520"/>
      <c r="B16" s="520"/>
      <c r="C16" s="520"/>
      <c r="D16" s="520"/>
      <c r="E16" s="520"/>
      <c r="F16" s="520"/>
      <c r="G16" s="520"/>
      <c r="H16" s="520"/>
      <c r="I16" s="520"/>
      <c r="J16" s="520"/>
    </row>
    <row r="17" spans="1:10" ht="12.75">
      <c r="A17" s="472" t="s">
        <v>1839</v>
      </c>
      <c r="B17" s="412"/>
      <c r="C17" s="412"/>
      <c r="D17" s="412"/>
      <c r="E17" s="412"/>
      <c r="F17" s="412"/>
      <c r="G17" s="412"/>
      <c r="H17" s="412"/>
      <c r="I17" s="412"/>
      <c r="J17" s="412"/>
    </row>
    <row r="18" spans="1:10" ht="12.75">
      <c r="A18" s="412" t="s">
        <v>249</v>
      </c>
      <c r="B18" s="412"/>
      <c r="C18" s="412"/>
      <c r="D18" s="412"/>
      <c r="E18" s="412"/>
      <c r="F18" s="412"/>
      <c r="G18" s="412"/>
      <c r="H18" s="412"/>
      <c r="I18" s="412"/>
      <c r="J18" s="412"/>
    </row>
    <row r="19" spans="1:10" ht="12.75">
      <c r="A19" s="1843" t="s">
        <v>1186</v>
      </c>
      <c r="B19" s="1843"/>
      <c r="C19" s="1843"/>
      <c r="D19" s="1843"/>
      <c r="E19" s="1843"/>
    </row>
    <row r="20" spans="1:10" ht="12.75"/>
    <row r="21" spans="1:10" ht="12.75"/>
    <row r="22" spans="1:10" ht="12.75"/>
    <row r="23" spans="1:10" ht="12.75"/>
    <row r="24" spans="1:10" ht="12.75"/>
    <row r="25" spans="1:10" ht="12.75"/>
    <row r="26" spans="1:10" ht="12.75"/>
    <row r="27" spans="1:10" ht="12.75"/>
    <row r="28" spans="1:10" ht="12.75"/>
    <row r="29" spans="1:10" ht="12.75"/>
    <row r="30" spans="1:10" ht="12.75"/>
    <row r="31" spans="1:10" ht="12.75"/>
    <row r="32" spans="1:10"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spans="1:10" ht="12.75"/>
    <row r="66" spans="1:10" ht="12.75"/>
    <row r="67" spans="1:10" ht="12.75"/>
    <row r="68" spans="1:10" ht="12.75"/>
    <row r="69" spans="1:10" ht="12.75"/>
    <row r="70" spans="1:10" ht="12.75"/>
    <row r="71" spans="1:10" ht="12.75"/>
    <row r="72" spans="1:10" ht="12.75"/>
    <row r="73" spans="1:10" ht="12.75"/>
    <row r="74" spans="1:10" ht="12.75"/>
    <row r="75" spans="1:10" ht="12.75"/>
    <row r="76" spans="1:10" ht="12.75">
      <c r="A76" s="1840" t="s">
        <v>1187</v>
      </c>
      <c r="B76" s="1840"/>
      <c r="C76" s="1840"/>
      <c r="D76" s="1840"/>
      <c r="E76" s="1840"/>
      <c r="F76" s="1840"/>
      <c r="G76" s="1840"/>
      <c r="H76" s="1840"/>
      <c r="I76" s="1840"/>
      <c r="J76" s="1840"/>
    </row>
    <row r="77" spans="1:10" ht="12.75">
      <c r="A77" s="1840"/>
      <c r="B77" s="1840"/>
      <c r="C77" s="1840"/>
      <c r="D77" s="1840"/>
      <c r="E77" s="1840"/>
      <c r="F77" s="1840"/>
      <c r="G77" s="1840"/>
      <c r="H77" s="1840"/>
      <c r="I77" s="1840"/>
      <c r="J77" s="1840"/>
    </row>
    <row r="78" spans="1:10" ht="12.75">
      <c r="A78" s="1840"/>
      <c r="B78" s="1840"/>
      <c r="C78" s="1840"/>
      <c r="D78" s="1840"/>
      <c r="E78" s="1840"/>
      <c r="F78" s="1840"/>
      <c r="G78" s="1840"/>
      <c r="H78" s="1840"/>
      <c r="I78" s="1840"/>
      <c r="J78" s="1840"/>
    </row>
    <row r="79" spans="1:10" ht="12.75"/>
    <row r="80" spans="1:10" ht="12.75">
      <c r="A80" s="398" t="s">
        <v>1186</v>
      </c>
    </row>
    <row r="81" spans="1:9" ht="12.75"/>
    <row r="82" spans="1:9" ht="12.75"/>
    <row r="83" spans="1:9" ht="12.75"/>
    <row r="84" spans="1:9" ht="12.75"/>
    <row r="85" spans="1:9" ht="12.75"/>
    <row r="86" spans="1:9" ht="12.75"/>
    <row r="87" spans="1:9" ht="12.75"/>
    <row r="88" spans="1:9" ht="12.75"/>
    <row r="89" spans="1:9" ht="12.75">
      <c r="A89" s="1841" t="s">
        <v>1836</v>
      </c>
      <c r="B89" s="1841"/>
      <c r="C89" s="1841"/>
      <c r="D89" s="1841"/>
      <c r="E89" s="1841"/>
      <c r="F89" s="1841"/>
      <c r="G89" s="1841"/>
      <c r="H89" s="1841"/>
      <c r="I89" s="1841"/>
    </row>
    <row r="90" spans="1:9" ht="12.75">
      <c r="A90" s="1833" t="s">
        <v>1996</v>
      </c>
      <c r="B90" s="1833"/>
      <c r="C90" s="1833"/>
      <c r="D90" s="1833"/>
      <c r="E90" s="1833"/>
    </row>
    <row r="91" spans="1:9" ht="12.75">
      <c r="A91" s="1833" t="s">
        <v>1997</v>
      </c>
      <c r="B91" s="1833"/>
      <c r="C91" s="1833"/>
      <c r="D91" s="1833"/>
      <c r="E91" s="1833"/>
    </row>
    <row r="92" spans="1:9" ht="12.75">
      <c r="A92" s="1833" t="s">
        <v>1837</v>
      </c>
      <c r="B92" s="1833"/>
      <c r="C92" s="1833"/>
      <c r="D92" s="1833"/>
      <c r="E92" s="1833"/>
    </row>
    <row r="93" spans="1:9" ht="12.75"/>
    <row r="94" spans="1:9" ht="12.75" hidden="1"/>
    <row r="95" spans="1:9" ht="12.7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28575</xdr:colOff>
                <xdr:row>77</xdr:row>
                <xdr:rowOff>238125</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22"/>
  <sheetViews>
    <sheetView showGridLines="0" zoomScale="90" zoomScaleNormal="90" workbookViewId="0">
      <selection activeCell="D984" sqref="D984:F986"/>
    </sheetView>
  </sheetViews>
  <sheetFormatPr defaultColWidth="0" defaultRowHeight="12.75" zeroHeight="1"/>
  <cols>
    <col min="1" max="1" width="3.42578125" style="476" customWidth="1"/>
    <col min="2" max="2" width="13.42578125" style="476" customWidth="1"/>
    <col min="3" max="3" width="2.42578125" style="476" customWidth="1"/>
    <col min="4" max="5" width="3.42578125" style="398" customWidth="1"/>
    <col min="6" max="6" width="65.42578125" style="398" customWidth="1"/>
    <col min="7" max="7" width="1.42578125" style="398" customWidth="1"/>
    <col min="8" max="8" width="3.42578125" style="398" customWidth="1"/>
    <col min="9" max="9" width="9.140625" style="400" customWidth="1"/>
    <col min="10" max="13" width="8.85546875" style="398" hidden="1" customWidth="1"/>
    <col min="14" max="16384" width="0" style="398" hidden="1"/>
  </cols>
  <sheetData>
    <row r="1" spans="1:13"/>
    <row r="2" spans="1:13">
      <c r="A2" s="1894" t="s">
        <v>2593</v>
      </c>
      <c r="B2" s="1894"/>
      <c r="C2" s="1894"/>
      <c r="D2" s="1894"/>
      <c r="E2" s="1894"/>
      <c r="F2" s="1894"/>
      <c r="G2" s="1894"/>
      <c r="H2" s="1894"/>
      <c r="I2" s="1894"/>
    </row>
    <row r="3" spans="1:13">
      <c r="A3" s="1885" t="s">
        <v>2165</v>
      </c>
      <c r="B3" s="1885"/>
      <c r="C3" s="1885"/>
      <c r="D3" s="1885"/>
      <c r="E3" s="1885"/>
      <c r="F3" s="1885"/>
      <c r="G3" s="1885"/>
      <c r="H3" s="1885"/>
      <c r="I3" s="1885"/>
    </row>
    <row r="4" spans="1:13">
      <c r="A4" s="1885"/>
      <c r="B4" s="1885"/>
      <c r="C4" s="1843"/>
      <c r="D4" s="1843"/>
      <c r="E4" s="1843"/>
      <c r="F4" s="1843"/>
      <c r="G4" s="1843"/>
    </row>
    <row r="5" spans="1:13">
      <c r="A5" s="1885"/>
      <c r="B5" s="1885"/>
      <c r="C5" s="1843"/>
      <c r="D5" s="1843"/>
      <c r="E5" s="1843"/>
      <c r="F5" s="1843"/>
      <c r="G5" s="1843"/>
    </row>
    <row r="6" spans="1:13" ht="12.75" customHeight="1">
      <c r="A6" s="1888" t="s">
        <v>2164</v>
      </c>
      <c r="B6" s="1888"/>
      <c r="C6" s="1888"/>
      <c r="D6" s="1888"/>
      <c r="E6" s="1888"/>
      <c r="F6" s="1888"/>
      <c r="G6" s="1888"/>
      <c r="I6" s="486"/>
    </row>
    <row r="7" spans="1:13">
      <c r="A7" s="1888"/>
      <c r="B7" s="1888"/>
      <c r="C7" s="1888"/>
      <c r="D7" s="1888"/>
      <c r="E7" s="1888"/>
      <c r="F7" s="1888"/>
      <c r="G7" s="1888"/>
      <c r="I7" s="486"/>
    </row>
    <row r="8" spans="1:13">
      <c r="A8" s="477"/>
      <c r="B8" s="477"/>
      <c r="C8" s="478"/>
      <c r="D8" s="478"/>
      <c r="E8" s="478"/>
      <c r="F8" s="478"/>
    </row>
    <row r="9" spans="1:13">
      <c r="A9" s="1865" t="s">
        <v>1099</v>
      </c>
      <c r="B9" s="1865"/>
      <c r="C9" s="1865"/>
      <c r="D9" s="1865"/>
      <c r="E9" s="1865"/>
      <c r="F9" s="1865"/>
      <c r="G9" s="1865"/>
      <c r="H9" s="1018"/>
      <c r="I9" s="1019"/>
    </row>
    <row r="10" spans="1:13">
      <c r="A10" s="478"/>
      <c r="B10" s="478"/>
      <c r="E10" s="400"/>
    </row>
    <row r="11" spans="1:13" ht="13.7" customHeight="1">
      <c r="C11" s="478"/>
      <c r="D11" s="1887" t="s">
        <v>1098</v>
      </c>
      <c r="E11" s="1887"/>
      <c r="F11" s="1887"/>
    </row>
    <row r="12" spans="1:13">
      <c r="C12" s="478"/>
      <c r="D12" s="1887"/>
      <c r="E12" s="1887"/>
      <c r="F12" s="1887"/>
    </row>
    <row r="13" spans="1:13">
      <c r="A13" s="479"/>
      <c r="B13" s="479"/>
      <c r="C13" s="479"/>
      <c r="D13" s="1866" t="s">
        <v>1088</v>
      </c>
      <c r="E13" s="1866"/>
      <c r="F13" s="1866"/>
      <c r="M13" s="96"/>
    </row>
    <row r="14" spans="1:13">
      <c r="A14" s="479"/>
      <c r="B14" s="479"/>
      <c r="C14" s="479"/>
      <c r="D14" s="472"/>
      <c r="L14" s="312"/>
    </row>
    <row r="15" spans="1:13" ht="14.25">
      <c r="A15" s="480"/>
      <c r="B15" s="481" t="s">
        <v>2850</v>
      </c>
      <c r="C15" s="479"/>
      <c r="D15" s="1864" t="s">
        <v>1887</v>
      </c>
      <c r="E15" s="1864"/>
      <c r="F15" s="1864"/>
      <c r="I15" s="486"/>
    </row>
    <row r="16" spans="1:13">
      <c r="A16" s="479"/>
      <c r="B16" s="479"/>
      <c r="C16" s="479"/>
      <c r="D16" s="1864"/>
      <c r="E16" s="1864"/>
      <c r="F16" s="1864"/>
      <c r="I16" s="486"/>
    </row>
    <row r="17" spans="1:9">
      <c r="A17" s="479"/>
      <c r="B17" s="479"/>
      <c r="C17" s="479"/>
      <c r="D17" s="1864"/>
      <c r="E17" s="1864"/>
      <c r="F17" s="1864"/>
      <c r="I17" s="486"/>
    </row>
    <row r="18" spans="1:9">
      <c r="A18" s="479"/>
      <c r="B18" s="479"/>
      <c r="C18" s="479"/>
      <c r="D18" s="441"/>
      <c r="E18" s="312" t="s">
        <v>1885</v>
      </c>
      <c r="F18" s="441"/>
      <c r="I18" s="486"/>
    </row>
    <row r="19" spans="1:9">
      <c r="A19" s="479"/>
      <c r="B19" s="479"/>
      <c r="C19" s="479"/>
      <c r="I19" s="486"/>
    </row>
    <row r="20" spans="1:9" ht="14.25">
      <c r="A20" s="480"/>
      <c r="B20" s="481" t="s">
        <v>2850</v>
      </c>
      <c r="D20" s="1864" t="s">
        <v>1888</v>
      </c>
      <c r="E20" s="1864"/>
      <c r="F20" s="1864"/>
      <c r="I20" s="486"/>
    </row>
    <row r="21" spans="1:9" ht="14.25">
      <c r="A21" s="480"/>
      <c r="D21" s="1864"/>
      <c r="E21" s="1864"/>
      <c r="F21" s="1864"/>
      <c r="I21" s="486"/>
    </row>
    <row r="22" spans="1:9" ht="14.25">
      <c r="A22" s="480"/>
      <c r="D22" s="388"/>
      <c r="E22" s="96" t="s">
        <v>1884</v>
      </c>
      <c r="F22" s="388"/>
      <c r="I22" s="486"/>
    </row>
    <row r="23" spans="1:9" ht="14.25">
      <c r="A23" s="480"/>
      <c r="B23" s="480"/>
      <c r="D23" s="442"/>
      <c r="I23" s="486"/>
    </row>
    <row r="24" spans="1:9" ht="14.25">
      <c r="A24" s="480"/>
      <c r="B24" s="481" t="s">
        <v>2687</v>
      </c>
      <c r="D24" s="1864" t="s">
        <v>1089</v>
      </c>
      <c r="E24" s="1864"/>
      <c r="F24" s="1864"/>
      <c r="I24" s="486"/>
    </row>
    <row r="25" spans="1:9" ht="14.25">
      <c r="A25" s="480"/>
      <c r="B25" s="480"/>
      <c r="D25" s="1864"/>
      <c r="E25" s="1864"/>
      <c r="F25" s="1864"/>
      <c r="I25" s="486"/>
    </row>
    <row r="26" spans="1:9">
      <c r="I26" s="486"/>
    </row>
    <row r="27" spans="1:9" ht="14.25">
      <c r="A27" s="480"/>
      <c r="B27" s="481" t="s">
        <v>2850</v>
      </c>
      <c r="D27" s="1864" t="s">
        <v>1999</v>
      </c>
      <c r="E27" s="1864"/>
      <c r="F27" s="1864"/>
      <c r="I27" s="486"/>
    </row>
    <row r="28" spans="1:9">
      <c r="D28" s="1864"/>
      <c r="E28" s="1864"/>
      <c r="F28" s="1864"/>
      <c r="I28" s="486"/>
    </row>
    <row r="29" spans="1:9">
      <c r="D29" s="1864"/>
      <c r="E29" s="1864"/>
      <c r="F29" s="1864"/>
      <c r="I29" s="486"/>
    </row>
    <row r="30" spans="1:9">
      <c r="D30" s="1864"/>
      <c r="E30" s="1864"/>
      <c r="F30" s="1864"/>
      <c r="I30" s="486"/>
    </row>
    <row r="31" spans="1:9">
      <c r="D31" s="1864"/>
      <c r="E31" s="1864"/>
      <c r="F31" s="1864"/>
      <c r="I31" s="486"/>
    </row>
    <row r="32" spans="1:9">
      <c r="D32" s="443"/>
      <c r="I32" s="486"/>
    </row>
    <row r="33" spans="1:9">
      <c r="B33" s="481" t="s">
        <v>2850</v>
      </c>
      <c r="D33" s="1864" t="s">
        <v>2000</v>
      </c>
      <c r="E33" s="1864"/>
      <c r="F33" s="1864"/>
      <c r="I33" s="486"/>
    </row>
    <row r="34" spans="1:9">
      <c r="D34" s="1864"/>
      <c r="E34" s="1864"/>
      <c r="F34" s="1864"/>
      <c r="I34" s="486"/>
    </row>
    <row r="35" spans="1:9" ht="14.25">
      <c r="A35" s="480"/>
      <c r="B35" s="480"/>
      <c r="D35" s="443"/>
      <c r="I35" s="486"/>
    </row>
    <row r="36" spans="1:9" ht="14.45" customHeight="1">
      <c r="A36" s="480"/>
      <c r="B36" s="481" t="s">
        <v>2850</v>
      </c>
      <c r="D36" s="1864" t="s">
        <v>1211</v>
      </c>
      <c r="E36" s="1864"/>
      <c r="F36" s="1864"/>
      <c r="I36" s="486"/>
    </row>
    <row r="37" spans="1:9" ht="14.25">
      <c r="A37" s="480"/>
      <c r="B37" s="480"/>
      <c r="D37" s="1864"/>
      <c r="E37" s="1864"/>
      <c r="F37" s="1864"/>
      <c r="I37" s="486"/>
    </row>
    <row r="38" spans="1:9" ht="14.25">
      <c r="A38" s="480"/>
      <c r="B38" s="480"/>
      <c r="D38" s="1864"/>
      <c r="E38" s="1864"/>
      <c r="F38" s="1864"/>
      <c r="I38" s="486"/>
    </row>
    <row r="39" spans="1:9" ht="14.25">
      <c r="A39" s="480"/>
      <c r="B39" s="480"/>
      <c r="D39" s="1864"/>
      <c r="E39" s="1864"/>
      <c r="F39" s="1864"/>
      <c r="I39" s="486"/>
    </row>
    <row r="40" spans="1:9" ht="14.25">
      <c r="A40" s="480"/>
      <c r="B40" s="480"/>
      <c r="I40" s="486"/>
    </row>
    <row r="41" spans="1:9" ht="14.25">
      <c r="A41" s="480"/>
      <c r="B41" s="481" t="s">
        <v>2850</v>
      </c>
      <c r="D41" s="1864" t="s">
        <v>1090</v>
      </c>
      <c r="E41" s="1864"/>
      <c r="F41" s="1864"/>
      <c r="I41" s="486"/>
    </row>
    <row r="42" spans="1:9" ht="14.25">
      <c r="A42" s="480"/>
      <c r="B42" s="480"/>
      <c r="D42" s="1864"/>
      <c r="E42" s="1864"/>
      <c r="F42" s="1864"/>
      <c r="I42" s="486"/>
    </row>
    <row r="43" spans="1:9" ht="14.25">
      <c r="A43" s="480"/>
      <c r="B43" s="480"/>
      <c r="D43" s="1864"/>
      <c r="E43" s="1864"/>
      <c r="F43" s="1864"/>
      <c r="I43" s="486"/>
    </row>
    <row r="44" spans="1:9" ht="14.25">
      <c r="A44" s="480"/>
      <c r="B44" s="480"/>
      <c r="D44" s="1864"/>
      <c r="E44" s="1864"/>
      <c r="F44" s="1864"/>
      <c r="I44" s="486"/>
    </row>
    <row r="45" spans="1:9" ht="14.25">
      <c r="A45" s="480"/>
      <c r="B45" s="480"/>
      <c r="D45" s="1864"/>
      <c r="E45" s="1864"/>
      <c r="F45" s="1864"/>
      <c r="I45" s="486"/>
    </row>
    <row r="46" spans="1:9" ht="14.25">
      <c r="A46" s="480"/>
      <c r="B46" s="480"/>
      <c r="D46" s="441"/>
      <c r="E46" s="441"/>
      <c r="F46" s="441"/>
      <c r="I46" s="486"/>
    </row>
    <row r="47" spans="1:9" ht="14.25">
      <c r="A47" s="480"/>
      <c r="B47" s="481" t="s">
        <v>2850</v>
      </c>
      <c r="D47" s="1864" t="s">
        <v>1091</v>
      </c>
      <c r="E47" s="1864"/>
      <c r="F47" s="1864"/>
      <c r="I47" s="486"/>
    </row>
    <row r="48" spans="1:9" ht="14.25">
      <c r="A48" s="480"/>
      <c r="B48" s="480"/>
      <c r="D48" s="1864"/>
      <c r="E48" s="1864"/>
      <c r="F48" s="1864"/>
      <c r="I48" s="486"/>
    </row>
    <row r="49" spans="1:9" ht="14.25">
      <c r="A49" s="480"/>
      <c r="B49" s="480"/>
      <c r="D49" s="1864"/>
      <c r="E49" s="1864"/>
      <c r="F49" s="1864"/>
      <c r="I49" s="486"/>
    </row>
    <row r="50" spans="1:9" ht="23.25" customHeight="1">
      <c r="A50" s="480"/>
      <c r="B50" s="480"/>
      <c r="D50" s="1864"/>
      <c r="E50" s="1864"/>
      <c r="F50" s="1864"/>
      <c r="I50" s="486"/>
    </row>
    <row r="51" spans="1:9" ht="14.25">
      <c r="A51" s="480"/>
      <c r="B51" s="480"/>
      <c r="D51" s="442"/>
      <c r="I51" s="486"/>
    </row>
    <row r="52" spans="1:9" ht="14.45" customHeight="1">
      <c r="A52" s="480"/>
      <c r="B52" s="481" t="s">
        <v>2687</v>
      </c>
      <c r="D52" s="1864" t="s">
        <v>1092</v>
      </c>
      <c r="E52" s="1864"/>
      <c r="F52" s="1864"/>
      <c r="I52" s="486"/>
    </row>
    <row r="53" spans="1:9" ht="14.25">
      <c r="A53" s="480"/>
      <c r="B53" s="480"/>
      <c r="D53" s="1864"/>
      <c r="E53" s="1864"/>
      <c r="F53" s="1864"/>
      <c r="I53" s="486"/>
    </row>
    <row r="54" spans="1:9" ht="14.25">
      <c r="A54" s="480"/>
      <c r="B54" s="480"/>
      <c r="D54" s="1864"/>
      <c r="E54" s="1864"/>
      <c r="F54" s="1864"/>
      <c r="I54" s="486"/>
    </row>
    <row r="55" spans="1:9" ht="14.25">
      <c r="A55" s="480"/>
      <c r="B55" s="480"/>
      <c r="I55" s="486"/>
    </row>
    <row r="56" spans="1:9" ht="14.25">
      <c r="A56" s="480"/>
      <c r="B56" s="481" t="s">
        <v>2850</v>
      </c>
      <c r="D56" s="1889" t="s">
        <v>1093</v>
      </c>
      <c r="E56" s="1889"/>
      <c r="F56" s="1889"/>
      <c r="I56" s="486"/>
    </row>
    <row r="57" spans="1:9" ht="14.25">
      <c r="A57" s="480"/>
      <c r="B57" s="480"/>
      <c r="D57" s="1889"/>
      <c r="E57" s="1889"/>
      <c r="F57" s="1889"/>
      <c r="I57" s="486"/>
    </row>
    <row r="58" spans="1:9" ht="14.25">
      <c r="A58" s="480"/>
      <c r="B58" s="480"/>
      <c r="D58" s="388" t="s">
        <v>1886</v>
      </c>
      <c r="E58" s="441"/>
      <c r="F58" s="441"/>
      <c r="I58" s="486"/>
    </row>
    <row r="59" spans="1:9" ht="14.25">
      <c r="A59" s="480"/>
      <c r="B59" s="480"/>
      <c r="D59" s="441"/>
      <c r="E59" s="312" t="s">
        <v>1885</v>
      </c>
      <c r="F59" s="441"/>
      <c r="I59" s="486"/>
    </row>
    <row r="60" spans="1:9">
      <c r="D60" s="443"/>
      <c r="I60" s="486"/>
    </row>
    <row r="61" spans="1:9" ht="14.25">
      <c r="A61" s="480"/>
      <c r="B61" s="481" t="s">
        <v>2687</v>
      </c>
      <c r="D61" s="1864" t="s">
        <v>1094</v>
      </c>
      <c r="E61" s="1864"/>
      <c r="F61" s="1864"/>
      <c r="I61" s="486"/>
    </row>
    <row r="62" spans="1:9">
      <c r="D62" s="1864"/>
      <c r="E62" s="1864"/>
      <c r="F62" s="1864"/>
      <c r="I62" s="486"/>
    </row>
    <row r="63" spans="1:9">
      <c r="D63" s="1864"/>
      <c r="E63" s="1864"/>
      <c r="F63" s="1864"/>
      <c r="I63" s="486"/>
    </row>
    <row r="64" spans="1:9">
      <c r="I64" s="486"/>
    </row>
    <row r="65" spans="1:9" ht="14.25">
      <c r="A65" s="480"/>
      <c r="B65" s="481" t="s">
        <v>2687</v>
      </c>
      <c r="D65" s="1864" t="s">
        <v>1095</v>
      </c>
      <c r="E65" s="1864"/>
      <c r="F65" s="1864"/>
      <c r="I65" s="486"/>
    </row>
    <row r="66" spans="1:9">
      <c r="D66" s="1864"/>
      <c r="E66" s="1864"/>
      <c r="F66" s="1864"/>
      <c r="I66" s="486"/>
    </row>
    <row r="67" spans="1:9">
      <c r="I67" s="486"/>
    </row>
    <row r="68" spans="1:9" ht="14.25">
      <c r="A68" s="480"/>
      <c r="B68" s="481" t="s">
        <v>2850</v>
      </c>
      <c r="D68" s="1864" t="s">
        <v>1096</v>
      </c>
      <c r="E68" s="1864"/>
      <c r="F68" s="1864"/>
      <c r="I68" s="486"/>
    </row>
    <row r="69" spans="1:9">
      <c r="D69" s="1864"/>
      <c r="E69" s="1864"/>
      <c r="F69" s="1864"/>
      <c r="I69" s="486"/>
    </row>
    <row r="70" spans="1:9">
      <c r="D70" s="1864"/>
      <c r="E70" s="1864"/>
      <c r="F70" s="1864"/>
      <c r="I70" s="486"/>
    </row>
    <row r="71" spans="1:9">
      <c r="I71" s="486"/>
    </row>
    <row r="72" spans="1:9" ht="14.25">
      <c r="A72" s="480"/>
      <c r="B72" s="481" t="s">
        <v>2687</v>
      </c>
      <c r="D72" s="1864" t="s">
        <v>1097</v>
      </c>
      <c r="E72" s="1864"/>
      <c r="F72" s="1864"/>
      <c r="I72" s="486"/>
    </row>
    <row r="73" spans="1:9">
      <c r="D73" s="1864"/>
      <c r="E73" s="1864"/>
      <c r="F73" s="1864"/>
      <c r="I73" s="486"/>
    </row>
    <row r="74" spans="1:9" ht="14.25">
      <c r="A74" s="480"/>
      <c r="B74" s="480"/>
      <c r="D74" s="442"/>
      <c r="I74" s="486"/>
    </row>
    <row r="75" spans="1:9">
      <c r="A75" s="1865" t="s">
        <v>1042</v>
      </c>
      <c r="B75" s="1865"/>
      <c r="C75" s="1865"/>
      <c r="D75" s="1865"/>
      <c r="E75" s="1865"/>
      <c r="F75" s="1865"/>
      <c r="G75" s="1865"/>
      <c r="H75" s="1018"/>
      <c r="I75" s="1142"/>
    </row>
    <row r="76" spans="1:9">
      <c r="I76" s="486"/>
    </row>
    <row r="77" spans="1:9">
      <c r="C77" s="482"/>
      <c r="D77" s="1883" t="s">
        <v>1100</v>
      </c>
      <c r="E77" s="1883"/>
      <c r="F77" s="1883"/>
      <c r="I77" s="486"/>
    </row>
    <row r="78" spans="1:9">
      <c r="A78" s="442"/>
      <c r="B78" s="442"/>
      <c r="D78" s="1864" t="s">
        <v>1115</v>
      </c>
      <c r="E78" s="1864"/>
      <c r="F78" s="1864"/>
      <c r="I78" s="486"/>
    </row>
    <row r="79" spans="1:9">
      <c r="A79" s="442"/>
      <c r="B79" s="442"/>
      <c r="I79" s="486"/>
    </row>
    <row r="80" spans="1:9" ht="13.7" customHeight="1">
      <c r="A80" s="480"/>
      <c r="B80" s="481" t="s">
        <v>2850</v>
      </c>
      <c r="D80" s="1864" t="s">
        <v>1242</v>
      </c>
      <c r="E80" s="1864"/>
      <c r="F80" s="1864"/>
      <c r="I80" s="486"/>
    </row>
    <row r="81" spans="1:9" ht="14.25">
      <c r="A81" s="480"/>
      <c r="B81" s="480"/>
      <c r="D81" s="1864"/>
      <c r="E81" s="1864"/>
      <c r="F81" s="1864"/>
      <c r="I81" s="486"/>
    </row>
    <row r="82" spans="1:9" ht="14.25">
      <c r="A82" s="480"/>
      <c r="B82" s="480"/>
      <c r="D82" s="1864"/>
      <c r="E82" s="1864"/>
      <c r="F82" s="1864"/>
      <c r="I82" s="486"/>
    </row>
    <row r="83" spans="1:9" ht="14.25">
      <c r="A83" s="480"/>
      <c r="B83" s="480"/>
      <c r="D83" s="1864"/>
      <c r="E83" s="1864"/>
      <c r="F83" s="1864"/>
      <c r="I83" s="486"/>
    </row>
    <row r="84" spans="1:9" ht="14.25">
      <c r="A84" s="480"/>
      <c r="B84" s="480"/>
      <c r="D84" s="1864"/>
      <c r="E84" s="1864"/>
      <c r="F84" s="1864"/>
      <c r="I84" s="486"/>
    </row>
    <row r="85" spans="1:9" ht="14.25">
      <c r="A85" s="480"/>
      <c r="B85" s="480"/>
      <c r="D85" s="1864"/>
      <c r="E85" s="1864"/>
      <c r="F85" s="1864"/>
      <c r="I85" s="486"/>
    </row>
    <row r="86" spans="1:9" ht="14.25">
      <c r="A86" s="480"/>
      <c r="B86" s="480"/>
      <c r="D86" s="1864"/>
      <c r="E86" s="1864"/>
      <c r="F86" s="1864"/>
      <c r="I86" s="486"/>
    </row>
    <row r="87" spans="1:9" ht="14.25">
      <c r="A87" s="480"/>
      <c r="B87" s="480"/>
      <c r="D87" s="1864"/>
      <c r="E87" s="1864"/>
      <c r="F87" s="1864"/>
      <c r="I87" s="486"/>
    </row>
    <row r="88" spans="1:9" ht="14.25">
      <c r="A88" s="480"/>
      <c r="B88" s="480"/>
      <c r="D88" s="381"/>
      <c r="E88" s="381"/>
      <c r="F88" s="381"/>
      <c r="I88" s="486"/>
    </row>
    <row r="89" spans="1:9" ht="15" customHeight="1">
      <c r="A89" s="480"/>
      <c r="B89" s="481" t="s">
        <v>2850</v>
      </c>
      <c r="D89" s="1864" t="s">
        <v>1727</v>
      </c>
      <c r="E89" s="1864"/>
      <c r="F89" s="1864"/>
      <c r="I89" s="486"/>
    </row>
    <row r="90" spans="1:9" ht="14.25">
      <c r="A90" s="480"/>
      <c r="B90" s="480"/>
      <c r="D90" s="1864"/>
      <c r="E90" s="1864"/>
      <c r="F90" s="1864"/>
      <c r="I90" s="486"/>
    </row>
    <row r="91" spans="1:9" ht="14.25">
      <c r="A91" s="480"/>
      <c r="B91" s="480"/>
      <c r="D91" s="441"/>
      <c r="E91" s="441"/>
      <c r="F91" s="441"/>
      <c r="I91" s="486"/>
    </row>
    <row r="92" spans="1:9" ht="14.25">
      <c r="A92" s="480"/>
      <c r="B92" s="481" t="s">
        <v>2687</v>
      </c>
      <c r="D92" s="1864" t="s">
        <v>1730</v>
      </c>
      <c r="E92" s="1864"/>
      <c r="F92" s="1864"/>
      <c r="I92" s="486"/>
    </row>
    <row r="93" spans="1:9" ht="14.25">
      <c r="A93" s="480"/>
      <c r="B93" s="480"/>
      <c r="D93" s="1864"/>
      <c r="E93" s="1864"/>
      <c r="F93" s="1864"/>
      <c r="I93" s="486"/>
    </row>
    <row r="94" spans="1:9" ht="14.25">
      <c r="A94" s="480"/>
      <c r="B94" s="480"/>
      <c r="D94" s="1864"/>
      <c r="E94" s="1864"/>
      <c r="F94" s="1864"/>
      <c r="I94" s="486"/>
    </row>
    <row r="95" spans="1:9" ht="14.25">
      <c r="A95" s="480"/>
      <c r="B95" s="480"/>
      <c r="D95" s="441"/>
      <c r="E95" s="441"/>
      <c r="F95" s="441"/>
      <c r="I95" s="486"/>
    </row>
    <row r="96" spans="1:9" ht="14.25">
      <c r="A96" s="480"/>
      <c r="B96" s="481" t="s">
        <v>2850</v>
      </c>
      <c r="D96" s="1864" t="s">
        <v>1729</v>
      </c>
      <c r="E96" s="1864"/>
      <c r="F96" s="1864"/>
      <c r="I96" s="486"/>
    </row>
    <row r="97" spans="1:9" s="977" customFormat="1" ht="14.25">
      <c r="A97" s="975"/>
      <c r="B97" s="975"/>
      <c r="C97" s="976"/>
      <c r="D97" s="1864"/>
      <c r="E97" s="1864"/>
      <c r="F97" s="1864"/>
      <c r="I97" s="1143"/>
    </row>
    <row r="98" spans="1:9" ht="14.25">
      <c r="A98" s="480"/>
      <c r="B98" s="480"/>
      <c r="D98" s="388"/>
      <c r="E98" s="312" t="s">
        <v>1889</v>
      </c>
      <c r="F98" s="441"/>
      <c r="I98" s="486"/>
    </row>
    <row r="99" spans="1:9" ht="14.25">
      <c r="A99" s="480"/>
      <c r="B99" s="480"/>
      <c r="D99" s="381"/>
      <c r="E99" s="381"/>
      <c r="F99" s="381"/>
      <c r="I99" s="486"/>
    </row>
    <row r="100" spans="1:9" ht="14.25">
      <c r="A100" s="480"/>
      <c r="B100" s="481" t="s">
        <v>2687</v>
      </c>
      <c r="D100" s="1864" t="s">
        <v>1728</v>
      </c>
      <c r="E100" s="1864"/>
      <c r="F100" s="1864"/>
      <c r="I100" s="486"/>
    </row>
    <row r="101" spans="1:9" ht="14.25">
      <c r="A101" s="480"/>
      <c r="B101" s="480"/>
      <c r="D101" s="1864"/>
      <c r="E101" s="1864"/>
      <c r="F101" s="1864"/>
      <c r="I101" s="486"/>
    </row>
    <row r="102" spans="1:9" ht="14.25">
      <c r="A102" s="480"/>
      <c r="B102" s="480"/>
      <c r="D102" s="441"/>
      <c r="E102" s="441"/>
      <c r="F102" s="441"/>
      <c r="I102" s="486"/>
    </row>
    <row r="103" spans="1:9" ht="14.45" customHeight="1">
      <c r="A103" s="480"/>
      <c r="B103" s="481" t="s">
        <v>2687</v>
      </c>
      <c r="D103" s="1864" t="s">
        <v>1191</v>
      </c>
      <c r="E103" s="1864"/>
      <c r="F103" s="1864"/>
      <c r="I103" s="486"/>
    </row>
    <row r="104" spans="1:9" ht="14.25">
      <c r="A104" s="480"/>
      <c r="B104" s="480"/>
      <c r="D104" s="1864"/>
      <c r="E104" s="1864"/>
      <c r="F104" s="1864"/>
      <c r="I104" s="486"/>
    </row>
    <row r="105" spans="1:9" ht="14.25">
      <c r="A105" s="480"/>
      <c r="B105" s="480"/>
      <c r="D105" s="1864"/>
      <c r="E105" s="1864"/>
      <c r="F105" s="1864"/>
      <c r="I105" s="486"/>
    </row>
    <row r="106" spans="1:9" ht="14.25">
      <c r="A106" s="480"/>
      <c r="B106" s="480"/>
      <c r="D106" s="1864"/>
      <c r="E106" s="1864"/>
      <c r="F106" s="1864"/>
      <c r="I106" s="486"/>
    </row>
    <row r="107" spans="1:9" ht="14.25">
      <c r="A107" s="480"/>
      <c r="B107" s="480"/>
      <c r="D107" s="1864"/>
      <c r="E107" s="1864"/>
      <c r="F107" s="1864"/>
      <c r="I107" s="486"/>
    </row>
    <row r="108" spans="1:9" ht="14.25">
      <c r="A108" s="480"/>
      <c r="B108" s="480"/>
      <c r="D108" s="1864"/>
      <c r="E108" s="1864"/>
      <c r="F108" s="1864"/>
      <c r="I108" s="486"/>
    </row>
    <row r="109" spans="1:9" ht="14.25">
      <c r="A109" s="480"/>
      <c r="B109" s="480"/>
      <c r="D109" s="1864"/>
      <c r="E109" s="1864"/>
      <c r="F109" s="1864"/>
      <c r="I109" s="486"/>
    </row>
    <row r="110" spans="1:9" ht="14.25">
      <c r="A110" s="480"/>
      <c r="B110" s="480"/>
      <c r="D110" s="1864"/>
      <c r="E110" s="1864"/>
      <c r="F110" s="1864"/>
      <c r="I110" s="486"/>
    </row>
    <row r="111" spans="1:9" ht="14.25">
      <c r="A111" s="480"/>
      <c r="B111" s="480"/>
      <c r="D111" s="1864"/>
      <c r="E111" s="1864"/>
      <c r="F111" s="1864"/>
      <c r="I111" s="486"/>
    </row>
    <row r="112" spans="1:9" ht="14.25">
      <c r="A112" s="480"/>
      <c r="B112" s="480"/>
      <c r="D112" s="1864"/>
      <c r="E112" s="1864"/>
      <c r="F112" s="1864"/>
      <c r="I112" s="486"/>
    </row>
    <row r="113" spans="1:9" ht="14.25">
      <c r="A113" s="480"/>
      <c r="B113" s="480"/>
      <c r="D113" s="1864"/>
      <c r="E113" s="1864"/>
      <c r="F113" s="1864"/>
      <c r="I113" s="486"/>
    </row>
    <row r="114" spans="1:9" ht="14.25">
      <c r="A114" s="480"/>
      <c r="B114" s="480"/>
      <c r="D114" s="1864"/>
      <c r="E114" s="1864"/>
      <c r="F114" s="1864"/>
      <c r="I114" s="486"/>
    </row>
    <row r="115" spans="1:9" ht="14.25">
      <c r="A115" s="480"/>
      <c r="B115" s="480"/>
      <c r="D115" s="1864"/>
      <c r="E115" s="1864"/>
      <c r="F115" s="1864"/>
      <c r="I115" s="486"/>
    </row>
    <row r="116" spans="1:9" ht="14.25">
      <c r="A116" s="480"/>
      <c r="B116" s="480"/>
      <c r="D116" s="1864"/>
      <c r="E116" s="1864"/>
      <c r="F116" s="1864"/>
      <c r="I116" s="486"/>
    </row>
    <row r="117" spans="1:9" ht="14.25">
      <c r="A117" s="480"/>
      <c r="B117" s="480"/>
      <c r="D117" s="1864"/>
      <c r="E117" s="1864"/>
      <c r="F117" s="1864"/>
      <c r="I117" s="486"/>
    </row>
    <row r="118" spans="1:9" ht="14.25">
      <c r="A118" s="480"/>
      <c r="B118" s="480"/>
      <c r="D118" s="520"/>
      <c r="E118" s="520"/>
      <c r="F118" s="520"/>
      <c r="I118" s="486"/>
    </row>
    <row r="119" spans="1:9" ht="14.25" customHeight="1">
      <c r="A119" s="480"/>
      <c r="B119" s="481" t="s">
        <v>2687</v>
      </c>
      <c r="D119" s="1850" t="s">
        <v>1101</v>
      </c>
      <c r="E119" s="1850"/>
      <c r="F119" s="1850"/>
      <c r="I119" s="486"/>
    </row>
    <row r="120" spans="1:9" ht="14.25">
      <c r="A120" s="480"/>
      <c r="B120" s="480"/>
      <c r="D120" s="1850"/>
      <c r="E120" s="1850"/>
      <c r="F120" s="1850"/>
      <c r="I120" s="486"/>
    </row>
    <row r="121" spans="1:9" ht="14.25">
      <c r="A121" s="480"/>
      <c r="B121" s="480"/>
      <c r="D121" s="1850"/>
      <c r="E121" s="1850"/>
      <c r="F121" s="1850"/>
      <c r="I121" s="486"/>
    </row>
    <row r="122" spans="1:9" ht="14.25">
      <c r="A122" s="480"/>
      <c r="B122" s="480"/>
      <c r="D122" s="1850"/>
      <c r="E122" s="1850"/>
      <c r="F122" s="1850"/>
      <c r="I122" s="486"/>
    </row>
    <row r="123" spans="1:9" ht="14.25">
      <c r="A123" s="480"/>
      <c r="B123" s="480"/>
      <c r="D123" s="1850"/>
      <c r="E123" s="1850"/>
      <c r="F123" s="1850"/>
      <c r="I123" s="486"/>
    </row>
    <row r="124" spans="1:9" ht="14.25">
      <c r="A124" s="480"/>
      <c r="B124" s="480"/>
      <c r="D124" s="1850"/>
      <c r="E124" s="1850"/>
      <c r="F124" s="1850"/>
      <c r="I124" s="486"/>
    </row>
    <row r="125" spans="1:9" ht="14.25">
      <c r="A125" s="480"/>
      <c r="B125" s="480"/>
      <c r="D125" s="1850"/>
      <c r="E125" s="1850"/>
      <c r="F125" s="1850"/>
      <c r="I125" s="486"/>
    </row>
    <row r="126" spans="1:9" ht="14.25">
      <c r="A126" s="480"/>
      <c r="B126" s="480"/>
      <c r="D126" s="1850"/>
      <c r="E126" s="1850"/>
      <c r="F126" s="1850"/>
      <c r="I126" s="486"/>
    </row>
    <row r="127" spans="1:9">
      <c r="C127" s="398"/>
      <c r="D127" s="521"/>
      <c r="E127" s="521"/>
      <c r="F127" s="521"/>
      <c r="I127" s="486"/>
    </row>
    <row r="128" spans="1:9" ht="14.25">
      <c r="A128" s="480"/>
      <c r="B128" s="481" t="s">
        <v>2850</v>
      </c>
      <c r="C128" s="398"/>
      <c r="D128" s="1850" t="s">
        <v>2001</v>
      </c>
      <c r="E128" s="1850"/>
      <c r="F128" s="1850"/>
      <c r="I128" s="486"/>
    </row>
    <row r="129" spans="1:9" ht="14.25">
      <c r="A129" s="480"/>
      <c r="B129" s="480"/>
      <c r="C129" s="398"/>
      <c r="D129" s="1850"/>
      <c r="E129" s="1850"/>
      <c r="F129" s="1850"/>
      <c r="I129" s="486"/>
    </row>
    <row r="130" spans="1:9">
      <c r="I130" s="486"/>
    </row>
    <row r="131" spans="1:9" ht="14.25">
      <c r="A131" s="480"/>
      <c r="B131" s="481" t="s">
        <v>2850</v>
      </c>
      <c r="D131" s="1864" t="s">
        <v>1102</v>
      </c>
      <c r="E131" s="1864"/>
      <c r="F131" s="1864"/>
      <c r="I131" s="486"/>
    </row>
    <row r="132" spans="1:9">
      <c r="D132" s="1864"/>
      <c r="E132" s="1864"/>
      <c r="F132" s="1864"/>
      <c r="I132" s="486"/>
    </row>
    <row r="133" spans="1:9">
      <c r="D133" s="1864"/>
      <c r="E133" s="1864"/>
      <c r="F133" s="1864"/>
      <c r="I133" s="486"/>
    </row>
    <row r="134" spans="1:9">
      <c r="D134" s="1864"/>
      <c r="E134" s="1864"/>
      <c r="F134" s="1864"/>
      <c r="I134" s="486"/>
    </row>
    <row r="135" spans="1:9">
      <c r="D135" s="1864"/>
      <c r="E135" s="1864"/>
      <c r="F135" s="1864"/>
      <c r="I135" s="486"/>
    </row>
    <row r="136" spans="1:9">
      <c r="I136" s="486"/>
    </row>
    <row r="137" spans="1:9" ht="14.25">
      <c r="A137" s="480"/>
      <c r="B137" s="481" t="s">
        <v>2850</v>
      </c>
      <c r="D137" s="1864" t="s">
        <v>1103</v>
      </c>
      <c r="E137" s="1864"/>
      <c r="F137" s="1864"/>
      <c r="I137" s="486"/>
    </row>
    <row r="138" spans="1:9" s="413" customFormat="1" ht="13.7" customHeight="1">
      <c r="A138" s="484"/>
      <c r="B138" s="484"/>
      <c r="C138" s="484"/>
      <c r="D138" s="1864"/>
      <c r="E138" s="1864"/>
      <c r="F138" s="1864"/>
      <c r="I138" s="1144"/>
    </row>
    <row r="139" spans="1:9" ht="13.7" customHeight="1">
      <c r="D139" s="1864"/>
      <c r="E139" s="1864"/>
      <c r="F139" s="1864"/>
      <c r="I139" s="486"/>
    </row>
    <row r="140" spans="1:9" ht="13.7" customHeight="1">
      <c r="D140" s="1864"/>
      <c r="E140" s="1864"/>
      <c r="F140" s="1864"/>
      <c r="I140" s="486"/>
    </row>
    <row r="141" spans="1:9" ht="13.7" customHeight="1">
      <c r="D141" s="1864"/>
      <c r="E141" s="1864"/>
      <c r="F141" s="1864"/>
      <c r="I141" s="486"/>
    </row>
    <row r="142" spans="1:9" ht="13.7" customHeight="1">
      <c r="A142" s="485"/>
      <c r="B142" s="485"/>
      <c r="D142" s="1864"/>
      <c r="E142" s="1864"/>
      <c r="F142" s="1864"/>
      <c r="I142" s="486"/>
    </row>
    <row r="143" spans="1:9" ht="13.7" customHeight="1">
      <c r="D143" s="1864"/>
      <c r="E143" s="1864"/>
      <c r="F143" s="1864"/>
      <c r="I143" s="486"/>
    </row>
    <row r="144" spans="1:9" ht="13.7" customHeight="1">
      <c r="D144" s="1864"/>
      <c r="E144" s="1864"/>
      <c r="F144" s="1864"/>
      <c r="I144" s="486"/>
    </row>
    <row r="145" spans="2:9" ht="13.7" customHeight="1">
      <c r="D145" s="1864"/>
      <c r="E145" s="1864"/>
      <c r="F145" s="1864"/>
      <c r="I145" s="486"/>
    </row>
    <row r="146" spans="2:9" ht="13.7" customHeight="1">
      <c r="D146" s="1864"/>
      <c r="E146" s="1864"/>
      <c r="F146" s="1864"/>
      <c r="I146" s="486"/>
    </row>
    <row r="147" spans="2:9" ht="13.7" customHeight="1">
      <c r="D147" s="1864"/>
      <c r="E147" s="1864"/>
      <c r="F147" s="1864"/>
      <c r="I147" s="486"/>
    </row>
    <row r="148" spans="2:9" ht="13.7" customHeight="1">
      <c r="D148" s="1864"/>
      <c r="E148" s="1864"/>
      <c r="F148" s="1864"/>
      <c r="I148" s="486"/>
    </row>
    <row r="149" spans="2:9" ht="13.7" customHeight="1">
      <c r="D149" s="1864"/>
      <c r="E149" s="1864"/>
      <c r="F149" s="1864"/>
      <c r="I149" s="486"/>
    </row>
    <row r="150" spans="2:9" ht="13.7" customHeight="1">
      <c r="D150" s="472"/>
      <c r="E150" s="442"/>
      <c r="F150" s="442"/>
      <c r="I150" s="486"/>
    </row>
    <row r="151" spans="2:9" ht="13.7" customHeight="1">
      <c r="B151" s="481" t="s">
        <v>2687</v>
      </c>
      <c r="D151" s="1864" t="s">
        <v>1174</v>
      </c>
      <c r="E151" s="1864"/>
      <c r="F151" s="1864"/>
      <c r="I151" s="486"/>
    </row>
    <row r="152" spans="2:9" ht="13.7" customHeight="1">
      <c r="D152" s="1864"/>
      <c r="E152" s="1864"/>
      <c r="F152" s="1864"/>
      <c r="I152" s="486"/>
    </row>
    <row r="153" spans="2:9" ht="13.7" customHeight="1">
      <c r="D153" s="1864"/>
      <c r="E153" s="1864"/>
      <c r="F153" s="1864"/>
      <c r="I153" s="486"/>
    </row>
    <row r="154" spans="2:9" ht="13.7" customHeight="1">
      <c r="D154" s="1864"/>
      <c r="E154" s="1864"/>
      <c r="F154" s="1864"/>
      <c r="I154" s="486"/>
    </row>
    <row r="155" spans="2:9" ht="13.7" customHeight="1">
      <c r="D155" s="1864"/>
      <c r="E155" s="1864"/>
      <c r="F155" s="1864"/>
      <c r="I155" s="486"/>
    </row>
    <row r="156" spans="2:9" ht="13.7" customHeight="1">
      <c r="D156" s="1864"/>
      <c r="E156" s="1864"/>
      <c r="F156" s="1864"/>
      <c r="I156" s="486"/>
    </row>
    <row r="157" spans="2:9" ht="13.7" customHeight="1">
      <c r="D157" s="1864"/>
      <c r="E157" s="1864"/>
      <c r="F157" s="1864"/>
      <c r="I157" s="486"/>
    </row>
    <row r="158" spans="2:9" ht="13.7" customHeight="1">
      <c r="D158" s="1864"/>
      <c r="E158" s="1864"/>
      <c r="F158" s="1864"/>
      <c r="I158" s="486"/>
    </row>
    <row r="159" spans="2:9" ht="13.7" customHeight="1">
      <c r="D159" s="1864"/>
      <c r="E159" s="1864"/>
      <c r="F159" s="1864"/>
      <c r="I159" s="486"/>
    </row>
    <row r="160" spans="2:9" ht="13.7" customHeight="1">
      <c r="D160" s="1864"/>
      <c r="E160" s="1864"/>
      <c r="F160" s="1864"/>
      <c r="I160" s="486"/>
    </row>
    <row r="161" spans="1:9" ht="13.7" customHeight="1">
      <c r="D161" s="1864"/>
      <c r="E161" s="1864"/>
      <c r="F161" s="1864"/>
      <c r="I161" s="486"/>
    </row>
    <row r="162" spans="1:9" ht="13.7" customHeight="1">
      <c r="D162" s="1864"/>
      <c r="E162" s="1864"/>
      <c r="F162" s="1864"/>
      <c r="I162" s="486"/>
    </row>
    <row r="163" spans="1:9" ht="13.7" customHeight="1">
      <c r="D163" s="1864"/>
      <c r="E163" s="1864"/>
      <c r="F163" s="1864"/>
      <c r="I163" s="486"/>
    </row>
    <row r="164" spans="1:9" ht="13.7" customHeight="1">
      <c r="D164" s="1864"/>
      <c r="E164" s="1864"/>
      <c r="F164" s="1864"/>
      <c r="I164" s="486"/>
    </row>
    <row r="165" spans="1:9" ht="13.7" customHeight="1">
      <c r="D165" s="1864"/>
      <c r="E165" s="1864"/>
      <c r="F165" s="1864"/>
      <c r="I165" s="486"/>
    </row>
    <row r="166" spans="1:9" ht="13.7" customHeight="1">
      <c r="D166" s="1864"/>
      <c r="E166" s="1864"/>
      <c r="F166" s="1864"/>
      <c r="I166" s="486"/>
    </row>
    <row r="167" spans="1:9" ht="13.7" customHeight="1">
      <c r="D167" s="1864"/>
      <c r="E167" s="1864"/>
      <c r="F167" s="1864"/>
      <c r="I167" s="486"/>
    </row>
    <row r="168" spans="1:9" ht="13.7" customHeight="1">
      <c r="D168" s="1864"/>
      <c r="E168" s="1864"/>
      <c r="F168" s="1864"/>
      <c r="I168" s="486"/>
    </row>
    <row r="169" spans="1:9" ht="13.7" customHeight="1">
      <c r="D169" s="1886" t="s">
        <v>2023</v>
      </c>
      <c r="E169" s="1886"/>
      <c r="F169" s="1886"/>
      <c r="G169" s="503"/>
      <c r="I169" s="486"/>
    </row>
    <row r="170" spans="1:9" ht="13.7" customHeight="1">
      <c r="D170" s="1874"/>
      <c r="E170" s="1874"/>
      <c r="F170" s="1874"/>
      <c r="G170" s="1874"/>
      <c r="I170" s="486"/>
    </row>
    <row r="171" spans="1:9" ht="14.45" customHeight="1">
      <c r="A171" s="485"/>
      <c r="B171" s="481" t="s">
        <v>2687</v>
      </c>
      <c r="C171" s="472"/>
      <c r="D171" s="1836" t="s">
        <v>2159</v>
      </c>
      <c r="E171" s="1836"/>
      <c r="F171" s="1836"/>
      <c r="G171" s="472"/>
      <c r="I171" s="486"/>
    </row>
    <row r="172" spans="1:9" ht="14.45" customHeight="1">
      <c r="A172" s="485"/>
      <c r="B172" s="485"/>
      <c r="C172" s="472"/>
      <c r="D172" s="1836"/>
      <c r="E172" s="1836"/>
      <c r="F172" s="1836"/>
      <c r="G172" s="472"/>
      <c r="I172" s="486"/>
    </row>
    <row r="173" spans="1:9" ht="14.45" customHeight="1">
      <c r="A173" s="485"/>
      <c r="B173" s="485"/>
      <c r="C173" s="472"/>
      <c r="D173" s="1836"/>
      <c r="E173" s="1836"/>
      <c r="F173" s="1836"/>
      <c r="G173" s="472"/>
      <c r="I173" s="486"/>
    </row>
    <row r="174" spans="1:9" ht="14.45" customHeight="1">
      <c r="A174" s="485"/>
      <c r="B174" s="485"/>
      <c r="C174" s="472"/>
      <c r="D174" s="1836"/>
      <c r="E174" s="1836"/>
      <c r="F174" s="1836"/>
      <c r="G174" s="472"/>
      <c r="I174" s="486"/>
    </row>
    <row r="175" spans="1:9" ht="13.7" customHeight="1">
      <c r="A175" s="485"/>
      <c r="B175" s="485"/>
      <c r="C175" s="472"/>
      <c r="D175" s="1836"/>
      <c r="E175" s="1836"/>
      <c r="F175" s="1836"/>
      <c r="G175" s="472"/>
      <c r="I175" s="486"/>
    </row>
    <row r="176" spans="1:9" ht="13.7" customHeight="1">
      <c r="A176" s="485"/>
      <c r="B176" s="485"/>
      <c r="C176" s="472"/>
      <c r="D176" s="472"/>
      <c r="E176" s="472"/>
      <c r="F176" s="472"/>
      <c r="G176" s="472"/>
      <c r="I176" s="486"/>
    </row>
    <row r="177" spans="1:9" ht="13.7" customHeight="1">
      <c r="A177" s="485"/>
      <c r="B177" s="481" t="s">
        <v>2850</v>
      </c>
      <c r="C177" s="472"/>
      <c r="D177" s="1836" t="s">
        <v>1104</v>
      </c>
      <c r="E177" s="1836"/>
      <c r="F177" s="1836"/>
      <c r="G177" s="472"/>
      <c r="I177" s="486"/>
    </row>
    <row r="178" spans="1:9" ht="13.7" customHeight="1">
      <c r="A178" s="485"/>
      <c r="B178" s="485"/>
      <c r="C178" s="472"/>
      <c r="D178" s="1836"/>
      <c r="E178" s="1836"/>
      <c r="F178" s="1836"/>
      <c r="G178" s="472"/>
      <c r="I178" s="486"/>
    </row>
    <row r="179" spans="1:9" ht="13.7" customHeight="1">
      <c r="A179" s="485"/>
      <c r="B179" s="485"/>
      <c r="C179" s="472"/>
      <c r="D179" s="1836"/>
      <c r="E179" s="1836"/>
      <c r="F179" s="1836"/>
      <c r="G179" s="472"/>
      <c r="I179" s="486"/>
    </row>
    <row r="180" spans="1:9" ht="13.7" customHeight="1">
      <c r="A180" s="485"/>
      <c r="B180" s="485"/>
      <c r="C180" s="472"/>
      <c r="D180" s="1836"/>
      <c r="E180" s="1836"/>
      <c r="F180" s="1836"/>
      <c r="G180" s="472"/>
      <c r="I180" s="486"/>
    </row>
    <row r="181" spans="1:9" ht="13.7" customHeight="1">
      <c r="D181" s="442"/>
      <c r="E181" s="442"/>
      <c r="F181" s="442"/>
      <c r="I181" s="486"/>
    </row>
    <row r="182" spans="1:9" ht="13.7" hidden="1" customHeight="1">
      <c r="B182" s="481" t="s">
        <v>306</v>
      </c>
      <c r="D182" s="1880" t="s">
        <v>2002</v>
      </c>
      <c r="E182" s="1880"/>
      <c r="F182" s="1880"/>
      <c r="I182" s="486"/>
    </row>
    <row r="183" spans="1:9" ht="13.7" hidden="1" customHeight="1">
      <c r="D183" s="1880"/>
      <c r="E183" s="1880"/>
      <c r="F183" s="1880"/>
      <c r="I183" s="486"/>
    </row>
    <row r="184" spans="1:9" ht="13.7" hidden="1" customHeight="1">
      <c r="D184" s="1880"/>
      <c r="E184" s="1880"/>
      <c r="F184" s="1880"/>
      <c r="I184" s="486"/>
    </row>
    <row r="185" spans="1:9" ht="13.7" customHeight="1">
      <c r="A185" s="486"/>
      <c r="B185" s="486"/>
      <c r="E185" s="442"/>
      <c r="F185" s="442"/>
      <c r="I185" s="486"/>
    </row>
    <row r="186" spans="1:9">
      <c r="A186" s="1865" t="s">
        <v>2003</v>
      </c>
      <c r="B186" s="1865"/>
      <c r="C186" s="1865"/>
      <c r="D186" s="1865"/>
      <c r="E186" s="1865"/>
      <c r="F186" s="1865"/>
      <c r="G186" s="1865"/>
      <c r="H186" s="1018"/>
      <c r="I186" s="1142"/>
    </row>
    <row r="187" spans="1:9" ht="12" customHeight="1">
      <c r="D187" s="442"/>
      <c r="E187" s="442"/>
      <c r="F187" s="442"/>
      <c r="I187" s="486"/>
    </row>
    <row r="188" spans="1:9">
      <c r="B188" s="1870" t="s">
        <v>444</v>
      </c>
      <c r="C188" s="1870"/>
      <c r="D188" s="1870"/>
      <c r="E188" s="1870"/>
      <c r="F188" s="1870"/>
      <c r="I188" s="486"/>
    </row>
    <row r="189" spans="1:9">
      <c r="B189" s="388" t="s">
        <v>1841</v>
      </c>
      <c r="C189" s="388"/>
      <c r="D189" s="388"/>
      <c r="E189" s="388"/>
      <c r="F189" s="388"/>
      <c r="I189" s="486"/>
    </row>
    <row r="190" spans="1:9" ht="12" customHeight="1">
      <c r="A190" s="478"/>
      <c r="B190" s="478"/>
      <c r="C190" s="478"/>
      <c r="I190" s="486"/>
    </row>
    <row r="191" spans="1:9">
      <c r="A191" s="1865" t="s">
        <v>1043</v>
      </c>
      <c r="B191" s="1865"/>
      <c r="C191" s="1865"/>
      <c r="D191" s="1865"/>
      <c r="E191" s="1865"/>
      <c r="F191" s="1865"/>
      <c r="G191" s="1865"/>
      <c r="H191" s="1018"/>
      <c r="I191" s="1142"/>
    </row>
    <row r="192" spans="1:9" ht="12" customHeight="1">
      <c r="A192" s="400"/>
      <c r="B192" s="400"/>
      <c r="E192" s="400"/>
      <c r="I192" s="486"/>
    </row>
    <row r="193" spans="1:9" ht="13.7" customHeight="1">
      <c r="A193" s="400"/>
      <c r="B193" s="400"/>
      <c r="D193" s="1883" t="s">
        <v>1731</v>
      </c>
      <c r="E193" s="1883"/>
      <c r="F193" s="1883"/>
      <c r="I193" s="486"/>
    </row>
    <row r="194" spans="1:9">
      <c r="A194" s="400"/>
      <c r="B194" s="400"/>
      <c r="D194" s="1883"/>
      <c r="E194" s="1883"/>
      <c r="F194" s="1883"/>
      <c r="I194" s="486"/>
    </row>
    <row r="195" spans="1:9">
      <c r="A195" s="400"/>
      <c r="B195" s="400"/>
      <c r="D195" s="1870" t="s">
        <v>1192</v>
      </c>
      <c r="E195" s="1870"/>
      <c r="F195" s="1870"/>
      <c r="I195" s="486"/>
    </row>
    <row r="196" spans="1:9">
      <c r="A196" s="400"/>
      <c r="B196" s="400"/>
      <c r="D196" s="388"/>
      <c r="E196" s="388"/>
      <c r="F196" s="388"/>
      <c r="I196" s="486"/>
    </row>
    <row r="197" spans="1:9">
      <c r="A197" s="400"/>
      <c r="B197" s="400"/>
      <c r="D197" s="1864" t="s">
        <v>2636</v>
      </c>
      <c r="E197" s="1864"/>
      <c r="F197" s="1864"/>
      <c r="I197" s="486"/>
    </row>
    <row r="198" spans="1:9">
      <c r="A198" s="400"/>
      <c r="B198" s="400"/>
      <c r="D198" s="1864"/>
      <c r="E198" s="1864"/>
      <c r="F198" s="1864"/>
      <c r="I198" s="486"/>
    </row>
    <row r="199" spans="1:9">
      <c r="A199" s="400"/>
      <c r="B199" s="400"/>
      <c r="D199" s="1864"/>
      <c r="E199" s="1864"/>
      <c r="F199" s="1864"/>
      <c r="I199" s="486"/>
    </row>
    <row r="200" spans="1:9">
      <c r="A200" s="400"/>
      <c r="B200" s="400"/>
      <c r="D200" s="1864"/>
      <c r="E200" s="1864"/>
      <c r="F200" s="1864"/>
      <c r="I200" s="486"/>
    </row>
    <row r="201" spans="1:9">
      <c r="A201" s="400"/>
      <c r="B201" s="400"/>
      <c r="D201" s="1864"/>
      <c r="E201" s="1864"/>
      <c r="F201" s="1864"/>
      <c r="I201" s="486"/>
    </row>
    <row r="202" spans="1:9">
      <c r="A202" s="400"/>
      <c r="B202" s="400"/>
      <c r="D202" s="388"/>
      <c r="E202" s="388"/>
      <c r="F202" s="388"/>
      <c r="I202" s="486"/>
    </row>
    <row r="203" spans="1:9">
      <c r="A203" s="400"/>
      <c r="B203" s="481" t="s">
        <v>2850</v>
      </c>
      <c r="D203" s="1845" t="s">
        <v>1732</v>
      </c>
      <c r="E203" s="1845"/>
      <c r="F203" s="1845"/>
      <c r="I203" s="486"/>
    </row>
    <row r="204" spans="1:9">
      <c r="A204" s="400"/>
      <c r="B204" s="400"/>
      <c r="D204" s="1847" t="s">
        <v>1867</v>
      </c>
      <c r="E204" s="1847"/>
      <c r="F204" s="1847"/>
      <c r="I204" s="486"/>
    </row>
    <row r="205" spans="1:9">
      <c r="A205" s="400"/>
      <c r="B205" s="400"/>
      <c r="D205" s="96" t="s">
        <v>1733</v>
      </c>
      <c r="E205" s="1890" t="s">
        <v>1890</v>
      </c>
      <c r="F205" s="1890"/>
      <c r="I205" s="486"/>
    </row>
    <row r="206" spans="1:9">
      <c r="A206" s="400"/>
      <c r="B206" s="400"/>
      <c r="D206" s="3"/>
      <c r="E206" s="3"/>
      <c r="F206" s="3"/>
      <c r="I206" s="486"/>
    </row>
    <row r="207" spans="1:9" customFormat="1">
      <c r="A207" s="350"/>
      <c r="B207" s="1261" t="s">
        <v>306</v>
      </c>
      <c r="C207" s="350"/>
      <c r="D207" s="1362" t="s">
        <v>2637</v>
      </c>
      <c r="E207" s="1362"/>
      <c r="F207" s="1362"/>
      <c r="G207" s="3"/>
    </row>
    <row r="208" spans="1:9" customFormat="1">
      <c r="A208" s="350"/>
      <c r="B208" s="350"/>
      <c r="C208" s="350"/>
      <c r="D208" s="1362"/>
      <c r="E208" s="1362"/>
      <c r="F208" s="1362"/>
      <c r="G208" s="3"/>
    </row>
    <row r="209" spans="1:9" customFormat="1">
      <c r="A209" s="350"/>
      <c r="B209" s="350"/>
      <c r="C209" s="350"/>
      <c r="D209" s="1362"/>
      <c r="E209" s="1362"/>
      <c r="F209" s="1362"/>
      <c r="G209" s="3"/>
    </row>
    <row r="210" spans="1:9" customFormat="1">
      <c r="A210" s="350"/>
      <c r="B210" s="350"/>
      <c r="C210" s="350"/>
      <c r="D210" s="1362"/>
      <c r="E210" s="1362"/>
      <c r="F210" s="1362"/>
      <c r="G210" s="3"/>
    </row>
    <row r="211" spans="1:9" customFormat="1">
      <c r="A211" s="350"/>
      <c r="B211" s="350"/>
      <c r="C211" s="350"/>
      <c r="D211" s="3"/>
      <c r="E211" s="3"/>
      <c r="F211" s="3"/>
      <c r="G211" s="3"/>
    </row>
    <row r="212" spans="1:9">
      <c r="A212" s="400"/>
      <c r="B212" s="481" t="s">
        <v>2687</v>
      </c>
      <c r="D212" s="1847" t="s">
        <v>1734</v>
      </c>
      <c r="E212" s="1847"/>
      <c r="F212" s="1847"/>
      <c r="I212" s="486"/>
    </row>
    <row r="213" spans="1:9">
      <c r="A213" s="400"/>
      <c r="B213" s="400"/>
      <c r="D213" s="1845" t="s">
        <v>1867</v>
      </c>
      <c r="E213" s="1845"/>
      <c r="F213" s="1845"/>
      <c r="I213" s="486"/>
    </row>
    <row r="214" spans="1:9">
      <c r="A214" s="400"/>
      <c r="B214" s="400"/>
      <c r="D214" s="57" t="s">
        <v>1735</v>
      </c>
      <c r="E214" s="1890" t="s">
        <v>1891</v>
      </c>
      <c r="F214" s="1890"/>
      <c r="I214" s="486"/>
    </row>
    <row r="215" spans="1:9">
      <c r="A215" s="400"/>
      <c r="B215" s="400"/>
      <c r="D215" s="3"/>
      <c r="E215" s="3"/>
      <c r="F215" s="3"/>
      <c r="I215" s="486"/>
    </row>
    <row r="216" spans="1:9">
      <c r="A216" s="400"/>
      <c r="B216" s="481" t="s">
        <v>2687</v>
      </c>
      <c r="D216" s="1847" t="s">
        <v>1736</v>
      </c>
      <c r="E216" s="1847"/>
      <c r="F216" s="1847"/>
      <c r="I216" s="486"/>
    </row>
    <row r="217" spans="1:9">
      <c r="A217" s="400"/>
      <c r="B217" s="400"/>
      <c r="D217" s="1845" t="s">
        <v>1867</v>
      </c>
      <c r="E217" s="1845"/>
      <c r="F217" s="1845"/>
      <c r="I217" s="486"/>
    </row>
    <row r="218" spans="1:9">
      <c r="A218" s="400"/>
      <c r="B218" s="400"/>
      <c r="D218" s="57" t="s">
        <v>1733</v>
      </c>
      <c r="E218" s="1890" t="s">
        <v>1892</v>
      </c>
      <c r="F218" s="1890"/>
      <c r="I218" s="486"/>
    </row>
    <row r="219" spans="1:9" customFormat="1" ht="14.25">
      <c r="A219" s="175"/>
      <c r="B219" s="175"/>
      <c r="C219" s="350"/>
      <c r="D219" s="1435" t="s">
        <v>2638</v>
      </c>
      <c r="E219" s="1435"/>
      <c r="F219" s="1435"/>
      <c r="G219" s="3"/>
    </row>
    <row r="220" spans="1:9" customFormat="1">
      <c r="A220" s="350"/>
      <c r="B220" s="350"/>
      <c r="C220" s="350"/>
      <c r="D220" s="1435"/>
      <c r="E220" s="1435"/>
      <c r="F220" s="1435"/>
      <c r="G220" s="3"/>
    </row>
    <row r="221" spans="1:9" customFormat="1">
      <c r="A221" s="350"/>
      <c r="B221" s="350"/>
      <c r="C221" s="350"/>
      <c r="D221" s="1435"/>
      <c r="E221" s="1435"/>
      <c r="F221" s="1435"/>
      <c r="G221" s="3"/>
    </row>
    <row r="222" spans="1:9" customFormat="1">
      <c r="A222" s="350"/>
      <c r="B222" s="350"/>
      <c r="C222" s="350"/>
      <c r="D222" s="1435"/>
      <c r="E222" s="1435"/>
      <c r="F222" s="1435"/>
      <c r="G222" s="3"/>
    </row>
    <row r="223" spans="1:9" customFormat="1">
      <c r="A223" s="350"/>
      <c r="B223" s="350"/>
      <c r="C223" s="350"/>
      <c r="D223" s="1435"/>
      <c r="E223" s="1435"/>
      <c r="F223" s="1435"/>
      <c r="G223" s="3"/>
    </row>
    <row r="224" spans="1:9">
      <c r="A224" s="400"/>
      <c r="B224" s="400"/>
      <c r="D224" s="388"/>
      <c r="E224" s="388"/>
      <c r="F224" s="388"/>
      <c r="I224" s="486"/>
    </row>
    <row r="225" spans="1:9" ht="14.25" customHeight="1">
      <c r="A225" s="480"/>
      <c r="B225" s="481" t="s">
        <v>2687</v>
      </c>
      <c r="D225" s="382" t="s">
        <v>1860</v>
      </c>
      <c r="E225" s="381"/>
      <c r="F225" s="381"/>
      <c r="I225" s="486"/>
    </row>
    <row r="226" spans="1:9" ht="14.25">
      <c r="A226" s="480"/>
      <c r="B226" s="480"/>
      <c r="D226" s="1845" t="s">
        <v>1867</v>
      </c>
      <c r="E226" s="1845"/>
      <c r="F226" s="1845"/>
      <c r="I226" s="486"/>
    </row>
    <row r="227" spans="1:9">
      <c r="D227" s="381"/>
      <c r="E227" s="1890" t="s">
        <v>1893</v>
      </c>
      <c r="F227" s="1890"/>
      <c r="I227" s="486"/>
    </row>
    <row r="228" spans="1:9">
      <c r="D228" s="443"/>
      <c r="I228" s="486"/>
    </row>
    <row r="229" spans="1:9">
      <c r="B229" s="481" t="s">
        <v>2687</v>
      </c>
      <c r="D229" s="1847" t="s">
        <v>1737</v>
      </c>
      <c r="E229" s="1847"/>
      <c r="F229" s="1847"/>
      <c r="I229" s="486"/>
    </row>
    <row r="230" spans="1:9">
      <c r="D230" s="1845" t="s">
        <v>1867</v>
      </c>
      <c r="E230" s="1845"/>
      <c r="F230" s="1845"/>
      <c r="I230" s="486"/>
    </row>
    <row r="231" spans="1:9">
      <c r="D231" s="57" t="s">
        <v>1733</v>
      </c>
      <c r="E231" s="1890" t="s">
        <v>1894</v>
      </c>
      <c r="F231" s="1890"/>
      <c r="I231" s="486"/>
    </row>
    <row r="232" spans="1:9">
      <c r="D232" s="447"/>
      <c r="E232" s="447"/>
      <c r="F232" s="447"/>
      <c r="I232" s="486"/>
    </row>
    <row r="233" spans="1:9" ht="14.25">
      <c r="A233" s="480"/>
      <c r="B233" s="481" t="s">
        <v>2687</v>
      </c>
      <c r="D233" s="1864" t="s">
        <v>1213</v>
      </c>
      <c r="E233" s="1864"/>
      <c r="F233" s="1864"/>
      <c r="I233" s="486"/>
    </row>
    <row r="234" spans="1:9" ht="14.45" customHeight="1">
      <c r="A234" s="480"/>
      <c r="B234" s="398"/>
      <c r="D234" s="1864"/>
      <c r="E234" s="1864"/>
      <c r="F234" s="1864"/>
      <c r="I234" s="486"/>
    </row>
    <row r="235" spans="1:9" ht="14.25">
      <c r="A235" s="480"/>
      <c r="D235" s="1864"/>
      <c r="E235" s="1864"/>
      <c r="F235" s="1864"/>
      <c r="I235" s="486"/>
    </row>
    <row r="236" spans="1:9" ht="14.25">
      <c r="A236" s="480"/>
      <c r="D236" s="1864"/>
      <c r="E236" s="1864"/>
      <c r="F236" s="1864"/>
      <c r="I236" s="486"/>
    </row>
    <row r="237" spans="1:9">
      <c r="D237" s="447"/>
      <c r="E237" s="447"/>
      <c r="F237" s="447"/>
      <c r="I237" s="486"/>
    </row>
    <row r="238" spans="1:9" customFormat="1" ht="14.25">
      <c r="A238" s="175"/>
      <c r="B238" s="1261" t="s">
        <v>306</v>
      </c>
      <c r="C238" s="350"/>
      <c r="D238" s="1847" t="s">
        <v>2639</v>
      </c>
      <c r="E238" s="1847"/>
      <c r="F238" s="1847"/>
      <c r="G238" s="3"/>
    </row>
    <row r="239" spans="1:9" customFormat="1" ht="14.25">
      <c r="A239" s="175"/>
      <c r="B239" s="350"/>
      <c r="C239" s="350"/>
      <c r="D239" s="515"/>
      <c r="E239" s="515"/>
      <c r="F239" s="515"/>
      <c r="G239" s="3"/>
    </row>
    <row r="240" spans="1:9">
      <c r="A240" s="1865" t="s">
        <v>1044</v>
      </c>
      <c r="B240" s="1865"/>
      <c r="C240" s="1865"/>
      <c r="D240" s="1865"/>
      <c r="E240" s="1865"/>
      <c r="F240" s="1865"/>
      <c r="G240" s="1865"/>
      <c r="H240" s="1018"/>
      <c r="I240" s="1142"/>
    </row>
    <row r="241" spans="1:9" ht="12" customHeight="1">
      <c r="D241" s="442"/>
      <c r="E241" s="442"/>
      <c r="F241" s="442"/>
      <c r="I241" s="486"/>
    </row>
    <row r="242" spans="1:9">
      <c r="C242" s="482"/>
      <c r="D242" s="1867" t="s">
        <v>207</v>
      </c>
      <c r="E242" s="1867"/>
      <c r="F242" s="1867"/>
      <c r="I242" s="486"/>
    </row>
    <row r="243" spans="1:9">
      <c r="A243" s="478"/>
      <c r="B243" s="478"/>
      <c r="C243" s="478"/>
      <c r="D243" s="1866" t="s">
        <v>1118</v>
      </c>
      <c r="E243" s="1866"/>
      <c r="F243" s="1866"/>
      <c r="I243" s="486"/>
    </row>
    <row r="244" spans="1:9" ht="12" customHeight="1">
      <c r="A244" s="486"/>
      <c r="B244" s="486"/>
      <c r="C244" s="486"/>
      <c r="I244" s="486"/>
    </row>
    <row r="245" spans="1:9" ht="13.7" customHeight="1">
      <c r="A245" s="486"/>
      <c r="C245" s="486"/>
      <c r="D245" s="1867" t="s">
        <v>544</v>
      </c>
      <c r="E245" s="1867"/>
      <c r="F245" s="1867"/>
      <c r="I245" s="486"/>
    </row>
    <row r="246" spans="1:9" ht="14.25">
      <c r="A246" s="480"/>
      <c r="B246" s="481" t="s">
        <v>2850</v>
      </c>
      <c r="D246" s="1864" t="s">
        <v>1738</v>
      </c>
      <c r="E246" s="1864"/>
      <c r="F246" s="1864"/>
      <c r="I246" s="486"/>
    </row>
    <row r="247" spans="1:9" ht="14.25" customHeight="1">
      <c r="A247" s="480"/>
      <c r="B247" s="480"/>
      <c r="D247" s="1864"/>
      <c r="E247" s="1864"/>
      <c r="F247" s="1864"/>
      <c r="I247" s="486"/>
    </row>
    <row r="248" spans="1:9" ht="14.25" customHeight="1">
      <c r="A248" s="480"/>
      <c r="B248" s="480"/>
      <c r="D248" s="1864"/>
      <c r="E248" s="1864"/>
      <c r="F248" s="1864"/>
      <c r="I248" s="486"/>
    </row>
    <row r="249" spans="1:9" ht="14.25">
      <c r="A249" s="480"/>
      <c r="B249" s="480"/>
      <c r="D249" s="1864"/>
      <c r="E249" s="1864"/>
      <c r="F249" s="1864"/>
      <c r="I249" s="486"/>
    </row>
    <row r="250" spans="1:9" ht="14.25">
      <c r="A250" s="480"/>
      <c r="B250" s="480"/>
      <c r="D250" s="441"/>
      <c r="E250" s="441"/>
      <c r="F250" s="441"/>
      <c r="I250" s="486"/>
    </row>
    <row r="251" spans="1:9" ht="14.25">
      <c r="A251" s="480"/>
      <c r="B251" s="481" t="s">
        <v>2850</v>
      </c>
      <c r="D251" s="1864" t="s">
        <v>1739</v>
      </c>
      <c r="E251" s="1864"/>
      <c r="F251" s="1864"/>
      <c r="I251" s="486"/>
    </row>
    <row r="252" spans="1:9" ht="14.25">
      <c r="A252" s="480"/>
      <c r="B252" s="480"/>
      <c r="D252" s="1864"/>
      <c r="E252" s="1864"/>
      <c r="F252" s="1864"/>
      <c r="I252" s="486"/>
    </row>
    <row r="253" spans="1:9" ht="14.25">
      <c r="A253" s="480"/>
      <c r="B253" s="480"/>
      <c r="D253" s="1864"/>
      <c r="E253" s="1864"/>
      <c r="F253" s="1864"/>
      <c r="I253" s="486"/>
    </row>
    <row r="254" spans="1:9" ht="14.25">
      <c r="A254" s="480"/>
      <c r="B254" s="480"/>
      <c r="D254" s="1864"/>
      <c r="E254" s="1864"/>
      <c r="F254" s="1864"/>
      <c r="I254" s="486"/>
    </row>
    <row r="255" spans="1:9" ht="14.25" customHeight="1">
      <c r="A255" s="480"/>
      <c r="B255" s="480"/>
      <c r="D255" s="1864"/>
      <c r="E255" s="1864"/>
      <c r="F255" s="1864"/>
      <c r="I255" s="486"/>
    </row>
    <row r="256" spans="1:9" ht="14.25" customHeight="1">
      <c r="A256" s="480"/>
      <c r="B256" s="480"/>
      <c r="D256" s="441"/>
      <c r="E256" s="441"/>
      <c r="F256" s="441"/>
      <c r="I256" s="486"/>
    </row>
    <row r="257" spans="1:9" ht="14.25">
      <c r="A257" s="480"/>
      <c r="B257" s="480"/>
      <c r="D257" s="1864" t="s">
        <v>1116</v>
      </c>
      <c r="E257" s="1864"/>
      <c r="F257" s="1864"/>
      <c r="I257" s="486"/>
    </row>
    <row r="258" spans="1:9" ht="14.25">
      <c r="A258" s="480"/>
      <c r="B258" s="480"/>
      <c r="D258" s="1864"/>
      <c r="E258" s="1864"/>
      <c r="F258" s="1864"/>
      <c r="I258" s="486"/>
    </row>
    <row r="259" spans="1:9" ht="14.25">
      <c r="A259" s="480"/>
      <c r="B259" s="480"/>
      <c r="D259" s="1864"/>
      <c r="E259" s="1864"/>
      <c r="F259" s="1864"/>
      <c r="I259" s="486"/>
    </row>
    <row r="260" spans="1:9" ht="14.25">
      <c r="A260" s="480"/>
      <c r="B260" s="480"/>
      <c r="D260" s="1864"/>
      <c r="E260" s="1864"/>
      <c r="F260" s="1864"/>
      <c r="I260" s="486"/>
    </row>
    <row r="261" spans="1:9" ht="14.25">
      <c r="A261" s="480"/>
      <c r="B261" s="480"/>
      <c r="D261" s="1864"/>
      <c r="E261" s="1864"/>
      <c r="F261" s="1864"/>
      <c r="I261" s="486"/>
    </row>
    <row r="262" spans="1:9" ht="14.25">
      <c r="A262" s="480"/>
      <c r="B262" s="480"/>
      <c r="D262" s="442"/>
      <c r="E262" s="442"/>
      <c r="F262" s="442"/>
      <c r="I262" s="486"/>
    </row>
    <row r="263" spans="1:9" ht="14.25">
      <c r="A263" s="480"/>
      <c r="B263" s="481" t="s">
        <v>2687</v>
      </c>
      <c r="D263" s="1864" t="s">
        <v>2004</v>
      </c>
      <c r="E263" s="1864"/>
      <c r="F263" s="1864"/>
      <c r="I263" s="486"/>
    </row>
    <row r="264" spans="1:9" ht="14.25">
      <c r="A264" s="480"/>
      <c r="B264" s="480"/>
      <c r="D264" s="1864"/>
      <c r="E264" s="1864"/>
      <c r="F264" s="1864"/>
      <c r="I264" s="486"/>
    </row>
    <row r="265" spans="1:9" ht="14.25">
      <c r="A265" s="480"/>
      <c r="B265" s="480"/>
      <c r="D265" s="1864"/>
      <c r="E265" s="1864"/>
      <c r="F265" s="1864"/>
      <c r="I265" s="486"/>
    </row>
    <row r="266" spans="1:9" ht="14.25">
      <c r="A266" s="480"/>
      <c r="B266" s="480"/>
      <c r="E266" s="1026" t="s">
        <v>1861</v>
      </c>
      <c r="I266" s="486"/>
    </row>
    <row r="267" spans="1:9" ht="14.25">
      <c r="A267" s="480"/>
      <c r="B267" s="480"/>
      <c r="D267" s="442"/>
      <c r="E267" s="442"/>
      <c r="F267" s="442"/>
      <c r="I267" s="486"/>
    </row>
    <row r="268" spans="1:9" ht="14.45" customHeight="1">
      <c r="A268" s="480"/>
      <c r="B268" s="481" t="s">
        <v>2687</v>
      </c>
      <c r="D268" s="1864" t="s">
        <v>2005</v>
      </c>
      <c r="E268" s="1864"/>
      <c r="F268" s="1864"/>
      <c r="I268" s="486"/>
    </row>
    <row r="269" spans="1:9" ht="12.75" customHeight="1">
      <c r="A269" s="480"/>
      <c r="B269" s="480"/>
      <c r="D269" s="1864"/>
      <c r="E269" s="1864"/>
      <c r="F269" s="1864"/>
      <c r="I269" s="486"/>
    </row>
    <row r="270" spans="1:9" ht="14.25">
      <c r="A270" s="480"/>
      <c r="B270" s="480"/>
      <c r="D270" s="1864"/>
      <c r="E270" s="1864"/>
      <c r="F270" s="1864"/>
      <c r="I270" s="486"/>
    </row>
    <row r="271" spans="1:9" ht="14.25">
      <c r="A271" s="480"/>
      <c r="B271" s="480"/>
      <c r="D271" s="1864"/>
      <c r="E271" s="1864"/>
      <c r="F271" s="1864"/>
      <c r="I271" s="486"/>
    </row>
    <row r="272" spans="1:9" ht="14.25">
      <c r="A272" s="480"/>
      <c r="B272" s="480"/>
      <c r="D272" s="1864"/>
      <c r="E272" s="1864"/>
      <c r="F272" s="1864"/>
      <c r="I272" s="486"/>
    </row>
    <row r="273" spans="1:9" ht="14.25">
      <c r="A273" s="480"/>
      <c r="B273" s="480"/>
      <c r="D273" s="441"/>
      <c r="E273" s="441"/>
      <c r="F273" s="441"/>
      <c r="I273" s="486"/>
    </row>
    <row r="274" spans="1:9" ht="14.25">
      <c r="A274" s="480"/>
      <c r="B274" s="481" t="s">
        <v>2850</v>
      </c>
      <c r="D274" s="388" t="s">
        <v>2006</v>
      </c>
      <c r="E274" s="441"/>
      <c r="F274" s="441"/>
      <c r="I274" s="486"/>
    </row>
    <row r="275" spans="1:9" ht="14.25">
      <c r="A275" s="480"/>
      <c r="B275" s="480"/>
      <c r="E275" s="1026" t="s">
        <v>1862</v>
      </c>
      <c r="I275" s="486"/>
    </row>
    <row r="276" spans="1:9">
      <c r="D276" s="442"/>
      <c r="E276" s="442"/>
      <c r="F276" s="442"/>
      <c r="I276" s="486"/>
    </row>
    <row r="277" spans="1:9" ht="14.25">
      <c r="A277" s="480"/>
      <c r="B277" s="481" t="s">
        <v>2850</v>
      </c>
      <c r="D277" s="1864" t="s">
        <v>1117</v>
      </c>
      <c r="E277" s="1864"/>
      <c r="F277" s="1864"/>
      <c r="I277" s="486"/>
    </row>
    <row r="278" spans="1:9" ht="14.25">
      <c r="A278" s="480"/>
      <c r="B278" s="480"/>
      <c r="D278" s="1864"/>
      <c r="E278" s="1864"/>
      <c r="F278" s="1864"/>
      <c r="I278" s="486"/>
    </row>
    <row r="279" spans="1:9">
      <c r="D279" s="487"/>
      <c r="I279" s="486"/>
    </row>
    <row r="280" spans="1:9">
      <c r="A280" s="1865" t="s">
        <v>1045</v>
      </c>
      <c r="B280" s="1865"/>
      <c r="C280" s="1865"/>
      <c r="D280" s="1865"/>
      <c r="E280" s="1865"/>
      <c r="F280" s="1865"/>
      <c r="G280" s="1865"/>
      <c r="H280" s="1018"/>
      <c r="I280" s="1142"/>
    </row>
    <row r="281" spans="1:9">
      <c r="D281" s="487"/>
      <c r="I281" s="486"/>
    </row>
    <row r="282" spans="1:9">
      <c r="C282" s="482"/>
      <c r="D282" s="1867" t="s">
        <v>1119</v>
      </c>
      <c r="E282" s="1867"/>
      <c r="F282" s="1867"/>
      <c r="I282" s="486"/>
    </row>
    <row r="283" spans="1:9">
      <c r="A283" s="478"/>
      <c r="B283" s="478"/>
      <c r="C283" s="478"/>
      <c r="D283" s="442"/>
      <c r="E283" s="442"/>
      <c r="F283" s="442"/>
      <c r="I283" s="486"/>
    </row>
    <row r="284" spans="1:9">
      <c r="A284" s="479"/>
      <c r="B284" s="479"/>
      <c r="C284" s="479"/>
      <c r="D284" s="1867" t="s">
        <v>268</v>
      </c>
      <c r="E284" s="1867"/>
      <c r="F284" s="1867"/>
      <c r="I284" s="486"/>
    </row>
    <row r="285" spans="1:9" ht="14.45" customHeight="1">
      <c r="A285" s="480"/>
      <c r="B285" s="481" t="s">
        <v>2850</v>
      </c>
      <c r="D285" s="1864" t="s">
        <v>1193</v>
      </c>
      <c r="E285" s="1864"/>
      <c r="F285" s="1864"/>
      <c r="I285" s="486"/>
    </row>
    <row r="286" spans="1:9">
      <c r="D286" s="1864"/>
      <c r="E286" s="1864"/>
      <c r="F286" s="1864"/>
      <c r="I286" s="486"/>
    </row>
    <row r="287" spans="1:9">
      <c r="E287" s="1026" t="s">
        <v>1863</v>
      </c>
      <c r="I287" s="486"/>
    </row>
    <row r="288" spans="1:9">
      <c r="D288" s="442"/>
      <c r="E288" s="442"/>
      <c r="F288" s="442"/>
      <c r="I288" s="486"/>
    </row>
    <row r="289" spans="1:9" ht="14.45" customHeight="1">
      <c r="A289" s="480"/>
      <c r="B289" s="481" t="s">
        <v>2687</v>
      </c>
      <c r="D289" s="1864" t="s">
        <v>2007</v>
      </c>
      <c r="E289" s="1864"/>
      <c r="F289" s="1864"/>
      <c r="I289" s="486"/>
    </row>
    <row r="290" spans="1:9">
      <c r="D290" s="1864"/>
      <c r="E290" s="1864"/>
      <c r="F290" s="1864"/>
      <c r="I290" s="486"/>
    </row>
    <row r="291" spans="1:9">
      <c r="D291" s="1864"/>
      <c r="E291" s="1864"/>
      <c r="F291" s="1864"/>
      <c r="I291" s="486"/>
    </row>
    <row r="292" spans="1:9">
      <c r="D292" s="1864"/>
      <c r="E292" s="1864"/>
      <c r="F292" s="1864"/>
      <c r="I292" s="486"/>
    </row>
    <row r="293" spans="1:9">
      <c r="D293" s="1864"/>
      <c r="E293" s="1864"/>
      <c r="F293" s="1864"/>
      <c r="I293" s="486"/>
    </row>
    <row r="294" spans="1:9">
      <c r="D294" s="1864"/>
      <c r="E294" s="1864"/>
      <c r="F294" s="1864"/>
      <c r="I294" s="486"/>
    </row>
    <row r="295" spans="1:9">
      <c r="D295" s="442"/>
      <c r="E295" s="442"/>
      <c r="F295" s="442"/>
      <c r="I295" s="486"/>
    </row>
    <row r="296" spans="1:9" ht="14.25">
      <c r="A296" s="480"/>
      <c r="B296" s="481" t="s">
        <v>2687</v>
      </c>
      <c r="D296" s="1864" t="s">
        <v>1120</v>
      </c>
      <c r="E296" s="1864"/>
      <c r="F296" s="1864"/>
      <c r="I296" s="486"/>
    </row>
    <row r="297" spans="1:9">
      <c r="D297" s="1864"/>
      <c r="E297" s="1864"/>
      <c r="F297" s="1864"/>
      <c r="I297" s="486"/>
    </row>
    <row r="298" spans="1:9">
      <c r="D298" s="1864"/>
      <c r="E298" s="1864"/>
      <c r="F298" s="1864"/>
      <c r="I298" s="486"/>
    </row>
    <row r="299" spans="1:9">
      <c r="D299" s="488"/>
      <c r="E299" s="442"/>
      <c r="F299" s="442"/>
      <c r="I299" s="486"/>
    </row>
    <row r="300" spans="1:9">
      <c r="A300" s="1865" t="s">
        <v>1046</v>
      </c>
      <c r="B300" s="1865"/>
      <c r="C300" s="1865"/>
      <c r="D300" s="1865"/>
      <c r="E300" s="1865"/>
      <c r="F300" s="1865"/>
      <c r="G300" s="1865"/>
      <c r="H300" s="1018"/>
      <c r="I300" s="1142"/>
    </row>
    <row r="301" spans="1:9">
      <c r="D301" s="488"/>
      <c r="E301" s="442"/>
      <c r="F301" s="442"/>
      <c r="I301" s="486"/>
    </row>
    <row r="302" spans="1:9">
      <c r="C302" s="478"/>
      <c r="D302" s="1883" t="s">
        <v>1121</v>
      </c>
      <c r="E302" s="1883"/>
      <c r="F302" s="1883"/>
      <c r="I302" s="486"/>
    </row>
    <row r="303" spans="1:9">
      <c r="C303" s="478"/>
      <c r="D303" s="1883"/>
      <c r="E303" s="1883"/>
      <c r="F303" s="1883"/>
      <c r="I303" s="486"/>
    </row>
    <row r="304" spans="1:9">
      <c r="A304" s="479"/>
      <c r="B304" s="479"/>
      <c r="C304" s="479"/>
      <c r="D304" s="400"/>
      <c r="I304" s="486"/>
    </row>
    <row r="305" spans="1:9">
      <c r="C305" s="479"/>
      <c r="D305" s="1867" t="s">
        <v>208</v>
      </c>
      <c r="E305" s="1867"/>
      <c r="F305" s="1867"/>
      <c r="I305" s="486"/>
    </row>
    <row r="306" spans="1:9" ht="15.75" customHeight="1">
      <c r="A306" s="480"/>
      <c r="B306" s="480"/>
      <c r="D306" s="1891" t="s">
        <v>1122</v>
      </c>
      <c r="E306" s="1891"/>
      <c r="F306" s="1891"/>
      <c r="I306" s="486"/>
    </row>
    <row r="307" spans="1:9">
      <c r="E307" s="442"/>
      <c r="F307" s="442"/>
      <c r="I307" s="486"/>
    </row>
    <row r="308" spans="1:9" ht="14.25">
      <c r="A308" s="480"/>
      <c r="B308" s="481" t="s">
        <v>2687</v>
      </c>
      <c r="D308" s="1864" t="s">
        <v>1123</v>
      </c>
      <c r="E308" s="1864"/>
      <c r="F308" s="1864"/>
      <c r="I308" s="486"/>
    </row>
    <row r="309" spans="1:9" ht="14.25">
      <c r="A309" s="480"/>
      <c r="B309" s="480"/>
      <c r="D309" s="1864"/>
      <c r="E309" s="1864"/>
      <c r="F309" s="1864"/>
      <c r="I309" s="486"/>
    </row>
    <row r="310" spans="1:9">
      <c r="D310" s="442"/>
      <c r="E310" s="442"/>
      <c r="F310" s="442"/>
      <c r="I310" s="486"/>
    </row>
    <row r="311" spans="1:9" ht="14.25">
      <c r="A311" s="480"/>
      <c r="B311" s="481" t="s">
        <v>2687</v>
      </c>
      <c r="D311" s="1864" t="s">
        <v>2640</v>
      </c>
      <c r="E311" s="1864"/>
      <c r="F311" s="1864"/>
      <c r="I311" s="486"/>
    </row>
    <row r="312" spans="1:9" ht="14.25">
      <c r="A312" s="480"/>
      <c r="B312" s="480"/>
      <c r="D312" s="1864"/>
      <c r="E312" s="1864"/>
      <c r="F312" s="1864"/>
      <c r="I312" s="486"/>
    </row>
    <row r="313" spans="1:9" ht="14.25">
      <c r="A313" s="480"/>
      <c r="B313" s="480"/>
      <c r="D313" s="1864"/>
      <c r="E313" s="1864"/>
      <c r="F313" s="1864"/>
      <c r="I313" s="486"/>
    </row>
    <row r="314" spans="1:9">
      <c r="D314" s="442"/>
      <c r="E314" s="442"/>
      <c r="F314" s="442"/>
      <c r="I314" s="486"/>
    </row>
    <row r="315" spans="1:9" ht="14.25">
      <c r="A315" s="480"/>
      <c r="B315" s="481" t="s">
        <v>2687</v>
      </c>
      <c r="D315" s="1864" t="s">
        <v>1124</v>
      </c>
      <c r="E315" s="1864"/>
      <c r="F315" s="1864"/>
      <c r="I315" s="486"/>
    </row>
    <row r="316" spans="1:9" ht="14.25">
      <c r="A316" s="480"/>
      <c r="B316" s="480"/>
      <c r="D316" s="1864"/>
      <c r="E316" s="1864"/>
      <c r="F316" s="1864"/>
      <c r="I316" s="486"/>
    </row>
    <row r="317" spans="1:9">
      <c r="A317" s="486"/>
      <c r="B317" s="486"/>
      <c r="E317" s="442"/>
      <c r="F317" s="442"/>
      <c r="I317" s="486"/>
    </row>
    <row r="318" spans="1:9">
      <c r="A318" s="1865" t="s">
        <v>1047</v>
      </c>
      <c r="B318" s="1865"/>
      <c r="C318" s="1865"/>
      <c r="D318" s="1865"/>
      <c r="E318" s="1865"/>
      <c r="F318" s="1865"/>
      <c r="G318" s="1865"/>
      <c r="H318" s="1018"/>
      <c r="I318" s="1142"/>
    </row>
    <row r="319" spans="1:9">
      <c r="A319" s="486"/>
      <c r="B319" s="486"/>
      <c r="D319" s="442"/>
      <c r="E319" s="442"/>
      <c r="F319" s="442"/>
      <c r="I319" s="486"/>
    </row>
    <row r="320" spans="1:9">
      <c r="C320" s="486"/>
      <c r="D320" s="1867" t="s">
        <v>680</v>
      </c>
      <c r="E320" s="1867"/>
      <c r="F320" s="1867"/>
      <c r="I320" s="486"/>
    </row>
    <row r="321" spans="1:9">
      <c r="C321" s="486"/>
      <c r="D321" s="1866" t="s">
        <v>1125</v>
      </c>
      <c r="E321" s="1866"/>
      <c r="F321" s="1866"/>
      <c r="I321" s="486"/>
    </row>
    <row r="322" spans="1:9">
      <c r="C322" s="486"/>
      <c r="D322" s="489"/>
      <c r="I322" s="486"/>
    </row>
    <row r="323" spans="1:9">
      <c r="B323" s="481" t="s">
        <v>2687</v>
      </c>
      <c r="D323" s="1866" t="s">
        <v>1126</v>
      </c>
      <c r="E323" s="1866"/>
      <c r="F323" s="1866"/>
      <c r="I323" s="486"/>
    </row>
    <row r="324" spans="1:9" ht="14.25">
      <c r="A324" s="480"/>
      <c r="B324" s="480"/>
      <c r="D324" s="490"/>
      <c r="E324" s="491"/>
      <c r="F324" s="491"/>
      <c r="I324" s="486"/>
    </row>
    <row r="325" spans="1:9" ht="13.7" customHeight="1">
      <c r="B325" s="481" t="s">
        <v>2687</v>
      </c>
      <c r="D325" s="1877" t="s">
        <v>1216</v>
      </c>
      <c r="E325" s="1877"/>
      <c r="F325" s="1877"/>
      <c r="I325" s="486"/>
    </row>
    <row r="326" spans="1:9" ht="14.25">
      <c r="A326" s="480"/>
      <c r="B326" s="480"/>
      <c r="D326" s="1877"/>
      <c r="E326" s="1877"/>
      <c r="F326" s="1877"/>
      <c r="I326" s="486"/>
    </row>
    <row r="327" spans="1:9" ht="14.25">
      <c r="A327" s="480"/>
      <c r="B327" s="480"/>
      <c r="D327" s="1877"/>
      <c r="E327" s="1877"/>
      <c r="F327" s="1877"/>
      <c r="I327" s="486"/>
    </row>
    <row r="328" spans="1:9" ht="14.25">
      <c r="A328" s="480"/>
      <c r="B328" s="480"/>
      <c r="D328" s="1877"/>
      <c r="E328" s="1877"/>
      <c r="F328" s="1877"/>
      <c r="I328" s="486"/>
    </row>
    <row r="329" spans="1:9" ht="14.25">
      <c r="A329" s="480"/>
      <c r="B329" s="480"/>
      <c r="D329" s="1877"/>
      <c r="E329" s="1877"/>
      <c r="F329" s="1877"/>
      <c r="I329" s="486"/>
    </row>
    <row r="330" spans="1:9" ht="14.25">
      <c r="A330" s="480"/>
      <c r="B330" s="480"/>
      <c r="D330" s="490"/>
      <c r="E330" s="491"/>
      <c r="F330" s="491"/>
      <c r="I330" s="486"/>
    </row>
    <row r="331" spans="1:9" ht="13.7" customHeight="1">
      <c r="B331" s="481" t="s">
        <v>2687</v>
      </c>
      <c r="D331" s="1877" t="s">
        <v>1127</v>
      </c>
      <c r="E331" s="1877"/>
      <c r="F331" s="1877"/>
      <c r="I331" s="486"/>
    </row>
    <row r="332" spans="1:9">
      <c r="D332" s="1877"/>
      <c r="E332" s="1877"/>
      <c r="F332" s="1877"/>
      <c r="I332" s="486"/>
    </row>
    <row r="333" spans="1:9" ht="14.25">
      <c r="A333" s="480"/>
      <c r="B333" s="480"/>
      <c r="D333" s="490"/>
      <c r="E333" s="491"/>
      <c r="F333" s="491"/>
      <c r="I333" s="486"/>
    </row>
    <row r="334" spans="1:9">
      <c r="B334" s="481" t="s">
        <v>2687</v>
      </c>
      <c r="D334" s="1866" t="s">
        <v>1128</v>
      </c>
      <c r="E334" s="1866"/>
      <c r="F334" s="1866"/>
      <c r="I334" s="486"/>
    </row>
    <row r="335" spans="1:9">
      <c r="E335" s="442"/>
      <c r="F335" s="442"/>
      <c r="I335" s="486"/>
    </row>
    <row r="336" spans="1:9" ht="14.25">
      <c r="A336" s="480"/>
      <c r="B336" s="481" t="s">
        <v>2687</v>
      </c>
      <c r="D336" s="1864" t="s">
        <v>2190</v>
      </c>
      <c r="E336" s="1864"/>
      <c r="F336" s="1864"/>
      <c r="I336" s="486"/>
    </row>
    <row r="337" spans="1:9" ht="14.25">
      <c r="A337" s="480"/>
      <c r="B337" s="480"/>
      <c r="D337" s="1864"/>
      <c r="E337" s="1864"/>
      <c r="F337" s="1864"/>
      <c r="I337" s="486"/>
    </row>
    <row r="338" spans="1:9" ht="14.25">
      <c r="A338" s="480"/>
      <c r="B338" s="480"/>
      <c r="D338" s="1864"/>
      <c r="E338" s="1864"/>
      <c r="F338" s="1864"/>
      <c r="I338" s="486"/>
    </row>
    <row r="339" spans="1:9" ht="14.25">
      <c r="A339" s="480"/>
      <c r="B339" s="480"/>
      <c r="D339" s="1864"/>
      <c r="E339" s="1864"/>
      <c r="F339" s="1864"/>
      <c r="I339" s="486"/>
    </row>
    <row r="340" spans="1:9" ht="14.25">
      <c r="A340" s="480"/>
      <c r="B340" s="480"/>
      <c r="D340" s="1864"/>
      <c r="E340" s="1864"/>
      <c r="F340" s="1864"/>
      <c r="I340" s="486"/>
    </row>
    <row r="341" spans="1:9" ht="14.25">
      <c r="A341" s="480"/>
      <c r="B341" s="480"/>
      <c r="D341" s="1864"/>
      <c r="E341" s="1864"/>
      <c r="F341" s="1864"/>
      <c r="I341" s="486"/>
    </row>
    <row r="342" spans="1:9" ht="14.25">
      <c r="A342" s="480"/>
      <c r="B342" s="480"/>
      <c r="D342" s="1864"/>
      <c r="E342" s="1864"/>
      <c r="F342" s="1864"/>
      <c r="I342" s="486"/>
    </row>
    <row r="343" spans="1:9" ht="14.25">
      <c r="A343" s="480"/>
      <c r="B343" s="480"/>
      <c r="D343" s="1864"/>
      <c r="E343" s="1864"/>
      <c r="F343" s="1864"/>
      <c r="I343" s="486"/>
    </row>
    <row r="344" spans="1:9" ht="14.25">
      <c r="A344" s="480"/>
      <c r="B344" s="480"/>
      <c r="D344" s="1864"/>
      <c r="E344" s="1864"/>
      <c r="F344" s="1864"/>
      <c r="I344" s="486"/>
    </row>
    <row r="345" spans="1:9" ht="14.25">
      <c r="A345" s="480"/>
      <c r="B345" s="480"/>
      <c r="D345" s="1864"/>
      <c r="E345" s="1864"/>
      <c r="F345" s="1864"/>
      <c r="I345" s="486"/>
    </row>
    <row r="346" spans="1:9" ht="14.25">
      <c r="A346" s="480"/>
      <c r="B346" s="480"/>
      <c r="D346" s="1864"/>
      <c r="E346" s="1864"/>
      <c r="F346" s="1864"/>
      <c r="I346" s="486"/>
    </row>
    <row r="347" spans="1:9" ht="14.25">
      <c r="A347" s="480"/>
      <c r="B347" s="480"/>
      <c r="D347" s="1864"/>
      <c r="E347" s="1864"/>
      <c r="F347" s="1864"/>
      <c r="I347" s="486"/>
    </row>
    <row r="348" spans="1:9" ht="14.25">
      <c r="A348" s="480"/>
      <c r="B348" s="480"/>
      <c r="D348" s="1864"/>
      <c r="E348" s="1864"/>
      <c r="F348" s="1864"/>
      <c r="I348" s="486"/>
    </row>
    <row r="349" spans="1:9" ht="14.25">
      <c r="A349" s="480"/>
      <c r="B349" s="480"/>
      <c r="D349" s="1864"/>
      <c r="E349" s="1864"/>
      <c r="F349" s="1864"/>
      <c r="I349" s="486"/>
    </row>
    <row r="350" spans="1:9" ht="14.25">
      <c r="A350" s="480"/>
      <c r="B350" s="480"/>
      <c r="D350" s="1864"/>
      <c r="E350" s="1864"/>
      <c r="F350" s="1864"/>
      <c r="I350" s="486"/>
    </row>
    <row r="351" spans="1:9">
      <c r="D351" s="442"/>
      <c r="E351" s="442"/>
      <c r="F351" s="442"/>
      <c r="I351" s="486"/>
    </row>
    <row r="352" spans="1:9" ht="14.25">
      <c r="A352" s="480"/>
      <c r="B352" s="481" t="s">
        <v>2687</v>
      </c>
      <c r="D352" s="1864" t="s">
        <v>1129</v>
      </c>
      <c r="E352" s="1864"/>
      <c r="F352" s="1864"/>
      <c r="I352" s="486"/>
    </row>
    <row r="353" spans="1:9">
      <c r="D353" s="1864"/>
      <c r="E353" s="1864"/>
      <c r="F353" s="1864"/>
      <c r="I353" s="486"/>
    </row>
    <row r="354" spans="1:9">
      <c r="D354" s="1864"/>
      <c r="E354" s="1864"/>
      <c r="F354" s="1864"/>
      <c r="I354" s="486"/>
    </row>
    <row r="355" spans="1:9">
      <c r="D355" s="1864"/>
      <c r="E355" s="1864"/>
      <c r="F355" s="1864"/>
      <c r="I355" s="486"/>
    </row>
    <row r="356" spans="1:9">
      <c r="D356" s="1864"/>
      <c r="E356" s="1864"/>
      <c r="F356" s="1864"/>
      <c r="I356" s="486"/>
    </row>
    <row r="357" spans="1:9">
      <c r="D357" s="1864"/>
      <c r="E357" s="1864"/>
      <c r="F357" s="1864"/>
      <c r="I357" s="486"/>
    </row>
    <row r="358" spans="1:9">
      <c r="D358" s="1864"/>
      <c r="E358" s="1864"/>
      <c r="F358" s="1864"/>
      <c r="I358" s="486"/>
    </row>
    <row r="359" spans="1:9">
      <c r="D359" s="1864"/>
      <c r="E359" s="1864"/>
      <c r="F359" s="1864"/>
      <c r="I359" s="486"/>
    </row>
    <row r="360" spans="1:9">
      <c r="D360" s="1864"/>
      <c r="E360" s="1864"/>
      <c r="F360" s="1864"/>
      <c r="I360" s="486"/>
    </row>
    <row r="361" spans="1:9">
      <c r="D361" s="442"/>
      <c r="E361" s="442"/>
      <c r="F361" s="442"/>
      <c r="I361" s="486"/>
    </row>
    <row r="362" spans="1:9" ht="14.25" customHeight="1">
      <c r="A362" s="480"/>
      <c r="B362" s="481" t="s">
        <v>2687</v>
      </c>
      <c r="D362" s="1864" t="s">
        <v>1868</v>
      </c>
      <c r="E362" s="1864"/>
      <c r="F362" s="1864"/>
      <c r="I362" s="486"/>
    </row>
    <row r="363" spans="1:9">
      <c r="D363" s="1864"/>
      <c r="E363" s="1864"/>
      <c r="F363" s="1864"/>
      <c r="I363" s="486"/>
    </row>
    <row r="364" spans="1:9">
      <c r="D364" s="1864"/>
      <c r="E364" s="1864"/>
      <c r="F364" s="1864"/>
      <c r="I364" s="486"/>
    </row>
    <row r="365" spans="1:9">
      <c r="D365" s="1864"/>
      <c r="E365" s="1864"/>
      <c r="F365" s="1864"/>
      <c r="I365" s="486"/>
    </row>
    <row r="366" spans="1:9">
      <c r="D366" s="382" t="s">
        <v>1867</v>
      </c>
      <c r="E366" s="381"/>
      <c r="F366" s="381"/>
      <c r="I366" s="486"/>
    </row>
    <row r="367" spans="1:9">
      <c r="D367" s="381"/>
      <c r="E367" s="96" t="s">
        <v>1864</v>
      </c>
      <c r="G367" s="96"/>
      <c r="I367" s="486"/>
    </row>
    <row r="368" spans="1:9">
      <c r="D368" s="441"/>
      <c r="E368" s="441"/>
      <c r="F368" s="441"/>
      <c r="I368" s="486"/>
    </row>
    <row r="369" spans="1:9" ht="13.5" thickBot="1">
      <c r="A369" s="1012"/>
      <c r="B369" s="1012"/>
      <c r="C369" s="1012"/>
      <c r="D369" s="1875" t="s">
        <v>977</v>
      </c>
      <c r="E369" s="1875"/>
      <c r="F369" s="1875"/>
      <c r="G369" s="1017"/>
      <c r="H369" s="1017"/>
      <c r="I369" s="1145"/>
    </row>
    <row r="370" spans="1:9" ht="13.5" thickTop="1">
      <c r="D370" s="1884" t="s">
        <v>2191</v>
      </c>
      <c r="E370" s="1884"/>
      <c r="F370" s="1884"/>
      <c r="I370" s="486"/>
    </row>
    <row r="371" spans="1:9">
      <c r="D371" s="442"/>
      <c r="E371" s="442"/>
      <c r="F371" s="442"/>
      <c r="I371" s="486"/>
    </row>
    <row r="372" spans="1:9">
      <c r="A372" s="472"/>
      <c r="B372" s="472"/>
      <c r="C372" s="472"/>
      <c r="D372" s="443"/>
      <c r="E372" s="443"/>
      <c r="F372" s="442"/>
      <c r="I372" s="486"/>
    </row>
    <row r="373" spans="1:9" ht="14.25">
      <c r="A373" s="480"/>
      <c r="B373" s="481" t="s">
        <v>2687</v>
      </c>
      <c r="C373" s="483"/>
      <c r="D373" s="1866" t="s">
        <v>1866</v>
      </c>
      <c r="E373" s="1866"/>
      <c r="F373" s="1866"/>
      <c r="I373" s="486"/>
    </row>
    <row r="374" spans="1:9" ht="12.75" customHeight="1">
      <c r="D374" s="1027"/>
      <c r="E374" s="96" t="s">
        <v>1865</v>
      </c>
      <c r="F374" s="1027"/>
      <c r="I374" s="486"/>
    </row>
    <row r="375" spans="1:9">
      <c r="D375" s="1864" t="s">
        <v>1236</v>
      </c>
      <c r="E375" s="1864"/>
      <c r="F375" s="1864"/>
      <c r="I375" s="486"/>
    </row>
    <row r="376" spans="1:9">
      <c r="D376" s="1864"/>
      <c r="E376" s="1864"/>
      <c r="F376" s="1864"/>
      <c r="I376" s="486"/>
    </row>
    <row r="377" spans="1:9">
      <c r="D377" s="1864"/>
      <c r="E377" s="1864"/>
      <c r="F377" s="1864"/>
      <c r="I377" s="486"/>
    </row>
    <row r="378" spans="1:9" ht="14.25">
      <c r="A378" s="480"/>
      <c r="B378" s="481" t="s">
        <v>2687</v>
      </c>
      <c r="C378" s="472"/>
      <c r="D378" s="1874" t="s">
        <v>2008</v>
      </c>
      <c r="E378" s="1874"/>
      <c r="F378" s="1874"/>
      <c r="I378" s="476"/>
    </row>
    <row r="379" spans="1:9">
      <c r="A379" s="472"/>
      <c r="B379" s="472"/>
      <c r="C379" s="472"/>
      <c r="D379" s="443"/>
      <c r="E379" s="443"/>
      <c r="F379" s="442"/>
      <c r="I379" s="486"/>
    </row>
    <row r="380" spans="1:9">
      <c r="A380" s="472"/>
      <c r="B380" s="481" t="s">
        <v>2687</v>
      </c>
      <c r="C380" s="472"/>
      <c r="D380" s="1836" t="s">
        <v>2009</v>
      </c>
      <c r="E380" s="1836"/>
      <c r="F380" s="1836"/>
      <c r="I380" s="486"/>
    </row>
    <row r="381" spans="1:9">
      <c r="A381" s="472"/>
      <c r="B381" s="472"/>
      <c r="C381" s="472"/>
      <c r="D381" s="1836"/>
      <c r="E381" s="1836"/>
      <c r="F381" s="1836"/>
      <c r="I381" s="486"/>
    </row>
    <row r="382" spans="1:9">
      <c r="A382" s="472"/>
      <c r="B382" s="472"/>
      <c r="C382" s="472"/>
      <c r="D382" s="1836"/>
      <c r="E382" s="1836"/>
      <c r="F382" s="1836"/>
      <c r="I382" s="486"/>
    </row>
    <row r="383" spans="1:9">
      <c r="A383" s="472"/>
      <c r="B383" s="472"/>
      <c r="C383" s="472"/>
      <c r="D383" s="1836"/>
      <c r="E383" s="1836"/>
      <c r="F383" s="1836"/>
      <c r="I383" s="486"/>
    </row>
    <row r="384" spans="1:9">
      <c r="A384" s="472"/>
      <c r="B384" s="472"/>
      <c r="C384" s="472"/>
      <c r="D384" s="1836"/>
      <c r="E384" s="1836"/>
      <c r="F384" s="1836"/>
      <c r="I384" s="486"/>
    </row>
    <row r="385" spans="1:9">
      <c r="A385" s="472"/>
      <c r="B385" s="472"/>
      <c r="C385" s="472"/>
      <c r="D385" s="1836"/>
      <c r="E385" s="1836"/>
      <c r="F385" s="1836"/>
      <c r="I385" s="486"/>
    </row>
    <row r="386" spans="1:9">
      <c r="A386" s="472"/>
      <c r="B386" s="472"/>
      <c r="C386" s="472"/>
      <c r="D386" s="1836"/>
      <c r="E386" s="1836"/>
      <c r="F386" s="1836"/>
      <c r="I386" s="486"/>
    </row>
    <row r="387" spans="1:9">
      <c r="A387" s="472"/>
      <c r="B387" s="472"/>
      <c r="C387" s="472"/>
      <c r="D387" s="1836"/>
      <c r="E387" s="1836"/>
      <c r="F387" s="1836"/>
      <c r="I387" s="486"/>
    </row>
    <row r="388" spans="1:9">
      <c r="A388" s="472"/>
      <c r="B388" s="472"/>
      <c r="C388" s="472"/>
      <c r="D388" s="1836"/>
      <c r="E388" s="1836"/>
      <c r="F388" s="1836"/>
      <c r="I388" s="486"/>
    </row>
    <row r="389" spans="1:9">
      <c r="A389" s="472"/>
      <c r="B389" s="472"/>
      <c r="C389" s="472"/>
      <c r="D389" s="1836"/>
      <c r="E389" s="1836"/>
      <c r="F389" s="1836"/>
      <c r="I389" s="486"/>
    </row>
    <row r="390" spans="1:9">
      <c r="A390" s="472"/>
      <c r="B390" s="472"/>
      <c r="C390" s="472"/>
      <c r="D390" s="1836"/>
      <c r="E390" s="1836"/>
      <c r="F390" s="1836"/>
      <c r="I390" s="486"/>
    </row>
    <row r="391" spans="1:9">
      <c r="A391" s="472"/>
      <c r="B391" s="472"/>
      <c r="C391" s="472"/>
      <c r="D391" s="1836"/>
      <c r="E391" s="1836"/>
      <c r="F391" s="1836"/>
      <c r="I391" s="486"/>
    </row>
    <row r="392" spans="1:9">
      <c r="A392" s="472"/>
      <c r="B392" s="472"/>
      <c r="C392" s="472"/>
      <c r="D392" s="447"/>
      <c r="E392" s="447"/>
      <c r="F392" s="447"/>
      <c r="I392" s="486"/>
    </row>
    <row r="393" spans="1:9" ht="12.6" customHeight="1">
      <c r="A393" s="472"/>
      <c r="B393" s="481" t="s">
        <v>2687</v>
      </c>
      <c r="C393" s="472"/>
      <c r="D393" s="1844" t="s">
        <v>1218</v>
      </c>
      <c r="E393" s="1844"/>
      <c r="F393" s="1844"/>
      <c r="I393" s="486"/>
    </row>
    <row r="394" spans="1:9">
      <c r="A394" s="472"/>
      <c r="B394" s="472"/>
      <c r="C394" s="472"/>
      <c r="D394" s="1844"/>
      <c r="E394" s="1844"/>
      <c r="F394" s="1844"/>
      <c r="I394" s="486"/>
    </row>
    <row r="395" spans="1:9">
      <c r="A395" s="472"/>
      <c r="B395" s="472"/>
      <c r="C395" s="472"/>
      <c r="D395" s="1844"/>
      <c r="E395" s="1844"/>
      <c r="F395" s="1844"/>
      <c r="I395" s="486"/>
    </row>
    <row r="396" spans="1:9">
      <c r="A396" s="472"/>
      <c r="B396" s="472"/>
      <c r="C396" s="472"/>
      <c r="D396" s="1844"/>
      <c r="E396" s="1844"/>
      <c r="F396" s="1844"/>
      <c r="I396" s="486"/>
    </row>
    <row r="397" spans="1:9">
      <c r="A397" s="472"/>
      <c r="B397" s="472"/>
      <c r="C397" s="472"/>
      <c r="D397" s="520"/>
      <c r="E397" s="520"/>
      <c r="F397" s="520"/>
      <c r="I397" s="486"/>
    </row>
    <row r="398" spans="1:9">
      <c r="A398" s="472"/>
      <c r="B398" s="481" t="s">
        <v>2687</v>
      </c>
      <c r="C398" s="472"/>
      <c r="D398" s="398" t="s">
        <v>1803</v>
      </c>
      <c r="E398" s="520"/>
      <c r="F398" s="520"/>
      <c r="I398" s="486"/>
    </row>
    <row r="399" spans="1:9">
      <c r="A399" s="472"/>
      <c r="B399" s="472"/>
      <c r="C399" s="472"/>
      <c r="D399" s="398" t="s">
        <v>1804</v>
      </c>
      <c r="E399" s="520"/>
      <c r="F399" s="520"/>
      <c r="I399" s="486"/>
    </row>
    <row r="400" spans="1:9">
      <c r="A400" s="472"/>
      <c r="B400" s="472"/>
      <c r="C400" s="472"/>
      <c r="D400" s="398" t="s">
        <v>1805</v>
      </c>
      <c r="E400" s="520"/>
      <c r="F400" s="520"/>
      <c r="I400" s="486"/>
    </row>
    <row r="401" spans="1:9">
      <c r="A401" s="472"/>
      <c r="B401" s="472"/>
      <c r="C401" s="472"/>
      <c r="D401" s="398" t="s">
        <v>1806</v>
      </c>
      <c r="E401" s="520"/>
      <c r="F401" s="520"/>
      <c r="I401" s="486"/>
    </row>
    <row r="402" spans="1:9">
      <c r="A402" s="472"/>
      <c r="B402" s="472"/>
      <c r="C402" s="472"/>
      <c r="D402" s="398" t="s">
        <v>1807</v>
      </c>
      <c r="E402" s="520"/>
      <c r="F402" s="520"/>
      <c r="I402" s="486"/>
    </row>
    <row r="403" spans="1:9">
      <c r="A403" s="472"/>
      <c r="B403" s="472"/>
      <c r="C403" s="472"/>
      <c r="D403" s="398" t="s">
        <v>1808</v>
      </c>
      <c r="E403" s="520"/>
      <c r="F403" s="520"/>
      <c r="I403" s="486"/>
    </row>
    <row r="404" spans="1:9">
      <c r="A404" s="472"/>
      <c r="B404" s="472"/>
      <c r="C404" s="472"/>
      <c r="E404" s="443"/>
      <c r="F404" s="442"/>
      <c r="I404" s="486"/>
    </row>
    <row r="405" spans="1:9" ht="14.25">
      <c r="A405" s="480"/>
      <c r="B405" s="481" t="s">
        <v>2687</v>
      </c>
      <c r="C405" s="472"/>
      <c r="D405" s="1836" t="s">
        <v>1130</v>
      </c>
      <c r="E405" s="1836"/>
      <c r="F405" s="1836"/>
      <c r="I405" s="486"/>
    </row>
    <row r="406" spans="1:9">
      <c r="A406" s="472"/>
      <c r="B406" s="472"/>
      <c r="C406" s="472"/>
      <c r="D406" s="1836"/>
      <c r="E406" s="1836"/>
      <c r="F406" s="1836"/>
      <c r="I406" s="486"/>
    </row>
    <row r="407" spans="1:9">
      <c r="A407" s="472"/>
      <c r="B407" s="472"/>
      <c r="C407" s="472"/>
      <c r="D407" s="1836"/>
      <c r="E407" s="1836"/>
      <c r="F407" s="1836"/>
      <c r="I407" s="486"/>
    </row>
    <row r="408" spans="1:9">
      <c r="A408" s="472"/>
      <c r="B408" s="472"/>
      <c r="C408" s="472"/>
      <c r="D408" s="1836"/>
      <c r="E408" s="1836"/>
      <c r="F408" s="1836"/>
      <c r="I408" s="486"/>
    </row>
    <row r="409" spans="1:9">
      <c r="A409" s="472"/>
      <c r="B409" s="472"/>
      <c r="C409" s="472"/>
      <c r="D409" s="443"/>
      <c r="E409" s="443"/>
      <c r="F409" s="442"/>
      <c r="I409" s="486"/>
    </row>
    <row r="410" spans="1:9">
      <c r="A410" s="472"/>
      <c r="B410" s="472"/>
      <c r="C410" s="472"/>
      <c r="D410" s="1836" t="s">
        <v>1131</v>
      </c>
      <c r="E410" s="1836"/>
      <c r="F410" s="1836"/>
      <c r="I410" s="486"/>
    </row>
    <row r="411" spans="1:9">
      <c r="A411" s="472"/>
      <c r="B411" s="472"/>
      <c r="C411" s="472"/>
      <c r="D411" s="1836"/>
      <c r="E411" s="1836"/>
      <c r="F411" s="1836"/>
      <c r="I411" s="486"/>
    </row>
    <row r="412" spans="1:9">
      <c r="A412" s="472"/>
      <c r="B412" s="472"/>
      <c r="C412" s="472"/>
      <c r="D412" s="1836"/>
      <c r="E412" s="1836"/>
      <c r="F412" s="1836"/>
      <c r="I412" s="486"/>
    </row>
    <row r="413" spans="1:9">
      <c r="A413" s="472"/>
      <c r="B413" s="472"/>
      <c r="C413" s="472"/>
      <c r="D413" s="1836"/>
      <c r="E413" s="1836"/>
      <c r="F413" s="1836"/>
      <c r="I413" s="486"/>
    </row>
    <row r="414" spans="1:9" ht="18" customHeight="1">
      <c r="A414" s="472"/>
      <c r="B414" s="472"/>
      <c r="C414" s="472"/>
      <c r="D414" s="1836"/>
      <c r="E414" s="1836"/>
      <c r="F414" s="1836"/>
      <c r="I414" s="486"/>
    </row>
    <row r="415" spans="1:9">
      <c r="A415" s="472"/>
      <c r="B415" s="472"/>
      <c r="C415" s="472"/>
      <c r="D415" s="1836"/>
      <c r="E415" s="1836"/>
      <c r="F415" s="1836"/>
      <c r="I415" s="486"/>
    </row>
    <row r="416" spans="1:9">
      <c r="A416" s="472"/>
      <c r="B416" s="472"/>
      <c r="C416" s="472"/>
      <c r="D416" s="1836"/>
      <c r="E416" s="1836"/>
      <c r="F416" s="1836"/>
      <c r="I416" s="486"/>
    </row>
    <row r="417" spans="1:9">
      <c r="A417" s="472"/>
      <c r="B417" s="472"/>
      <c r="C417" s="472"/>
      <c r="D417" s="1836"/>
      <c r="E417" s="1836"/>
      <c r="F417" s="1836"/>
      <c r="I417" s="486"/>
    </row>
    <row r="418" spans="1:9" ht="8.25" customHeight="1">
      <c r="A418" s="472"/>
      <c r="B418" s="472"/>
      <c r="C418" s="472"/>
      <c r="D418" s="1836"/>
      <c r="E418" s="1836"/>
      <c r="F418" s="1836"/>
      <c r="I418" s="486"/>
    </row>
    <row r="419" spans="1:9" ht="13.7" customHeight="1">
      <c r="A419" s="472"/>
      <c r="B419" s="472"/>
      <c r="C419" s="472"/>
      <c r="D419" s="1836" t="s">
        <v>1132</v>
      </c>
      <c r="E419" s="1836"/>
      <c r="F419" s="1836"/>
      <c r="I419" s="486"/>
    </row>
    <row r="420" spans="1:9">
      <c r="A420" s="472"/>
      <c r="B420" s="472"/>
      <c r="C420" s="472"/>
      <c r="D420" s="1836"/>
      <c r="E420" s="1836"/>
      <c r="F420" s="1836"/>
      <c r="I420" s="486"/>
    </row>
    <row r="421" spans="1:9">
      <c r="A421" s="472"/>
      <c r="B421" s="472"/>
      <c r="C421" s="472"/>
      <c r="D421" s="1836"/>
      <c r="E421" s="1836"/>
      <c r="F421" s="1836"/>
      <c r="I421" s="486"/>
    </row>
    <row r="422" spans="1:9">
      <c r="A422" s="472"/>
      <c r="B422" s="472"/>
      <c r="C422" s="472"/>
      <c r="D422" s="1836"/>
      <c r="E422" s="1836"/>
      <c r="F422" s="1836"/>
      <c r="I422" s="486"/>
    </row>
    <row r="423" spans="1:9">
      <c r="A423" s="472"/>
      <c r="B423" s="472"/>
      <c r="C423" s="472"/>
      <c r="D423" s="1836"/>
      <c r="E423" s="1836"/>
      <c r="F423" s="1836"/>
      <c r="I423" s="486"/>
    </row>
    <row r="424" spans="1:9">
      <c r="A424" s="472"/>
      <c r="B424" s="472"/>
      <c r="C424" s="472"/>
      <c r="D424" s="1836"/>
      <c r="E424" s="1836"/>
      <c r="F424" s="1836"/>
      <c r="I424" s="486"/>
    </row>
    <row r="425" spans="1:9">
      <c r="A425" s="472"/>
      <c r="B425" s="472"/>
      <c r="C425" s="472"/>
      <c r="D425" s="1836"/>
      <c r="E425" s="1836"/>
      <c r="F425" s="1836"/>
      <c r="I425" s="486"/>
    </row>
    <row r="426" spans="1:9">
      <c r="A426" s="472"/>
      <c r="B426" s="472"/>
      <c r="C426" s="472"/>
      <c r="D426" s="1836"/>
      <c r="E426" s="1836"/>
      <c r="F426" s="1836"/>
      <c r="I426" s="486"/>
    </row>
    <row r="427" spans="1:9">
      <c r="A427" s="472"/>
      <c r="B427" s="472"/>
      <c r="C427" s="472"/>
      <c r="D427" s="1836"/>
      <c r="E427" s="1836"/>
      <c r="F427" s="1836"/>
      <c r="I427" s="486"/>
    </row>
    <row r="428" spans="1:9">
      <c r="A428" s="472"/>
      <c r="B428" s="472"/>
      <c r="C428" s="472"/>
      <c r="D428" s="1836"/>
      <c r="E428" s="1836"/>
      <c r="F428" s="1836"/>
      <c r="I428" s="486"/>
    </row>
    <row r="429" spans="1:9">
      <c r="A429" s="472"/>
      <c r="B429" s="472"/>
      <c r="C429" s="472"/>
      <c r="D429" s="1836"/>
      <c r="E429" s="1836"/>
      <c r="F429" s="1836"/>
      <c r="I429" s="486"/>
    </row>
    <row r="430" spans="1:9">
      <c r="A430" s="472"/>
      <c r="B430" s="472"/>
      <c r="C430" s="472"/>
      <c r="D430" s="1836"/>
      <c r="E430" s="1836"/>
      <c r="F430" s="1836"/>
      <c r="I430" s="486"/>
    </row>
    <row r="431" spans="1:9">
      <c r="A431" s="472"/>
      <c r="B431" s="472"/>
      <c r="C431" s="492"/>
      <c r="D431" s="1836"/>
      <c r="E431" s="1836"/>
      <c r="F431" s="1836"/>
      <c r="I431" s="486"/>
    </row>
    <row r="432" spans="1:9">
      <c r="A432" s="472"/>
      <c r="B432" s="472"/>
      <c r="C432" s="492"/>
      <c r="D432" s="1836"/>
      <c r="E432" s="1836"/>
      <c r="F432" s="1836"/>
      <c r="I432" s="486"/>
    </row>
    <row r="433" spans="1:9">
      <c r="A433" s="472"/>
      <c r="B433" s="472"/>
      <c r="C433" s="472"/>
      <c r="D433" s="1836"/>
      <c r="E433" s="1836"/>
      <c r="F433" s="1836"/>
      <c r="I433" s="486"/>
    </row>
    <row r="434" spans="1:9">
      <c r="A434" s="472"/>
      <c r="B434" s="472"/>
      <c r="C434" s="492"/>
      <c r="D434" s="1836"/>
      <c r="E434" s="1836"/>
      <c r="F434" s="1836"/>
      <c r="I434" s="486"/>
    </row>
    <row r="435" spans="1:9">
      <c r="A435" s="472"/>
      <c r="B435" s="472"/>
      <c r="C435" s="492"/>
      <c r="D435" s="1836"/>
      <c r="E435" s="1836"/>
      <c r="F435" s="1836"/>
      <c r="I435" s="486"/>
    </row>
    <row r="436" spans="1:9">
      <c r="A436" s="472"/>
      <c r="B436" s="472"/>
      <c r="C436" s="492"/>
      <c r="D436" s="1836"/>
      <c r="E436" s="1836"/>
      <c r="F436" s="1836"/>
      <c r="I436" s="486"/>
    </row>
    <row r="437" spans="1:9">
      <c r="A437" s="472"/>
      <c r="B437" s="472"/>
      <c r="C437" s="472"/>
      <c r="D437" s="443"/>
      <c r="E437" s="443"/>
      <c r="F437" s="442"/>
      <c r="I437" s="486"/>
    </row>
    <row r="438" spans="1:9">
      <c r="A438" s="472"/>
      <c r="B438" s="481" t="s">
        <v>2687</v>
      </c>
      <c r="C438" s="472"/>
      <c r="D438" s="1836" t="s">
        <v>1133</v>
      </c>
      <c r="E438" s="1836"/>
      <c r="F438" s="1836"/>
      <c r="I438" s="486"/>
    </row>
    <row r="439" spans="1:9">
      <c r="A439" s="472"/>
      <c r="B439" s="472"/>
      <c r="C439" s="472"/>
      <c r="D439" s="1836"/>
      <c r="E439" s="1836"/>
      <c r="F439" s="1836"/>
      <c r="I439" s="486"/>
    </row>
    <row r="440" spans="1:9">
      <c r="A440" s="472"/>
      <c r="B440" s="472"/>
      <c r="C440" s="472"/>
      <c r="D440" s="447"/>
      <c r="E440" s="447"/>
      <c r="F440" s="447"/>
      <c r="I440" s="486"/>
    </row>
    <row r="441" spans="1:9" ht="14.45" customHeight="1">
      <c r="A441" s="480"/>
      <c r="B441" s="481" t="s">
        <v>2687</v>
      </c>
      <c r="D441" s="1836" t="s">
        <v>1848</v>
      </c>
      <c r="E441" s="1836"/>
      <c r="F441" s="1836"/>
      <c r="I441" s="486"/>
    </row>
    <row r="442" spans="1:9" ht="14.45" customHeight="1">
      <c r="A442" s="480"/>
      <c r="D442" s="1836"/>
      <c r="E442" s="1836"/>
      <c r="F442" s="1836"/>
      <c r="I442" s="486"/>
    </row>
    <row r="443" spans="1:9" ht="14.45" customHeight="1">
      <c r="A443" s="480"/>
      <c r="D443" s="1836"/>
      <c r="E443" s="1836"/>
      <c r="F443" s="1836"/>
      <c r="I443" s="486"/>
    </row>
    <row r="444" spans="1:9" ht="14.45" customHeight="1">
      <c r="A444" s="480"/>
      <c r="D444" s="1836"/>
      <c r="E444" s="1836"/>
      <c r="F444" s="1836"/>
      <c r="I444" s="486"/>
    </row>
    <row r="445" spans="1:9" ht="14.45" customHeight="1">
      <c r="A445" s="480"/>
      <c r="D445" s="1836"/>
      <c r="E445" s="1836"/>
      <c r="F445" s="1836"/>
      <c r="I445" s="486"/>
    </row>
    <row r="446" spans="1:9" ht="14.45" customHeight="1">
      <c r="A446" s="480"/>
      <c r="D446" s="381"/>
      <c r="E446" s="381"/>
      <c r="F446" s="381"/>
      <c r="I446" s="486"/>
    </row>
    <row r="447" spans="1:9" ht="13.7" customHeight="1">
      <c r="A447" s="480"/>
      <c r="B447" s="481" t="s">
        <v>2687</v>
      </c>
      <c r="C447" s="472"/>
      <c r="D447" s="1836" t="s">
        <v>1237</v>
      </c>
      <c r="E447" s="1836"/>
      <c r="F447" s="1836"/>
      <c r="I447" s="486"/>
    </row>
    <row r="448" spans="1:9" ht="14.25">
      <c r="A448" s="493"/>
      <c r="B448" s="493"/>
      <c r="C448" s="472"/>
      <c r="D448" s="1836"/>
      <c r="E448" s="1836"/>
      <c r="F448" s="1836"/>
      <c r="I448" s="486"/>
    </row>
    <row r="449" spans="1:9" ht="14.25">
      <c r="A449" s="493"/>
      <c r="B449" s="493"/>
      <c r="C449" s="472"/>
      <c r="D449" s="1836"/>
      <c r="E449" s="1836"/>
      <c r="F449" s="1836"/>
      <c r="I449" s="486"/>
    </row>
    <row r="450" spans="1:9" ht="14.25">
      <c r="A450" s="493"/>
      <c r="B450" s="493"/>
      <c r="C450" s="472"/>
      <c r="D450" s="1836"/>
      <c r="E450" s="1836"/>
      <c r="F450" s="1836"/>
      <c r="I450" s="486"/>
    </row>
    <row r="451" spans="1:9" ht="15.75" customHeight="1">
      <c r="A451" s="493"/>
      <c r="B451" s="493"/>
      <c r="C451" s="472"/>
      <c r="D451" s="1893" t="s">
        <v>2600</v>
      </c>
      <c r="E451" s="1836"/>
      <c r="F451" s="1836"/>
      <c r="I451" s="486"/>
    </row>
    <row r="452" spans="1:9">
      <c r="D452" s="442"/>
      <c r="E452" s="442"/>
      <c r="F452" s="442"/>
      <c r="I452" s="486"/>
    </row>
    <row r="453" spans="1:9" ht="14.25">
      <c r="A453" s="480"/>
      <c r="B453" s="481" t="s">
        <v>2687</v>
      </c>
      <c r="C453" s="483"/>
      <c r="D453" s="1864" t="s">
        <v>2010</v>
      </c>
      <c r="E453" s="1864"/>
      <c r="F453" s="1864"/>
      <c r="I453" s="486"/>
    </row>
    <row r="454" spans="1:9" ht="14.25">
      <c r="A454" s="480"/>
      <c r="B454" s="480"/>
      <c r="D454" s="1864"/>
      <c r="E454" s="1864"/>
      <c r="F454" s="1864"/>
      <c r="I454" s="486"/>
    </row>
    <row r="455" spans="1:9">
      <c r="D455" s="1864"/>
      <c r="E455" s="1864"/>
      <c r="F455" s="1864"/>
      <c r="I455" s="486"/>
    </row>
    <row r="456" spans="1:9">
      <c r="D456" s="1864"/>
      <c r="E456" s="1864"/>
      <c r="F456" s="1864"/>
      <c r="I456" s="486"/>
    </row>
    <row r="457" spans="1:9">
      <c r="D457" s="1864"/>
      <c r="E457" s="1864"/>
      <c r="F457" s="1864"/>
      <c r="I457" s="486"/>
    </row>
    <row r="458" spans="1:9">
      <c r="D458" s="1864"/>
      <c r="E458" s="1864"/>
      <c r="F458" s="1864"/>
      <c r="I458" s="486"/>
    </row>
    <row r="459" spans="1:9">
      <c r="D459" s="1864"/>
      <c r="E459" s="1864"/>
      <c r="F459" s="1864"/>
      <c r="I459" s="486"/>
    </row>
    <row r="460" spans="1:9">
      <c r="D460" s="1864"/>
      <c r="E460" s="1864"/>
      <c r="F460" s="1864"/>
      <c r="I460" s="486"/>
    </row>
    <row r="461" spans="1:9">
      <c r="D461" s="1864"/>
      <c r="E461" s="1864"/>
      <c r="F461" s="1864"/>
      <c r="I461" s="486"/>
    </row>
    <row r="462" spans="1:9">
      <c r="D462" s="1864"/>
      <c r="E462" s="1864"/>
      <c r="F462" s="1864"/>
      <c r="I462" s="486"/>
    </row>
    <row r="463" spans="1:9">
      <c r="D463" s="1864"/>
      <c r="E463" s="1864"/>
      <c r="F463" s="1864"/>
      <c r="I463" s="486"/>
    </row>
    <row r="464" spans="1:9">
      <c r="D464" s="1864"/>
      <c r="E464" s="1864"/>
      <c r="F464" s="1864"/>
      <c r="I464" s="486"/>
    </row>
    <row r="465" spans="1:9">
      <c r="D465" s="1864"/>
      <c r="E465" s="1864"/>
      <c r="F465" s="1864"/>
      <c r="I465" s="486"/>
    </row>
    <row r="466" spans="1:9">
      <c r="A466" s="398"/>
      <c r="B466" s="398"/>
      <c r="C466" s="398"/>
      <c r="D466" s="1864"/>
      <c r="E466" s="1864"/>
      <c r="F466" s="1864"/>
      <c r="I466" s="486"/>
    </row>
    <row r="467" spans="1:9">
      <c r="A467" s="398"/>
      <c r="B467" s="398"/>
      <c r="C467" s="398"/>
      <c r="D467" s="1864"/>
      <c r="E467" s="1864"/>
      <c r="F467" s="1864"/>
      <c r="I467" s="486"/>
    </row>
    <row r="468" spans="1:9">
      <c r="A468" s="398"/>
      <c r="B468" s="398"/>
      <c r="C468" s="398"/>
      <c r="D468" s="1864"/>
      <c r="E468" s="1864"/>
      <c r="F468" s="1864"/>
      <c r="I468" s="486"/>
    </row>
    <row r="469" spans="1:9">
      <c r="A469" s="398"/>
      <c r="B469" s="398"/>
      <c r="C469" s="398"/>
      <c r="D469" s="1864"/>
      <c r="E469" s="1864"/>
      <c r="F469" s="1864"/>
      <c r="I469" s="486"/>
    </row>
    <row r="470" spans="1:9">
      <c r="A470" s="398"/>
      <c r="B470" s="398"/>
      <c r="C470" s="398"/>
      <c r="D470" s="1864"/>
      <c r="E470" s="1864"/>
      <c r="F470" s="1864"/>
      <c r="I470" s="486"/>
    </row>
    <row r="471" spans="1:9">
      <c r="A471" s="398"/>
      <c r="B471" s="398"/>
      <c r="C471" s="398"/>
      <c r="D471" s="1864"/>
      <c r="E471" s="1864"/>
      <c r="F471" s="1864"/>
      <c r="I471" s="486"/>
    </row>
    <row r="472" spans="1:9">
      <c r="A472" s="398"/>
      <c r="B472" s="398"/>
      <c r="C472" s="398"/>
      <c r="D472" s="1864"/>
      <c r="E472" s="1864"/>
      <c r="F472" s="1864"/>
      <c r="I472" s="486"/>
    </row>
    <row r="473" spans="1:9">
      <c r="A473" s="398"/>
      <c r="B473" s="398"/>
      <c r="C473" s="398"/>
      <c r="D473" s="1864"/>
      <c r="E473" s="1864"/>
      <c r="F473" s="1864"/>
      <c r="I473" s="486"/>
    </row>
    <row r="474" spans="1:9">
      <c r="A474" s="398"/>
      <c r="B474" s="398"/>
      <c r="C474" s="398"/>
      <c r="D474" s="1864"/>
      <c r="E474" s="1864"/>
      <c r="F474" s="1864"/>
      <c r="I474" s="486"/>
    </row>
    <row r="475" spans="1:9">
      <c r="A475" s="398"/>
      <c r="B475" s="398"/>
      <c r="C475" s="398"/>
      <c r="D475" s="1864"/>
      <c r="E475" s="1864"/>
      <c r="F475" s="1864"/>
      <c r="I475" s="486"/>
    </row>
    <row r="476" spans="1:9">
      <c r="A476" s="398"/>
      <c r="B476" s="398"/>
      <c r="C476" s="398"/>
      <c r="D476" s="1864"/>
      <c r="E476" s="1864"/>
      <c r="F476" s="1864"/>
      <c r="I476" s="486"/>
    </row>
    <row r="477" spans="1:9">
      <c r="A477" s="398"/>
      <c r="B477" s="398"/>
      <c r="C477" s="398"/>
      <c r="D477" s="1864"/>
      <c r="E477" s="1864"/>
      <c r="F477" s="1864"/>
      <c r="I477" s="486"/>
    </row>
    <row r="478" spans="1:9">
      <c r="A478" s="398"/>
      <c r="B478" s="398"/>
      <c r="C478" s="398"/>
      <c r="D478" s="1864"/>
      <c r="E478" s="1864"/>
      <c r="F478" s="1864"/>
      <c r="I478" s="486"/>
    </row>
    <row r="479" spans="1:9">
      <c r="A479" s="398"/>
      <c r="B479" s="398"/>
      <c r="C479" s="398"/>
      <c r="D479" s="1864"/>
      <c r="E479" s="1864"/>
      <c r="F479" s="1864"/>
      <c r="I479" s="486"/>
    </row>
    <row r="480" spans="1:9">
      <c r="A480" s="398"/>
      <c r="B480" s="398"/>
      <c r="C480" s="398"/>
      <c r="D480" s="1864"/>
      <c r="E480" s="1864"/>
      <c r="F480" s="1864"/>
      <c r="I480" s="486"/>
    </row>
    <row r="481" spans="1:9">
      <c r="A481" s="398"/>
      <c r="B481" s="398"/>
      <c r="C481" s="398"/>
      <c r="D481" s="1864"/>
      <c r="E481" s="1864"/>
      <c r="F481" s="1864"/>
      <c r="I481" s="486"/>
    </row>
    <row r="482" spans="1:9">
      <c r="D482" s="1864"/>
      <c r="E482" s="1864"/>
      <c r="F482" s="1864"/>
      <c r="I482" s="486"/>
    </row>
    <row r="483" spans="1:9" ht="40.700000000000003" customHeight="1">
      <c r="D483" s="1864"/>
      <c r="E483" s="1864"/>
      <c r="F483" s="1864"/>
      <c r="I483" s="486"/>
    </row>
    <row r="484" spans="1:9">
      <c r="D484" s="442"/>
      <c r="E484" s="442"/>
      <c r="F484" s="442"/>
      <c r="I484" s="486"/>
    </row>
    <row r="485" spans="1:9" ht="14.25">
      <c r="A485" s="480"/>
      <c r="B485" s="481" t="s">
        <v>2687</v>
      </c>
      <c r="C485" s="483"/>
      <c r="D485" s="1864" t="s">
        <v>1134</v>
      </c>
      <c r="E485" s="1864"/>
      <c r="F485" s="1864"/>
      <c r="I485" s="486"/>
    </row>
    <row r="486" spans="1:9">
      <c r="D486" s="1864"/>
      <c r="E486" s="1864"/>
      <c r="F486" s="1864"/>
      <c r="I486" s="486"/>
    </row>
    <row r="487" spans="1:9">
      <c r="D487" s="1864"/>
      <c r="E487" s="1864"/>
      <c r="F487" s="1864"/>
      <c r="I487" s="486"/>
    </row>
    <row r="488" spans="1:9">
      <c r="D488" s="441"/>
      <c r="E488" s="441"/>
      <c r="F488" s="441"/>
      <c r="I488" s="486"/>
    </row>
    <row r="489" spans="1:9" ht="14.25">
      <c r="B489" s="481" t="s">
        <v>2687</v>
      </c>
      <c r="C489" s="480"/>
      <c r="D489" s="1864" t="s">
        <v>1194</v>
      </c>
      <c r="E489" s="1864"/>
      <c r="F489" s="1864"/>
      <c r="I489" s="486"/>
    </row>
    <row r="490" spans="1:9">
      <c r="D490" s="1864"/>
      <c r="E490" s="1864"/>
      <c r="F490" s="1864"/>
      <c r="I490" s="486"/>
    </row>
    <row r="491" spans="1:9">
      <c r="D491" s="442"/>
      <c r="E491" s="442"/>
      <c r="F491" s="442"/>
      <c r="I491" s="486"/>
    </row>
    <row r="492" spans="1:9" ht="14.25">
      <c r="B492" s="481" t="s">
        <v>2687</v>
      </c>
      <c r="C492" s="480"/>
      <c r="D492" s="1864" t="s">
        <v>1135</v>
      </c>
      <c r="E492" s="1864"/>
      <c r="F492" s="1864"/>
      <c r="I492" s="486"/>
    </row>
    <row r="493" spans="1:9">
      <c r="D493" s="1864"/>
      <c r="E493" s="1864"/>
      <c r="F493" s="1864"/>
      <c r="I493" s="486"/>
    </row>
    <row r="494" spans="1:9">
      <c r="D494" s="1864"/>
      <c r="E494" s="1864"/>
      <c r="F494" s="1864"/>
      <c r="I494" s="486"/>
    </row>
    <row r="495" spans="1:9">
      <c r="D495" s="1864"/>
      <c r="E495" s="1864"/>
      <c r="F495" s="1864"/>
      <c r="I495" s="486"/>
    </row>
    <row r="496" spans="1:9">
      <c r="B496" s="481" t="s">
        <v>2687</v>
      </c>
      <c r="D496" s="1864"/>
      <c r="E496" s="1864"/>
      <c r="F496" s="1864"/>
      <c r="I496" s="486"/>
    </row>
    <row r="497" spans="1:9">
      <c r="A497" s="398"/>
      <c r="B497" s="398"/>
      <c r="C497" s="398"/>
      <c r="D497" s="1864"/>
      <c r="E497" s="1864"/>
      <c r="F497" s="1864"/>
      <c r="I497" s="486"/>
    </row>
    <row r="498" spans="1:9">
      <c r="A498" s="398"/>
      <c r="C498" s="398"/>
      <c r="D498" s="1864"/>
      <c r="E498" s="1864"/>
      <c r="F498" s="1864"/>
      <c r="I498" s="486"/>
    </row>
    <row r="499" spans="1:9">
      <c r="A499" s="398"/>
      <c r="B499" s="481" t="s">
        <v>2687</v>
      </c>
      <c r="C499" s="398"/>
      <c r="D499" s="1864"/>
      <c r="E499" s="1864"/>
      <c r="F499" s="1864"/>
      <c r="I499" s="486"/>
    </row>
    <row r="500" spans="1:9">
      <c r="A500" s="398"/>
      <c r="B500" s="398"/>
      <c r="C500" s="398"/>
      <c r="D500" s="1864"/>
      <c r="E500" s="1864"/>
      <c r="F500" s="1864"/>
      <c r="I500" s="486"/>
    </row>
    <row r="501" spans="1:9">
      <c r="A501" s="398"/>
      <c r="C501" s="398"/>
      <c r="D501" s="1864"/>
      <c r="E501" s="1864"/>
      <c r="F501" s="1864"/>
      <c r="I501" s="486"/>
    </row>
    <row r="502" spans="1:9">
      <c r="A502" s="398"/>
      <c r="C502" s="398"/>
      <c r="D502" s="1864"/>
      <c r="E502" s="1864"/>
      <c r="F502" s="1864"/>
      <c r="I502" s="486"/>
    </row>
    <row r="503" spans="1:9">
      <c r="A503" s="398"/>
      <c r="C503" s="398"/>
      <c r="D503" s="1864"/>
      <c r="E503" s="1864"/>
      <c r="F503" s="1864"/>
      <c r="I503" s="486"/>
    </row>
    <row r="504" spans="1:9">
      <c r="A504" s="398"/>
      <c r="B504" s="481" t="s">
        <v>2687</v>
      </c>
      <c r="C504" s="398"/>
      <c r="D504" s="1864"/>
      <c r="E504" s="1864"/>
      <c r="F504" s="1864"/>
      <c r="I504" s="486"/>
    </row>
    <row r="505" spans="1:9">
      <c r="A505" s="398"/>
      <c r="C505" s="398"/>
      <c r="D505" s="1864"/>
      <c r="E505" s="1864"/>
      <c r="F505" s="1864"/>
      <c r="I505" s="486"/>
    </row>
    <row r="506" spans="1:9">
      <c r="A506" s="398"/>
      <c r="B506" s="481" t="s">
        <v>2687</v>
      </c>
      <c r="C506" s="398"/>
      <c r="D506" s="1864" t="s">
        <v>1136</v>
      </c>
      <c r="E506" s="1864"/>
      <c r="F506" s="1864"/>
      <c r="I506" s="486"/>
    </row>
    <row r="507" spans="1:9">
      <c r="A507" s="398"/>
      <c r="B507" s="398"/>
      <c r="C507" s="398"/>
      <c r="D507" s="1864"/>
      <c r="E507" s="1864"/>
      <c r="F507" s="1864"/>
      <c r="I507" s="486"/>
    </row>
    <row r="508" spans="1:9">
      <c r="A508" s="398"/>
      <c r="B508" s="398"/>
      <c r="C508" s="398"/>
      <c r="D508" s="1864"/>
      <c r="E508" s="1864"/>
      <c r="F508" s="1864"/>
      <c r="I508" s="486"/>
    </row>
    <row r="509" spans="1:9">
      <c r="A509" s="398"/>
      <c r="B509" s="398"/>
      <c r="C509" s="398"/>
      <c r="D509" s="1864"/>
      <c r="E509" s="1864"/>
      <c r="F509" s="1864"/>
      <c r="I509" s="486"/>
    </row>
    <row r="510" spans="1:9">
      <c r="D510" s="1864"/>
      <c r="E510" s="1864"/>
      <c r="F510" s="1864"/>
      <c r="I510" s="486"/>
    </row>
    <row r="511" spans="1:9">
      <c r="D511" s="442"/>
      <c r="E511" s="442"/>
      <c r="F511" s="442"/>
      <c r="I511" s="486"/>
    </row>
    <row r="512" spans="1:9">
      <c r="B512" s="481" t="s">
        <v>2687</v>
      </c>
      <c r="D512" s="1866" t="s">
        <v>1137</v>
      </c>
      <c r="E512" s="1866"/>
      <c r="F512" s="1866"/>
      <c r="I512" s="486"/>
    </row>
    <row r="513" spans="1:9">
      <c r="A513" s="442"/>
      <c r="B513" s="442"/>
      <c r="I513" s="486"/>
    </row>
    <row r="514" spans="1:9">
      <c r="A514" s="1865" t="s">
        <v>1048</v>
      </c>
      <c r="B514" s="1865"/>
      <c r="C514" s="1865"/>
      <c r="D514" s="1865"/>
      <c r="E514" s="1865"/>
      <c r="F514" s="1865"/>
      <c r="G514" s="1865"/>
      <c r="H514" s="1018"/>
      <c r="I514" s="1142"/>
    </row>
    <row r="515" spans="1:9">
      <c r="A515" s="442"/>
      <c r="B515" s="442"/>
      <c r="I515" s="486"/>
    </row>
    <row r="516" spans="1:9">
      <c r="D516" s="1892" t="s">
        <v>881</v>
      </c>
      <c r="E516" s="1892"/>
      <c r="F516" s="1892"/>
      <c r="I516" s="486"/>
    </row>
    <row r="517" spans="1:9" ht="14.25">
      <c r="A517" s="480"/>
      <c r="B517" s="480"/>
      <c r="D517" s="1874" t="s">
        <v>1138</v>
      </c>
      <c r="E517" s="1874"/>
      <c r="F517" s="1874"/>
      <c r="I517" s="486"/>
    </row>
    <row r="518" spans="1:9" ht="14.25">
      <c r="A518" s="480"/>
      <c r="B518" s="480"/>
      <c r="D518" s="443"/>
      <c r="I518" s="486"/>
    </row>
    <row r="519" spans="1:9" ht="14.25">
      <c r="A519" s="480"/>
      <c r="B519" s="481" t="s">
        <v>2687</v>
      </c>
      <c r="D519" s="1836" t="s">
        <v>1139</v>
      </c>
      <c r="E519" s="1836"/>
      <c r="F519" s="1836"/>
      <c r="I519" s="486"/>
    </row>
    <row r="520" spans="1:9" ht="14.25">
      <c r="A520" s="480"/>
      <c r="B520" s="480"/>
      <c r="D520" s="1836"/>
      <c r="E520" s="1836"/>
      <c r="F520" s="1836"/>
      <c r="I520" s="486"/>
    </row>
    <row r="521" spans="1:9" ht="14.25">
      <c r="A521" s="480"/>
      <c r="B521" s="480"/>
      <c r="D521" s="442"/>
      <c r="I521" s="486"/>
    </row>
    <row r="522" spans="1:9" ht="12.75" customHeight="1">
      <c r="B522" s="481" t="s">
        <v>2687</v>
      </c>
      <c r="D522" s="1880" t="s">
        <v>1270</v>
      </c>
      <c r="E522" s="1880"/>
      <c r="F522" s="1880"/>
      <c r="I522" s="486"/>
    </row>
    <row r="523" spans="1:9" ht="14.25">
      <c r="A523" s="480"/>
      <c r="D523" s="1880"/>
      <c r="E523" s="1880"/>
      <c r="F523" s="1880"/>
      <c r="I523" s="486"/>
    </row>
    <row r="524" spans="1:9" ht="14.25">
      <c r="A524" s="480"/>
      <c r="B524" s="480"/>
      <c r="D524" s="1880"/>
      <c r="E524" s="1880"/>
      <c r="F524" s="1880"/>
      <c r="I524" s="486"/>
    </row>
    <row r="525" spans="1:9" ht="14.25">
      <c r="A525" s="480"/>
      <c r="B525" s="480"/>
      <c r="D525" s="1880"/>
      <c r="E525" s="1880"/>
      <c r="F525" s="1880"/>
      <c r="I525" s="486"/>
    </row>
    <row r="526" spans="1:9" ht="14.25">
      <c r="A526" s="480"/>
      <c r="D526" s="516"/>
      <c r="E526" s="516"/>
      <c r="F526" s="516"/>
      <c r="I526" s="486"/>
    </row>
    <row r="527" spans="1:9" ht="14.25">
      <c r="A527" s="480"/>
      <c r="B527" s="481" t="s">
        <v>2687</v>
      </c>
      <c r="D527" s="1866" t="s">
        <v>1140</v>
      </c>
      <c r="E527" s="1866"/>
      <c r="F527" s="1866"/>
      <c r="I527" s="486"/>
    </row>
    <row r="528" spans="1:9" ht="14.25">
      <c r="A528" s="480"/>
      <c r="B528" s="480"/>
      <c r="D528" s="442"/>
      <c r="I528" s="486"/>
    </row>
    <row r="529" spans="1:9" ht="14.25">
      <c r="A529" s="480"/>
      <c r="B529" s="481" t="s">
        <v>2687</v>
      </c>
      <c r="D529" s="1864" t="s">
        <v>1141</v>
      </c>
      <c r="E529" s="1864"/>
      <c r="F529" s="1864"/>
      <c r="I529" s="486"/>
    </row>
    <row r="530" spans="1:9" ht="14.25">
      <c r="A530" s="480"/>
      <c r="D530" s="1864"/>
      <c r="E530" s="1864"/>
      <c r="F530" s="1864"/>
      <c r="I530" s="486"/>
    </row>
    <row r="531" spans="1:9">
      <c r="A531" s="486"/>
      <c r="B531" s="486"/>
      <c r="D531" s="443"/>
      <c r="I531" s="486"/>
    </row>
    <row r="532" spans="1:9">
      <c r="A532" s="486"/>
      <c r="B532" s="481" t="s">
        <v>2687</v>
      </c>
      <c r="D532" s="1866" t="s">
        <v>1142</v>
      </c>
      <c r="E532" s="1866"/>
      <c r="F532" s="1866"/>
      <c r="I532" s="486"/>
    </row>
    <row r="533" spans="1:9">
      <c r="D533" s="442"/>
      <c r="E533" s="442"/>
      <c r="F533" s="442"/>
      <c r="I533" s="486"/>
    </row>
    <row r="534" spans="1:9">
      <c r="B534" s="481" t="s">
        <v>2687</v>
      </c>
      <c r="D534" s="1864" t="s">
        <v>2213</v>
      </c>
      <c r="E534" s="1864"/>
      <c r="F534" s="1864"/>
      <c r="I534" s="486"/>
    </row>
    <row r="535" spans="1:9">
      <c r="D535" s="1864"/>
      <c r="E535" s="1864"/>
      <c r="F535" s="1864"/>
      <c r="I535" s="486"/>
    </row>
    <row r="536" spans="1:9">
      <c r="D536" s="1864"/>
      <c r="E536" s="1864"/>
      <c r="F536" s="1864"/>
      <c r="I536" s="486"/>
    </row>
    <row r="537" spans="1:9">
      <c r="D537" s="442"/>
      <c r="E537" s="442"/>
      <c r="F537" s="442"/>
      <c r="I537" s="486"/>
    </row>
    <row r="538" spans="1:9" ht="14.25">
      <c r="A538" s="480"/>
      <c r="B538" s="480"/>
      <c r="D538" s="442"/>
      <c r="I538" s="486"/>
    </row>
    <row r="539" spans="1:9">
      <c r="A539" s="1865" t="s">
        <v>1049</v>
      </c>
      <c r="B539" s="1865"/>
      <c r="C539" s="1865"/>
      <c r="D539" s="1865"/>
      <c r="E539" s="1865"/>
      <c r="F539" s="1865"/>
      <c r="G539" s="1865"/>
      <c r="H539" s="1018"/>
      <c r="I539" s="1142"/>
    </row>
    <row r="540" spans="1:9" ht="12" customHeight="1">
      <c r="A540" s="480"/>
      <c r="B540" s="480"/>
      <c r="D540" s="442"/>
      <c r="I540" s="486"/>
    </row>
    <row r="541" spans="1:9">
      <c r="C541" s="478"/>
      <c r="D541" s="1867" t="s">
        <v>791</v>
      </c>
      <c r="E541" s="1867"/>
      <c r="F541" s="1867"/>
      <c r="I541" s="486"/>
    </row>
    <row r="542" spans="1:9">
      <c r="C542" s="478"/>
      <c r="D542" s="502" t="s">
        <v>1196</v>
      </c>
      <c r="E542" s="502"/>
      <c r="F542" s="502"/>
      <c r="I542" s="486"/>
    </row>
    <row r="543" spans="1:9">
      <c r="C543" s="478"/>
      <c r="D543" s="502" t="s">
        <v>1197</v>
      </c>
      <c r="E543" s="502"/>
      <c r="F543" s="502"/>
      <c r="I543" s="486"/>
    </row>
    <row r="544" spans="1:9">
      <c r="C544" s="478"/>
      <c r="D544" s="477"/>
      <c r="E544" s="477"/>
      <c r="F544" s="477"/>
      <c r="I544" s="486"/>
    </row>
    <row r="545" spans="1:9" ht="13.7" customHeight="1">
      <c r="A545" s="479"/>
      <c r="B545" s="481" t="s">
        <v>2850</v>
      </c>
      <c r="C545" s="479"/>
      <c r="D545" s="1836" t="s">
        <v>2011</v>
      </c>
      <c r="E545" s="1836"/>
      <c r="F545" s="1836"/>
      <c r="I545" s="486"/>
    </row>
    <row r="546" spans="1:9">
      <c r="A546" s="479"/>
      <c r="B546" s="479"/>
      <c r="C546" s="479"/>
      <c r="D546" s="1836"/>
      <c r="E546" s="1836"/>
      <c r="F546" s="1836"/>
      <c r="I546" s="486"/>
    </row>
    <row r="547" spans="1:9">
      <c r="A547" s="479"/>
      <c r="B547" s="479"/>
      <c r="C547" s="479"/>
      <c r="D547" s="447"/>
      <c r="E547" s="447"/>
      <c r="F547" s="447"/>
      <c r="I547" s="476"/>
    </row>
    <row r="548" spans="1:9" ht="12.75" customHeight="1">
      <c r="A548" s="479"/>
      <c r="B548" s="481" t="s">
        <v>2850</v>
      </c>
      <c r="D548" s="382" t="s">
        <v>1869</v>
      </c>
      <c r="E548" s="381"/>
      <c r="F548" s="381"/>
      <c r="I548" s="486"/>
    </row>
    <row r="549" spans="1:9">
      <c r="A549" s="479"/>
      <c r="B549" s="479"/>
      <c r="C549" s="479"/>
      <c r="D549" s="381"/>
      <c r="E549" s="96" t="s">
        <v>1870</v>
      </c>
      <c r="I549" s="486"/>
    </row>
    <row r="550" spans="1:9">
      <c r="A550" s="479"/>
      <c r="B550" s="479"/>
      <c r="D550" s="1844" t="s">
        <v>2012</v>
      </c>
      <c r="E550" s="1844"/>
      <c r="F550" s="1844"/>
      <c r="I550" s="486"/>
    </row>
    <row r="551" spans="1:9">
      <c r="A551" s="479"/>
      <c r="B551" s="479"/>
      <c r="D551" s="1844"/>
      <c r="E551" s="1844"/>
      <c r="F551" s="1844"/>
      <c r="I551" s="486"/>
    </row>
    <row r="552" spans="1:9">
      <c r="A552" s="479"/>
      <c r="B552" s="479"/>
      <c r="C552" s="479"/>
      <c r="D552" s="1844"/>
      <c r="E552" s="1844"/>
      <c r="F552" s="1844"/>
      <c r="I552" s="486"/>
    </row>
    <row r="553" spans="1:9">
      <c r="A553" s="479"/>
      <c r="B553" s="479"/>
      <c r="C553" s="479"/>
      <c r="D553" s="494"/>
      <c r="F553" s="442"/>
      <c r="I553" s="486"/>
    </row>
    <row r="554" spans="1:9" ht="13.35" customHeight="1">
      <c r="A554" s="479"/>
      <c r="B554" s="481" t="s">
        <v>2687</v>
      </c>
      <c r="C554" s="479"/>
      <c r="D554" s="1864" t="s">
        <v>2624</v>
      </c>
      <c r="E554" s="1864"/>
      <c r="F554" s="1864"/>
      <c r="I554" s="486"/>
    </row>
    <row r="555" spans="1:9" ht="13.35" customHeight="1">
      <c r="A555" s="479"/>
      <c r="B555" s="479"/>
      <c r="C555" s="479"/>
      <c r="D555" s="1864"/>
      <c r="E555" s="1864"/>
      <c r="F555" s="1864"/>
      <c r="I555" s="486"/>
    </row>
    <row r="556" spans="1:9">
      <c r="A556" s="479"/>
      <c r="B556" s="479"/>
      <c r="C556" s="479"/>
      <c r="D556" s="1864"/>
      <c r="E556" s="1864"/>
      <c r="F556" s="1864"/>
      <c r="I556" s="486"/>
    </row>
    <row r="557" spans="1:9" ht="12" customHeight="1">
      <c r="A557" s="442"/>
      <c r="B557" s="442"/>
      <c r="C557" s="483"/>
      <c r="D557" s="442"/>
      <c r="F557" s="444"/>
      <c r="I557" s="486"/>
    </row>
    <row r="558" spans="1:9">
      <c r="A558" s="1865" t="s">
        <v>1050</v>
      </c>
      <c r="B558" s="1865"/>
      <c r="C558" s="1865"/>
      <c r="D558" s="1865"/>
      <c r="E558" s="1865"/>
      <c r="F558" s="1865"/>
      <c r="G558" s="1865"/>
      <c r="H558" s="1018"/>
      <c r="I558" s="1142"/>
    </row>
    <row r="559" spans="1:9">
      <c r="A559" s="442"/>
      <c r="B559" s="442"/>
      <c r="C559" s="483"/>
      <c r="F559" s="444"/>
      <c r="I559" s="486"/>
    </row>
    <row r="560" spans="1:9">
      <c r="B560" s="1870" t="s">
        <v>444</v>
      </c>
      <c r="C560" s="1870"/>
      <c r="D560" s="1870"/>
      <c r="E560" s="1870"/>
      <c r="F560" s="1870"/>
      <c r="I560" s="486"/>
    </row>
    <row r="561" spans="1:9">
      <c r="A561" s="442"/>
      <c r="B561" s="442"/>
      <c r="C561" s="483"/>
      <c r="D561" s="442"/>
      <c r="F561" s="442"/>
      <c r="I561" s="486"/>
    </row>
    <row r="562" spans="1:9">
      <c r="A562" s="1868" t="s">
        <v>1051</v>
      </c>
      <c r="B562" s="1868"/>
      <c r="C562" s="1868"/>
      <c r="D562" s="1868"/>
      <c r="E562" s="1868"/>
      <c r="F562" s="1868"/>
      <c r="G562" s="1868"/>
      <c r="H562" s="1018"/>
      <c r="I562" s="1142"/>
    </row>
    <row r="563" spans="1:9">
      <c r="A563" s="442"/>
      <c r="B563" s="442"/>
      <c r="C563" s="483"/>
      <c r="D563" s="442"/>
      <c r="F563" s="442"/>
      <c r="I563" s="486"/>
    </row>
    <row r="564" spans="1:9">
      <c r="C564" s="483"/>
      <c r="D564" s="1867" t="s">
        <v>681</v>
      </c>
      <c r="E564" s="1867"/>
      <c r="F564" s="1867"/>
      <c r="I564" s="486"/>
    </row>
    <row r="565" spans="1:9">
      <c r="C565" s="483"/>
      <c r="D565" s="1866" t="s">
        <v>1079</v>
      </c>
      <c r="E565" s="1866"/>
      <c r="F565" s="1866"/>
      <c r="I565" s="486"/>
    </row>
    <row r="566" spans="1:9">
      <c r="C566" s="483"/>
      <c r="D566" s="442"/>
      <c r="E566" s="442"/>
      <c r="F566" s="442"/>
      <c r="I566" s="486"/>
    </row>
    <row r="567" spans="1:9" ht="13.7" customHeight="1">
      <c r="A567" s="480"/>
      <c r="B567" s="481" t="s">
        <v>2850</v>
      </c>
      <c r="C567" s="483"/>
      <c r="D567" s="1866" t="s">
        <v>882</v>
      </c>
      <c r="E567" s="1866"/>
      <c r="F567" s="1866"/>
      <c r="I567" s="486"/>
    </row>
    <row r="568" spans="1:9" ht="13.7" customHeight="1">
      <c r="A568" s="483"/>
      <c r="B568" s="483"/>
      <c r="C568" s="483"/>
      <c r="D568" s="442"/>
      <c r="I568" s="486"/>
    </row>
    <row r="569" spans="1:9" ht="14.25">
      <c r="A569" s="480"/>
      <c r="B569" s="481" t="s">
        <v>2850</v>
      </c>
      <c r="C569" s="483"/>
      <c r="D569" s="1864" t="s">
        <v>1080</v>
      </c>
      <c r="E569" s="1864"/>
      <c r="F569" s="1864"/>
      <c r="I569" s="486"/>
    </row>
    <row r="570" spans="1:9">
      <c r="A570" s="483"/>
      <c r="B570" s="483"/>
      <c r="C570" s="483"/>
      <c r="D570" s="1864"/>
      <c r="E570" s="1864"/>
      <c r="F570" s="1864"/>
      <c r="I570" s="486"/>
    </row>
    <row r="571" spans="1:9">
      <c r="A571" s="483"/>
      <c r="B571" s="483"/>
      <c r="C571" s="483"/>
      <c r="D571" s="442"/>
      <c r="E571" s="442"/>
      <c r="F571" s="442"/>
      <c r="I571" s="486"/>
    </row>
    <row r="572" spans="1:9" ht="14.25">
      <c r="A572" s="480"/>
      <c r="B572" s="481" t="s">
        <v>2850</v>
      </c>
      <c r="C572" s="483"/>
      <c r="D572" s="1864" t="s">
        <v>1081</v>
      </c>
      <c r="E572" s="1864"/>
      <c r="F572" s="1864"/>
      <c r="I572" s="486"/>
    </row>
    <row r="573" spans="1:9">
      <c r="A573" s="483"/>
      <c r="B573" s="483"/>
      <c r="C573" s="483"/>
      <c r="D573" s="1864"/>
      <c r="E573" s="1864"/>
      <c r="F573" s="1864"/>
      <c r="I573" s="486"/>
    </row>
    <row r="574" spans="1:9">
      <c r="A574" s="483"/>
      <c r="B574" s="483"/>
      <c r="C574" s="483"/>
      <c r="D574" s="442"/>
      <c r="E574" s="442"/>
      <c r="F574" s="442"/>
      <c r="I574" s="486"/>
    </row>
    <row r="575" spans="1:9" ht="14.25">
      <c r="A575" s="480"/>
      <c r="B575" s="481" t="s">
        <v>2850</v>
      </c>
      <c r="C575" s="483"/>
      <c r="D575" s="1864" t="s">
        <v>1082</v>
      </c>
      <c r="E575" s="1864"/>
      <c r="F575" s="1864"/>
      <c r="I575" s="486"/>
    </row>
    <row r="576" spans="1:9">
      <c r="A576" s="483"/>
      <c r="B576" s="483"/>
      <c r="C576" s="483"/>
      <c r="D576" s="1864"/>
      <c r="E576" s="1864"/>
      <c r="F576" s="1864"/>
      <c r="I576" s="486"/>
    </row>
    <row r="577" spans="1:9">
      <c r="A577" s="483"/>
      <c r="B577" s="483"/>
      <c r="C577" s="483"/>
      <c r="D577" s="442"/>
      <c r="E577" s="442"/>
      <c r="F577" s="442"/>
      <c r="I577" s="486"/>
    </row>
    <row r="578" spans="1:9" ht="14.25">
      <c r="A578" s="480"/>
      <c r="B578" s="481" t="s">
        <v>2850</v>
      </c>
      <c r="C578" s="483"/>
      <c r="D578" s="1864" t="s">
        <v>1083</v>
      </c>
      <c r="E578" s="1864"/>
      <c r="F578" s="1864"/>
      <c r="I578" s="486"/>
    </row>
    <row r="579" spans="1:9">
      <c r="A579" s="483"/>
      <c r="B579" s="483"/>
      <c r="C579" s="483"/>
      <c r="D579" s="1864"/>
      <c r="E579" s="1864"/>
      <c r="F579" s="1864"/>
      <c r="I579" s="486"/>
    </row>
    <row r="580" spans="1:9">
      <c r="A580" s="483"/>
      <c r="B580" s="483"/>
      <c r="C580" s="483"/>
      <c r="D580" s="1864"/>
      <c r="E580" s="1864"/>
      <c r="F580" s="1864"/>
      <c r="I580" s="486"/>
    </row>
    <row r="581" spans="1:9">
      <c r="A581" s="483"/>
      <c r="B581" s="483"/>
      <c r="C581" s="483"/>
      <c r="D581" s="442"/>
      <c r="E581" s="442"/>
      <c r="F581" s="442"/>
      <c r="I581" s="486"/>
    </row>
    <row r="582" spans="1:9" ht="14.25">
      <c r="A582" s="480"/>
      <c r="B582" s="481" t="s">
        <v>2687</v>
      </c>
      <c r="C582" s="483"/>
      <c r="D582" s="1864" t="s">
        <v>2192</v>
      </c>
      <c r="E582" s="1864"/>
      <c r="F582" s="1864"/>
      <c r="I582" s="486"/>
    </row>
    <row r="583" spans="1:9">
      <c r="A583" s="483"/>
      <c r="B583" s="483"/>
      <c r="C583" s="483"/>
      <c r="D583" s="1864"/>
      <c r="E583" s="1864"/>
      <c r="F583" s="1864"/>
      <c r="I583" s="486"/>
    </row>
    <row r="584" spans="1:9">
      <c r="A584" s="483"/>
      <c r="B584" s="483"/>
      <c r="C584" s="483"/>
      <c r="D584" s="442"/>
      <c r="E584" s="442"/>
      <c r="F584" s="442"/>
      <c r="I584" s="486"/>
    </row>
    <row r="585" spans="1:9" ht="14.25">
      <c r="A585" s="480"/>
      <c r="B585" s="481" t="s">
        <v>2850</v>
      </c>
      <c r="C585" s="483"/>
      <c r="D585" s="1864" t="s">
        <v>1084</v>
      </c>
      <c r="E585" s="1864"/>
      <c r="F585" s="1864"/>
      <c r="I585" s="486"/>
    </row>
    <row r="586" spans="1:9">
      <c r="A586" s="483"/>
      <c r="B586" s="483"/>
      <c r="C586" s="483"/>
      <c r="D586" s="1864"/>
      <c r="E586" s="1864"/>
      <c r="F586" s="1864"/>
      <c r="I586" s="486"/>
    </row>
    <row r="587" spans="1:9">
      <c r="A587" s="483"/>
      <c r="B587" s="483"/>
      <c r="C587" s="483"/>
      <c r="D587" s="442"/>
      <c r="E587" s="442"/>
      <c r="F587" s="442"/>
      <c r="I587" s="486"/>
    </row>
    <row r="588" spans="1:9" ht="14.25">
      <c r="A588" s="480"/>
      <c r="B588" s="481" t="s">
        <v>2850</v>
      </c>
      <c r="C588" s="483"/>
      <c r="D588" s="1866" t="s">
        <v>1085</v>
      </c>
      <c r="E588" s="1866"/>
      <c r="F588" s="1866"/>
      <c r="I588" s="486"/>
    </row>
    <row r="589" spans="1:9">
      <c r="A589" s="486"/>
      <c r="B589" s="486"/>
      <c r="C589" s="483"/>
      <c r="D589" s="1866" t="s">
        <v>1872</v>
      </c>
      <c r="E589" s="1866"/>
      <c r="F589" s="1866"/>
      <c r="I589" s="486"/>
    </row>
    <row r="590" spans="1:9">
      <c r="A590" s="486"/>
      <c r="B590" s="486"/>
      <c r="C590" s="483"/>
      <c r="E590" s="96" t="s">
        <v>1871</v>
      </c>
      <c r="F590" s="400"/>
      <c r="I590" s="486"/>
    </row>
    <row r="591" spans="1:9" ht="14.25">
      <c r="A591" s="480"/>
      <c r="B591" s="480"/>
      <c r="C591" s="483"/>
      <c r="E591" s="442"/>
      <c r="F591" s="442"/>
      <c r="I591" s="486"/>
    </row>
    <row r="592" spans="1:9" ht="14.25">
      <c r="A592" s="480"/>
      <c r="B592" s="481" t="s">
        <v>2850</v>
      </c>
      <c r="C592" s="483"/>
      <c r="D592" s="1866" t="s">
        <v>1086</v>
      </c>
      <c r="E592" s="1866"/>
      <c r="F592" s="1866"/>
      <c r="I592" s="486"/>
    </row>
    <row r="593" spans="1:9">
      <c r="C593" s="483"/>
      <c r="D593" s="1864" t="s">
        <v>1087</v>
      </c>
      <c r="E593" s="1864"/>
      <c r="F593" s="1864"/>
      <c r="I593" s="486"/>
    </row>
    <row r="594" spans="1:9">
      <c r="A594" s="483"/>
      <c r="B594" s="483"/>
      <c r="C594" s="483"/>
      <c r="D594" s="1864"/>
      <c r="E594" s="1864"/>
      <c r="F594" s="1864"/>
      <c r="I594" s="486"/>
    </row>
    <row r="595" spans="1:9">
      <c r="A595" s="483"/>
      <c r="B595" s="483"/>
      <c r="C595" s="483"/>
      <c r="D595" s="1864"/>
      <c r="E595" s="1864"/>
      <c r="F595" s="1864"/>
      <c r="I595" s="486"/>
    </row>
    <row r="596" spans="1:9">
      <c r="A596" s="483"/>
      <c r="B596" s="483"/>
      <c r="C596" s="483"/>
      <c r="D596" s="442"/>
      <c r="E596" s="442"/>
      <c r="F596" s="442"/>
      <c r="I596" s="486"/>
    </row>
    <row r="597" spans="1:9" ht="14.25">
      <c r="A597" s="480"/>
      <c r="B597" s="481" t="s">
        <v>2850</v>
      </c>
      <c r="C597" s="483"/>
      <c r="D597" s="1864" t="s">
        <v>2013</v>
      </c>
      <c r="E597" s="1864"/>
      <c r="F597" s="1864"/>
      <c r="I597" s="486"/>
    </row>
    <row r="598" spans="1:9" ht="14.25">
      <c r="A598" s="480"/>
      <c r="B598" s="480"/>
      <c r="C598" s="483"/>
      <c r="D598" s="1864"/>
      <c r="E598" s="1864"/>
      <c r="F598" s="1864"/>
      <c r="I598" s="486"/>
    </row>
    <row r="599" spans="1:9" ht="14.25">
      <c r="A599" s="480"/>
      <c r="B599" s="480"/>
      <c r="C599" s="483"/>
      <c r="D599" s="1864"/>
      <c r="E599" s="1864"/>
      <c r="F599" s="1864"/>
      <c r="I599" s="486"/>
    </row>
    <row r="600" spans="1:9" ht="14.25">
      <c r="A600" s="480"/>
      <c r="B600" s="480"/>
      <c r="C600" s="483"/>
      <c r="D600" s="1864"/>
      <c r="E600" s="1864"/>
      <c r="F600" s="1864"/>
      <c r="I600" s="486"/>
    </row>
    <row r="601" spans="1:9" ht="14.25">
      <c r="A601" s="480"/>
      <c r="B601" s="480"/>
      <c r="C601" s="483"/>
      <c r="D601" s="442"/>
      <c r="E601" s="442"/>
      <c r="F601" s="442"/>
      <c r="I601" s="486"/>
    </row>
    <row r="602" spans="1:9">
      <c r="A602" s="1865" t="s">
        <v>1052</v>
      </c>
      <c r="B602" s="1865"/>
      <c r="C602" s="1865"/>
      <c r="D602" s="1865"/>
      <c r="E602" s="1865"/>
      <c r="F602" s="1865"/>
      <c r="G602" s="1865"/>
      <c r="H602" s="1018"/>
      <c r="I602" s="1142"/>
    </row>
    <row r="603" spans="1:9">
      <c r="A603" s="483"/>
      <c r="B603" s="483"/>
      <c r="C603" s="483"/>
      <c r="E603" s="442"/>
      <c r="F603" s="442"/>
      <c r="I603" s="486"/>
    </row>
    <row r="604" spans="1:9" ht="12.75" customHeight="1">
      <c r="C604" s="478"/>
      <c r="D604" s="1883" t="s">
        <v>209</v>
      </c>
      <c r="E604" s="1883"/>
      <c r="F604" s="1883"/>
      <c r="I604" s="486"/>
    </row>
    <row r="605" spans="1:9">
      <c r="A605" s="479"/>
      <c r="B605" s="479"/>
      <c r="C605" s="479"/>
      <c r="D605" s="1880" t="s">
        <v>1065</v>
      </c>
      <c r="E605" s="1880"/>
      <c r="F605" s="1880"/>
      <c r="I605" s="486"/>
    </row>
    <row r="606" spans="1:9">
      <c r="A606" s="398"/>
      <c r="B606" s="398"/>
      <c r="C606" s="479"/>
      <c r="D606" s="495"/>
      <c r="I606" s="486"/>
    </row>
    <row r="607" spans="1:9">
      <c r="A607" s="479"/>
      <c r="B607" s="481" t="s">
        <v>2850</v>
      </c>
      <c r="D607" s="1880" t="s">
        <v>886</v>
      </c>
      <c r="E607" s="1880"/>
      <c r="F607" s="1880"/>
      <c r="I607" s="486"/>
    </row>
    <row r="608" spans="1:9">
      <c r="A608" s="486"/>
      <c r="B608" s="486"/>
      <c r="D608" s="472"/>
      <c r="I608" s="486"/>
    </row>
    <row r="609" spans="1:9">
      <c r="A609" s="486"/>
      <c r="B609" s="481" t="s">
        <v>2850</v>
      </c>
      <c r="D609" s="1880" t="s">
        <v>2014</v>
      </c>
      <c r="E609" s="1880"/>
      <c r="F609" s="1880"/>
      <c r="I609" s="486"/>
    </row>
    <row r="610" spans="1:9">
      <c r="A610" s="486"/>
      <c r="B610" s="486"/>
      <c r="D610" s="1880"/>
      <c r="E610" s="1880"/>
      <c r="F610" s="1880"/>
      <c r="I610" s="486"/>
    </row>
    <row r="611" spans="1:9">
      <c r="A611" s="486"/>
      <c r="B611" s="486"/>
      <c r="D611" s="1880"/>
      <c r="E611" s="1880"/>
      <c r="F611" s="1880"/>
      <c r="I611" s="486"/>
    </row>
    <row r="612" spans="1:9">
      <c r="A612" s="486"/>
      <c r="B612" s="486"/>
      <c r="D612" s="1880"/>
      <c r="E612" s="1880"/>
      <c r="F612" s="1880"/>
      <c r="I612" s="486"/>
    </row>
    <row r="613" spans="1:9">
      <c r="A613" s="486"/>
      <c r="B613" s="481" t="s">
        <v>2687</v>
      </c>
      <c r="D613" s="1880" t="s">
        <v>1066</v>
      </c>
      <c r="E613" s="1880"/>
      <c r="F613" s="1880"/>
      <c r="I613" s="486"/>
    </row>
    <row r="614" spans="1:9">
      <c r="A614" s="486"/>
      <c r="B614" s="486"/>
      <c r="D614" s="1880"/>
      <c r="E614" s="1880"/>
      <c r="F614" s="1880"/>
      <c r="I614" s="486"/>
    </row>
    <row r="615" spans="1:9">
      <c r="A615" s="486"/>
      <c r="B615" s="486"/>
      <c r="D615" s="1880"/>
      <c r="E615" s="1880"/>
      <c r="F615" s="1880"/>
      <c r="I615" s="486"/>
    </row>
    <row r="616" spans="1:9">
      <c r="A616" s="486"/>
      <c r="B616" s="486"/>
      <c r="D616" s="1880"/>
      <c r="E616" s="1880"/>
      <c r="F616" s="1880"/>
      <c r="I616" s="486"/>
    </row>
    <row r="617" spans="1:9">
      <c r="A617" s="486"/>
      <c r="B617" s="486"/>
      <c r="D617" s="436"/>
      <c r="E617" s="436"/>
      <c r="F617" s="436"/>
      <c r="I617" s="486"/>
    </row>
    <row r="618" spans="1:9">
      <c r="A618" s="486"/>
      <c r="B618" s="481" t="s">
        <v>2850</v>
      </c>
      <c r="D618" s="1880" t="s">
        <v>2015</v>
      </c>
      <c r="E618" s="1880"/>
      <c r="F618" s="1880"/>
      <c r="I618" s="486"/>
    </row>
    <row r="619" spans="1:9">
      <c r="A619" s="486"/>
      <c r="B619" s="486"/>
      <c r="D619" s="1880"/>
      <c r="E619" s="1880"/>
      <c r="F619" s="1880"/>
      <c r="I619" s="486"/>
    </row>
    <row r="620" spans="1:9">
      <c r="A620" s="486"/>
      <c r="B620" s="486"/>
      <c r="D620" s="495"/>
      <c r="I620" s="486"/>
    </row>
    <row r="621" spans="1:9">
      <c r="A621" s="486"/>
      <c r="B621" s="481" t="s">
        <v>2687</v>
      </c>
      <c r="D621" s="1880" t="s">
        <v>1067</v>
      </c>
      <c r="E621" s="1880"/>
      <c r="F621" s="1880"/>
      <c r="I621" s="486"/>
    </row>
    <row r="622" spans="1:9">
      <c r="A622" s="486"/>
      <c r="B622" s="486"/>
      <c r="D622" s="1880"/>
      <c r="E622" s="1880"/>
      <c r="F622" s="1880"/>
      <c r="I622" s="486"/>
    </row>
    <row r="623" spans="1:9" ht="14.25">
      <c r="A623" s="480"/>
      <c r="B623" s="480"/>
      <c r="D623" s="495"/>
      <c r="I623" s="486"/>
    </row>
    <row r="624" spans="1:9">
      <c r="A624" s="1865" t="s">
        <v>1053</v>
      </c>
      <c r="B624" s="1865"/>
      <c r="C624" s="1865"/>
      <c r="D624" s="1865"/>
      <c r="E624" s="1865"/>
      <c r="F624" s="1865"/>
      <c r="G624" s="1865"/>
      <c r="H624" s="1018"/>
      <c r="I624" s="1142"/>
    </row>
    <row r="625" spans="1:9">
      <c r="I625" s="486"/>
    </row>
    <row r="626" spans="1:9">
      <c r="D626" s="1867" t="s">
        <v>1105</v>
      </c>
      <c r="E626" s="1867"/>
      <c r="F626" s="1867"/>
      <c r="I626" s="486"/>
    </row>
    <row r="627" spans="1:9">
      <c r="D627" s="1855" t="s">
        <v>1106</v>
      </c>
      <c r="E627" s="1855"/>
      <c r="F627" s="1855"/>
      <c r="I627" s="486"/>
    </row>
    <row r="628" spans="1:9">
      <c r="D628" s="440"/>
      <c r="I628" s="486"/>
    </row>
    <row r="629" spans="1:9" ht="14.25" customHeight="1">
      <c r="A629" s="480"/>
      <c r="B629" s="481" t="s">
        <v>2850</v>
      </c>
      <c r="D629" s="1846" t="s">
        <v>1873</v>
      </c>
      <c r="E629" s="1846"/>
      <c r="F629" s="1846"/>
      <c r="I629" s="486"/>
    </row>
    <row r="630" spans="1:9">
      <c r="D630" s="1846"/>
      <c r="E630" s="1846"/>
      <c r="F630" s="1846"/>
      <c r="I630" s="486"/>
    </row>
    <row r="631" spans="1:9">
      <c r="D631" s="381"/>
      <c r="E631" s="1026" t="s">
        <v>1874</v>
      </c>
      <c r="F631" s="381"/>
      <c r="I631" s="486"/>
    </row>
    <row r="632" spans="1:9">
      <c r="I632" s="486"/>
    </row>
    <row r="633" spans="1:9" customFormat="1">
      <c r="A633" s="350"/>
      <c r="B633" s="1261" t="s">
        <v>306</v>
      </c>
      <c r="C633" s="350"/>
      <c r="D633" s="1846" t="s">
        <v>2641</v>
      </c>
      <c r="E633" s="1846"/>
      <c r="F633" s="1846"/>
      <c r="G633" s="3"/>
    </row>
    <row r="634" spans="1:9" customFormat="1">
      <c r="A634" s="350"/>
      <c r="B634" s="350"/>
      <c r="C634" s="350"/>
      <c r="D634" s="1846"/>
      <c r="E634" s="1846"/>
      <c r="F634" s="1846"/>
      <c r="G634" s="3"/>
    </row>
    <row r="635" spans="1:9" customFormat="1">
      <c r="A635" s="350"/>
      <c r="B635" s="350"/>
      <c r="C635" s="350"/>
      <c r="D635" s="1846"/>
      <c r="E635" s="1846"/>
      <c r="F635" s="1846"/>
      <c r="G635" s="3"/>
    </row>
    <row r="636" spans="1:9" customFormat="1">
      <c r="A636" s="350"/>
      <c r="B636" s="350"/>
      <c r="C636" s="350"/>
      <c r="D636" s="1846"/>
      <c r="E636" s="1846"/>
      <c r="F636" s="1846"/>
      <c r="G636" s="3"/>
    </row>
    <row r="637" spans="1:9" customFormat="1">
      <c r="A637" s="350"/>
      <c r="B637" s="350"/>
      <c r="C637" s="350"/>
      <c r="D637" s="381"/>
      <c r="E637" s="1263"/>
      <c r="F637" s="381"/>
      <c r="G637" s="3"/>
    </row>
    <row r="638" spans="1:9">
      <c r="A638" s="1865" t="s">
        <v>1054</v>
      </c>
      <c r="B638" s="1865"/>
      <c r="C638" s="1865"/>
      <c r="D638" s="1865"/>
      <c r="E638" s="1865"/>
      <c r="F638" s="1865"/>
      <c r="G638" s="1865"/>
      <c r="H638" s="1018"/>
      <c r="I638" s="1142"/>
    </row>
    <row r="639" spans="1:9">
      <c r="A639" s="442"/>
      <c r="B639" s="442"/>
      <c r="I639" s="486"/>
    </row>
    <row r="640" spans="1:9">
      <c r="A640" s="478"/>
      <c r="B640" s="478"/>
      <c r="C640" s="478"/>
      <c r="D640" s="1876" t="s">
        <v>1107</v>
      </c>
      <c r="E640" s="1876"/>
      <c r="F640" s="1876"/>
      <c r="I640" s="486"/>
    </row>
    <row r="641" spans="1:9">
      <c r="A641" s="478"/>
      <c r="B641" s="478"/>
      <c r="C641" s="478"/>
      <c r="D641" s="1876"/>
      <c r="E641" s="1876"/>
      <c r="F641" s="1876"/>
      <c r="I641" s="486"/>
    </row>
    <row r="642" spans="1:9">
      <c r="C642" s="479"/>
      <c r="D642" s="1855" t="s">
        <v>1108</v>
      </c>
      <c r="E642" s="1855"/>
      <c r="F642" s="1855"/>
      <c r="I642" s="486"/>
    </row>
    <row r="643" spans="1:9">
      <c r="C643" s="479"/>
      <c r="D643" s="440"/>
      <c r="E643" s="440"/>
      <c r="F643" s="440"/>
      <c r="I643" s="486"/>
    </row>
    <row r="644" spans="1:9">
      <c r="B644" s="481" t="s">
        <v>2850</v>
      </c>
      <c r="C644" s="479"/>
      <c r="D644" s="1847" t="s">
        <v>2591</v>
      </c>
      <c r="E644" s="1847"/>
      <c r="F644" s="1847"/>
      <c r="I644" s="486"/>
    </row>
    <row r="645" spans="1:9">
      <c r="C645" s="479"/>
      <c r="D645" s="440"/>
      <c r="E645" s="440"/>
      <c r="F645" s="440"/>
      <c r="I645" s="486"/>
    </row>
    <row r="646" spans="1:9" ht="12.75" customHeight="1">
      <c r="A646" s="486"/>
      <c r="B646" s="481" t="s">
        <v>2850</v>
      </c>
      <c r="D646" s="1854" t="s">
        <v>1109</v>
      </c>
      <c r="E646" s="1854"/>
      <c r="F646" s="1854"/>
      <c r="I646" s="486"/>
    </row>
    <row r="647" spans="1:9">
      <c r="D647" s="1854"/>
      <c r="E647" s="1854"/>
      <c r="F647" s="1854"/>
      <c r="I647" s="486"/>
    </row>
    <row r="648" spans="1:9">
      <c r="I648" s="486"/>
    </row>
    <row r="649" spans="1:9">
      <c r="B649" s="481" t="s">
        <v>2850</v>
      </c>
      <c r="D649" s="1854" t="s">
        <v>1110</v>
      </c>
      <c r="E649" s="1854"/>
      <c r="F649" s="1854"/>
      <c r="I649" s="486"/>
    </row>
    <row r="650" spans="1:9">
      <c r="C650" s="496"/>
      <c r="D650" s="1854"/>
      <c r="E650" s="1854"/>
      <c r="F650" s="1854"/>
      <c r="I650" s="486"/>
    </row>
    <row r="651" spans="1:9">
      <c r="C651" s="496"/>
      <c r="I651" s="486"/>
    </row>
    <row r="652" spans="1:9">
      <c r="B652" s="481" t="s">
        <v>2687</v>
      </c>
      <c r="C652" s="496"/>
      <c r="D652" s="1854" t="s">
        <v>1111</v>
      </c>
      <c r="E652" s="1854"/>
      <c r="F652" s="1854"/>
      <c r="I652" s="486"/>
    </row>
    <row r="653" spans="1:9">
      <c r="C653" s="496"/>
      <c r="D653" s="1854"/>
      <c r="E653" s="1854"/>
      <c r="F653" s="1854"/>
      <c r="I653" s="496"/>
    </row>
    <row r="654" spans="1:9">
      <c r="C654" s="496"/>
      <c r="I654" s="486"/>
    </row>
    <row r="655" spans="1:9">
      <c r="B655" s="481" t="s">
        <v>2687</v>
      </c>
      <c r="C655" s="496"/>
      <c r="D655" s="1847" t="s">
        <v>2537</v>
      </c>
      <c r="E655" s="1847"/>
      <c r="F655" s="1847"/>
      <c r="I655" s="486"/>
    </row>
    <row r="656" spans="1:9">
      <c r="C656" s="496"/>
      <c r="I656" s="486"/>
    </row>
    <row r="657" spans="1:9" customFormat="1" ht="14.25">
      <c r="A657" s="175"/>
      <c r="B657" s="1261" t="s">
        <v>306</v>
      </c>
      <c r="C657" s="350"/>
      <c r="D657" s="1847" t="s">
        <v>2642</v>
      </c>
      <c r="E657" s="1847"/>
      <c r="F657" s="1847"/>
      <c r="G657" s="3"/>
    </row>
    <row r="658" spans="1:9" customFormat="1">
      <c r="A658" s="172"/>
      <c r="B658" s="172"/>
      <c r="C658" s="172"/>
      <c r="D658" s="3"/>
      <c r="E658" s="3"/>
      <c r="F658" s="3"/>
      <c r="G658" s="3"/>
    </row>
    <row r="659" spans="1:9">
      <c r="A659" s="1865" t="s">
        <v>1055</v>
      </c>
      <c r="B659" s="1865"/>
      <c r="C659" s="1865"/>
      <c r="D659" s="1865"/>
      <c r="E659" s="1865"/>
      <c r="F659" s="1865"/>
      <c r="G659" s="1865"/>
      <c r="H659" s="1018"/>
      <c r="I659" s="1142"/>
    </row>
    <row r="660" spans="1:9">
      <c r="A660" s="478"/>
      <c r="B660" s="478"/>
      <c r="C660" s="478"/>
      <c r="I660" s="486"/>
    </row>
    <row r="661" spans="1:9">
      <c r="C661" s="486"/>
      <c r="D661" s="1867" t="s">
        <v>1112</v>
      </c>
      <c r="E661" s="1867"/>
      <c r="F661" s="1867"/>
      <c r="I661" s="486"/>
    </row>
    <row r="662" spans="1:9">
      <c r="A662" s="486"/>
      <c r="B662" s="486"/>
      <c r="D662" s="400"/>
      <c r="I662" s="486"/>
    </row>
    <row r="663" spans="1:9" ht="14.25" customHeight="1">
      <c r="A663" s="480"/>
      <c r="B663" s="481" t="s">
        <v>2850</v>
      </c>
      <c r="D663" s="1846" t="s">
        <v>2016</v>
      </c>
      <c r="E663" s="1846"/>
      <c r="F663" s="1846"/>
      <c r="I663" s="486"/>
    </row>
    <row r="664" spans="1:9">
      <c r="D664" s="1846"/>
      <c r="E664" s="1846"/>
      <c r="F664" s="1846"/>
      <c r="I664" s="486"/>
    </row>
    <row r="665" spans="1:9">
      <c r="D665" s="381"/>
      <c r="E665" s="1026" t="s">
        <v>1876</v>
      </c>
      <c r="F665" s="381"/>
      <c r="I665" s="486"/>
    </row>
    <row r="666" spans="1:9">
      <c r="D666" s="1864" t="s">
        <v>1875</v>
      </c>
      <c r="E666" s="1864"/>
      <c r="F666" s="1864"/>
      <c r="I666" s="486"/>
    </row>
    <row r="667" spans="1:9">
      <c r="D667" s="1864"/>
      <c r="E667" s="1864"/>
      <c r="F667" s="1864"/>
      <c r="I667" s="486"/>
    </row>
    <row r="668" spans="1:9">
      <c r="D668" s="1864"/>
      <c r="E668" s="1864"/>
      <c r="F668" s="1864"/>
      <c r="I668" s="486"/>
    </row>
    <row r="669" spans="1:9">
      <c r="D669" s="441"/>
      <c r="E669" s="441"/>
      <c r="F669" s="441"/>
      <c r="I669" s="486"/>
    </row>
    <row r="670" spans="1:9" ht="14.25">
      <c r="A670" s="480"/>
      <c r="B670" s="481" t="s">
        <v>2687</v>
      </c>
      <c r="D670" s="1864" t="s">
        <v>1113</v>
      </c>
      <c r="E670" s="1864"/>
      <c r="F670" s="1864"/>
      <c r="I670" s="486"/>
    </row>
    <row r="671" spans="1:9">
      <c r="A671" s="483"/>
      <c r="B671" s="483"/>
      <c r="C671" s="483"/>
      <c r="D671" s="1864"/>
      <c r="E671" s="1864"/>
      <c r="F671" s="1864"/>
      <c r="I671" s="486"/>
    </row>
    <row r="672" spans="1:9">
      <c r="A672" s="483"/>
      <c r="B672" s="483"/>
      <c r="C672" s="483"/>
      <c r="D672" s="442"/>
      <c r="E672" s="442"/>
      <c r="F672" s="442"/>
      <c r="I672" s="486"/>
    </row>
    <row r="673" spans="1:9" ht="14.25">
      <c r="A673" s="480"/>
      <c r="B673" s="481" t="s">
        <v>2687</v>
      </c>
      <c r="C673" s="483"/>
      <c r="D673" s="1864" t="s">
        <v>1222</v>
      </c>
      <c r="E673" s="1864"/>
      <c r="F673" s="1864"/>
      <c r="I673" s="486"/>
    </row>
    <row r="674" spans="1:9" ht="14.25">
      <c r="A674" s="480"/>
      <c r="B674" s="480"/>
      <c r="C674" s="483"/>
      <c r="D674" s="1864"/>
      <c r="E674" s="1864"/>
      <c r="F674" s="1864"/>
      <c r="I674" s="486"/>
    </row>
    <row r="675" spans="1:9" ht="14.25">
      <c r="A675" s="480"/>
      <c r="B675" s="480"/>
      <c r="C675" s="483"/>
      <c r="D675" s="1864"/>
      <c r="E675" s="1864"/>
      <c r="F675" s="1864"/>
      <c r="I675" s="486"/>
    </row>
    <row r="676" spans="1:9">
      <c r="A676" s="483"/>
      <c r="B676" s="481" t="s">
        <v>2687</v>
      </c>
      <c r="C676" s="483"/>
      <c r="D676" s="1866" t="s">
        <v>1114</v>
      </c>
      <c r="E676" s="1866"/>
      <c r="F676" s="1866"/>
      <c r="I676" s="486"/>
    </row>
    <row r="677" spans="1:9">
      <c r="A677" s="483"/>
      <c r="B677" s="483"/>
      <c r="C677" s="483"/>
      <c r="D677" s="442"/>
      <c r="E677" s="442"/>
      <c r="F677" s="442"/>
      <c r="I677" s="486"/>
    </row>
    <row r="678" spans="1:9">
      <c r="A678" s="1865" t="s">
        <v>1056</v>
      </c>
      <c r="B678" s="1865"/>
      <c r="C678" s="1865"/>
      <c r="D678" s="1865"/>
      <c r="E678" s="1865"/>
      <c r="F678" s="1865"/>
      <c r="G678" s="1865"/>
      <c r="H678" s="1018"/>
      <c r="I678" s="1142"/>
    </row>
    <row r="679" spans="1:9">
      <c r="A679" s="442"/>
      <c r="B679" s="442"/>
      <c r="C679" s="483"/>
      <c r="D679" s="442"/>
      <c r="E679" s="442"/>
      <c r="F679" s="442"/>
      <c r="I679" s="486"/>
    </row>
    <row r="680" spans="1:9">
      <c r="C680" s="478"/>
      <c r="D680" s="1867" t="s">
        <v>1143</v>
      </c>
      <c r="E680" s="1867"/>
      <c r="F680" s="1867"/>
      <c r="I680" s="486"/>
    </row>
    <row r="681" spans="1:9">
      <c r="A681" s="479"/>
      <c r="B681" s="479"/>
      <c r="C681" s="479"/>
      <c r="D681" s="1866" t="s">
        <v>1144</v>
      </c>
      <c r="E681" s="1866"/>
      <c r="F681" s="1866"/>
      <c r="I681" s="486"/>
    </row>
    <row r="682" spans="1:9">
      <c r="A682" s="479"/>
      <c r="B682" s="479"/>
      <c r="C682" s="479"/>
      <c r="D682" s="442"/>
      <c r="E682" s="442"/>
      <c r="F682" s="442"/>
      <c r="I682" s="486"/>
    </row>
    <row r="683" spans="1:9" ht="12.75" customHeight="1">
      <c r="B683" s="481" t="s">
        <v>2850</v>
      </c>
      <c r="C683" s="483"/>
      <c r="D683" s="1864" t="s">
        <v>1278</v>
      </c>
      <c r="E683" s="1864"/>
      <c r="F683" s="1864"/>
      <c r="I683" s="486"/>
    </row>
    <row r="684" spans="1:9">
      <c r="D684" s="1864"/>
      <c r="E684" s="1864"/>
      <c r="F684" s="1864"/>
      <c r="I684" s="486"/>
    </row>
    <row r="685" spans="1:9">
      <c r="D685" s="1864"/>
      <c r="E685" s="1864"/>
      <c r="F685" s="1864"/>
      <c r="I685" s="486"/>
    </row>
    <row r="686" spans="1:9">
      <c r="D686" s="1864"/>
      <c r="E686" s="1864"/>
      <c r="F686" s="1864"/>
      <c r="I686" s="486"/>
    </row>
    <row r="687" spans="1:9" ht="14.45" customHeight="1">
      <c r="A687" s="480"/>
      <c r="B687" s="480"/>
      <c r="C687" s="483"/>
      <c r="D687" s="381"/>
      <c r="E687" s="381"/>
      <c r="F687" s="381"/>
      <c r="I687" s="486"/>
    </row>
    <row r="688" spans="1:9" ht="12.75" customHeight="1">
      <c r="A688" s="479"/>
      <c r="B688" s="481" t="s">
        <v>2850</v>
      </c>
      <c r="C688" s="483"/>
      <c r="D688" s="1864" t="s">
        <v>1280</v>
      </c>
      <c r="E688" s="1864"/>
      <c r="F688" s="1864"/>
      <c r="I688" s="486"/>
    </row>
    <row r="689" spans="1:9" ht="14.25">
      <c r="A689" s="479"/>
      <c r="B689" s="480"/>
      <c r="C689" s="483"/>
      <c r="D689" s="1864"/>
      <c r="E689" s="1864"/>
      <c r="F689" s="1864"/>
      <c r="I689" s="486"/>
    </row>
    <row r="690" spans="1:9" ht="14.25">
      <c r="A690" s="479"/>
      <c r="B690" s="480"/>
      <c r="C690" s="483"/>
      <c r="D690" s="1864"/>
      <c r="E690" s="1864"/>
      <c r="F690" s="1864"/>
      <c r="I690" s="486"/>
    </row>
    <row r="691" spans="1:9" ht="14.25">
      <c r="A691" s="479"/>
      <c r="B691" s="480"/>
      <c r="C691" s="483"/>
      <c r="D691" s="1864"/>
      <c r="E691" s="1864"/>
      <c r="F691" s="1864"/>
      <c r="I691" s="486"/>
    </row>
    <row r="692" spans="1:9" ht="14.25">
      <c r="A692" s="479"/>
      <c r="B692" s="480"/>
      <c r="C692" s="483"/>
      <c r="D692" s="1864"/>
      <c r="E692" s="1864"/>
      <c r="F692" s="1864"/>
      <c r="I692" s="486"/>
    </row>
    <row r="693" spans="1:9" ht="14.25" customHeight="1">
      <c r="A693" s="479"/>
      <c r="B693" s="480"/>
      <c r="C693" s="483"/>
      <c r="F693" s="382"/>
      <c r="I693" s="486"/>
    </row>
    <row r="694" spans="1:9" ht="12.75" customHeight="1">
      <c r="A694" s="479"/>
      <c r="B694" s="481" t="s">
        <v>2850</v>
      </c>
      <c r="C694" s="483"/>
      <c r="D694" s="1864" t="s">
        <v>1279</v>
      </c>
      <c r="E694" s="1864"/>
      <c r="F694" s="1864"/>
      <c r="I694" s="486"/>
    </row>
    <row r="695" spans="1:9" ht="14.25">
      <c r="A695" s="479"/>
      <c r="B695" s="480"/>
      <c r="C695" s="483"/>
      <c r="D695" s="1864"/>
      <c r="E695" s="1864"/>
      <c r="F695" s="1864"/>
      <c r="I695" s="486"/>
    </row>
    <row r="696" spans="1:9" ht="14.25">
      <c r="A696" s="480"/>
      <c r="B696" s="480"/>
      <c r="C696" s="483"/>
      <c r="D696" s="1864"/>
      <c r="E696" s="1864"/>
      <c r="F696" s="1864"/>
      <c r="I696" s="486"/>
    </row>
    <row r="697" spans="1:9" ht="14.25">
      <c r="A697" s="480"/>
      <c r="B697" s="480"/>
      <c r="C697" s="483"/>
      <c r="D697" s="1864"/>
      <c r="E697" s="1864"/>
      <c r="F697" s="1864"/>
      <c r="I697" s="486"/>
    </row>
    <row r="698" spans="1:9" ht="14.25">
      <c r="A698" s="480"/>
      <c r="B698" s="480"/>
      <c r="C698" s="483"/>
      <c r="D698" s="441"/>
      <c r="E698" s="441"/>
      <c r="F698" s="441"/>
      <c r="I698" s="486"/>
    </row>
    <row r="699" spans="1:9" ht="12.75" customHeight="1">
      <c r="A699" s="479"/>
      <c r="B699" s="481" t="s">
        <v>2687</v>
      </c>
      <c r="C699" s="483"/>
      <c r="D699" s="1864" t="s">
        <v>2017</v>
      </c>
      <c r="E699" s="1864"/>
      <c r="F699" s="1864"/>
      <c r="I699" s="486"/>
    </row>
    <row r="700" spans="1:9" ht="12.75" customHeight="1">
      <c r="A700" s="479"/>
      <c r="B700" s="480"/>
      <c r="C700" s="483"/>
      <c r="D700" s="1864"/>
      <c r="E700" s="1864"/>
      <c r="F700" s="1864"/>
      <c r="I700" s="486"/>
    </row>
    <row r="701" spans="1:9" ht="12.75" customHeight="1">
      <c r="A701" s="479"/>
      <c r="B701" s="480"/>
      <c r="C701" s="483"/>
      <c r="D701" s="1864"/>
      <c r="E701" s="1864"/>
      <c r="F701" s="1864"/>
      <c r="I701" s="486"/>
    </row>
    <row r="702" spans="1:9" ht="12.75" customHeight="1">
      <c r="A702" s="479"/>
      <c r="B702" s="480"/>
      <c r="C702" s="483"/>
      <c r="D702" s="1864"/>
      <c r="E702" s="1864"/>
      <c r="F702" s="1864"/>
      <c r="I702" s="486"/>
    </row>
    <row r="703" spans="1:9" ht="12.75" customHeight="1">
      <c r="A703" s="479"/>
      <c r="B703" s="480"/>
      <c r="C703" s="483"/>
      <c r="D703" s="1864"/>
      <c r="E703" s="1864"/>
      <c r="F703" s="1864"/>
      <c r="I703" s="486"/>
    </row>
    <row r="704" spans="1:9" ht="12.75" customHeight="1">
      <c r="A704" s="479"/>
      <c r="B704" s="480"/>
      <c r="C704" s="483"/>
      <c r="D704" s="1864"/>
      <c r="E704" s="1864"/>
      <c r="F704" s="1864"/>
      <c r="I704" s="486"/>
    </row>
    <row r="705" spans="1:11" ht="12.75" customHeight="1">
      <c r="A705" s="479"/>
      <c r="B705" s="480"/>
      <c r="C705" s="483"/>
      <c r="D705" s="1864"/>
      <c r="E705" s="1864"/>
      <c r="F705" s="1864"/>
      <c r="I705" s="486"/>
    </row>
    <row r="706" spans="1:11" ht="12.75" customHeight="1">
      <c r="A706" s="479"/>
      <c r="B706" s="480"/>
      <c r="C706" s="483"/>
      <c r="D706" s="1864"/>
      <c r="E706" s="1864"/>
      <c r="F706" s="1864"/>
      <c r="I706" s="486"/>
    </row>
    <row r="707" spans="1:11" ht="12.75" customHeight="1">
      <c r="A707" s="479"/>
      <c r="B707" s="480"/>
      <c r="C707" s="483"/>
      <c r="D707" s="1864"/>
      <c r="E707" s="1864"/>
      <c r="F707" s="1864"/>
      <c r="I707" s="486"/>
    </row>
    <row r="708" spans="1:11">
      <c r="A708" s="483"/>
      <c r="B708" s="483"/>
      <c r="C708" s="483"/>
      <c r="D708" s="442"/>
      <c r="E708" s="442"/>
      <c r="F708" s="442"/>
      <c r="I708" s="486"/>
    </row>
    <row r="709" spans="1:11">
      <c r="A709" s="1865" t="s">
        <v>1057</v>
      </c>
      <c r="B709" s="1865"/>
      <c r="C709" s="1865"/>
      <c r="D709" s="1865"/>
      <c r="E709" s="1865"/>
      <c r="F709" s="1865"/>
      <c r="G709" s="1865"/>
      <c r="H709" s="1020"/>
      <c r="I709" s="1146"/>
      <c r="J709" s="497"/>
      <c r="K709" s="497"/>
    </row>
    <row r="710" spans="1:11">
      <c r="A710" s="444"/>
      <c r="B710" s="444"/>
      <c r="C710" s="444"/>
      <c r="D710" s="444"/>
      <c r="E710" s="444"/>
      <c r="F710" s="444"/>
      <c r="G710" s="444"/>
      <c r="H710" s="497"/>
      <c r="I710" s="479"/>
      <c r="J710" s="497"/>
      <c r="K710" s="497"/>
    </row>
    <row r="711" spans="1:11">
      <c r="C711" s="478"/>
      <c r="D711" s="1867" t="s">
        <v>99</v>
      </c>
      <c r="E711" s="1867"/>
      <c r="F711" s="1867"/>
      <c r="H711" s="497"/>
      <c r="I711" s="479"/>
      <c r="J711" s="497"/>
      <c r="K711" s="497"/>
    </row>
    <row r="712" spans="1:11">
      <c r="A712" s="478"/>
      <c r="B712" s="478"/>
      <c r="C712" s="478"/>
      <c r="D712" s="1867" t="s">
        <v>123</v>
      </c>
      <c r="E712" s="1867"/>
      <c r="F712" s="1867"/>
      <c r="H712" s="497"/>
      <c r="I712" s="479"/>
      <c r="J712" s="497"/>
      <c r="K712" s="497"/>
    </row>
    <row r="713" spans="1:11">
      <c r="A713" s="479"/>
      <c r="B713" s="479"/>
      <c r="C713" s="479"/>
      <c r="D713" s="1866" t="s">
        <v>1074</v>
      </c>
      <c r="E713" s="1866"/>
      <c r="F713" s="1866"/>
      <c r="H713" s="497"/>
      <c r="I713" s="479"/>
      <c r="J713" s="497"/>
      <c r="K713" s="497"/>
    </row>
    <row r="714" spans="1:11">
      <c r="A714" s="479"/>
      <c r="B714" s="479"/>
      <c r="C714" s="479"/>
      <c r="H714" s="497"/>
      <c r="I714" s="479"/>
      <c r="J714" s="497"/>
      <c r="K714" s="497"/>
    </row>
    <row r="715" spans="1:11" ht="14.25">
      <c r="A715" s="480"/>
      <c r="B715" s="481" t="s">
        <v>2850</v>
      </c>
      <c r="C715" s="479"/>
      <c r="D715" s="1866" t="s">
        <v>883</v>
      </c>
      <c r="E715" s="1866"/>
      <c r="F715" s="1866"/>
      <c r="H715" s="497"/>
      <c r="I715" s="479"/>
      <c r="J715" s="497"/>
      <c r="K715" s="497"/>
    </row>
    <row r="716" spans="1:11">
      <c r="A716" s="479"/>
      <c r="B716" s="479"/>
      <c r="C716" s="479"/>
      <c r="D716" s="1866" t="s">
        <v>892</v>
      </c>
      <c r="E716" s="1866"/>
      <c r="F716" s="1866"/>
      <c r="H716" s="497"/>
      <c r="I716" s="479"/>
      <c r="J716" s="497"/>
      <c r="K716" s="497"/>
    </row>
    <row r="717" spans="1:11" ht="12.75" customHeight="1">
      <c r="A717" s="479"/>
      <c r="B717" s="479"/>
      <c r="C717" s="479"/>
      <c r="E717" s="1026" t="s">
        <v>1878</v>
      </c>
      <c r="F717" s="416"/>
      <c r="H717" s="497"/>
      <c r="I717" s="479"/>
      <c r="J717" s="497"/>
      <c r="K717" s="497"/>
    </row>
    <row r="718" spans="1:11">
      <c r="A718" s="479"/>
      <c r="B718" s="479"/>
      <c r="C718" s="479"/>
      <c r="E718" s="497" t="s">
        <v>1877</v>
      </c>
      <c r="F718" s="416"/>
      <c r="I718" s="479"/>
      <c r="J718" s="497"/>
      <c r="K718" s="497"/>
    </row>
    <row r="719" spans="1:11">
      <c r="A719" s="479"/>
      <c r="B719" s="479"/>
      <c r="C719" s="479"/>
      <c r="D719" s="498"/>
      <c r="E719" s="442"/>
      <c r="H719" s="497"/>
      <c r="I719" s="479"/>
      <c r="J719" s="497"/>
      <c r="K719" s="497"/>
    </row>
    <row r="720" spans="1:11" ht="14.25">
      <c r="A720" s="480"/>
      <c r="B720" s="481" t="s">
        <v>2687</v>
      </c>
      <c r="C720" s="479"/>
      <c r="D720" s="1864" t="s">
        <v>2018</v>
      </c>
      <c r="E720" s="1864"/>
      <c r="F720" s="1864"/>
      <c r="H720" s="497"/>
      <c r="I720" s="479"/>
      <c r="J720" s="497"/>
      <c r="K720" s="497"/>
    </row>
    <row r="721" spans="1:11">
      <c r="A721" s="486"/>
      <c r="B721" s="486"/>
      <c r="C721" s="479"/>
      <c r="D721" s="1864"/>
      <c r="E721" s="1864"/>
      <c r="F721" s="1864"/>
      <c r="H721" s="497"/>
      <c r="I721" s="479"/>
      <c r="J721" s="497"/>
      <c r="K721" s="497"/>
    </row>
    <row r="722" spans="1:11">
      <c r="A722" s="479"/>
      <c r="B722" s="479"/>
      <c r="C722" s="479"/>
      <c r="D722" s="1864"/>
      <c r="E722" s="1864"/>
      <c r="F722" s="1864"/>
      <c r="H722" s="497"/>
      <c r="I722" s="479"/>
      <c r="J722" s="497"/>
      <c r="K722" s="497"/>
    </row>
    <row r="723" spans="1:11">
      <c r="A723" s="479"/>
      <c r="B723" s="479"/>
      <c r="C723" s="479"/>
      <c r="H723" s="497"/>
      <c r="J723" s="497"/>
      <c r="K723" s="497"/>
    </row>
    <row r="724" spans="1:11" ht="14.25">
      <c r="A724" s="480"/>
      <c r="B724" s="481" t="s">
        <v>2850</v>
      </c>
      <c r="C724" s="479"/>
      <c r="D724" s="1866" t="s">
        <v>915</v>
      </c>
      <c r="E724" s="1866"/>
      <c r="F724" s="1866"/>
      <c r="H724" s="497"/>
      <c r="I724" s="479"/>
      <c r="J724" s="497"/>
      <c r="K724" s="497"/>
    </row>
    <row r="725" spans="1:11" ht="14.25">
      <c r="A725" s="480"/>
      <c r="B725" s="480"/>
      <c r="C725" s="479"/>
      <c r="D725" s="1866" t="s">
        <v>892</v>
      </c>
      <c r="E725" s="1866"/>
      <c r="F725" s="1866"/>
      <c r="H725" s="497"/>
      <c r="I725" s="479"/>
      <c r="J725" s="497"/>
      <c r="K725" s="497"/>
    </row>
    <row r="726" spans="1:11">
      <c r="A726" s="479"/>
      <c r="B726" s="479"/>
      <c r="C726" s="479"/>
      <c r="E726" s="1026" t="s">
        <v>1879</v>
      </c>
      <c r="F726" s="400"/>
      <c r="H726" s="497"/>
      <c r="I726" s="479"/>
      <c r="J726" s="497"/>
      <c r="K726" s="497"/>
    </row>
    <row r="727" spans="1:11">
      <c r="A727" s="479"/>
      <c r="B727" s="479"/>
      <c r="C727" s="479"/>
      <c r="D727" s="400"/>
      <c r="H727" s="497"/>
      <c r="I727" s="479"/>
      <c r="J727" s="497"/>
      <c r="K727" s="497"/>
    </row>
    <row r="728" spans="1:11" ht="14.25">
      <c r="A728" s="480"/>
      <c r="B728" s="481" t="s">
        <v>2687</v>
      </c>
      <c r="C728" s="479"/>
      <c r="D728" s="1866" t="s">
        <v>2391</v>
      </c>
      <c r="E728" s="1866"/>
      <c r="F728" s="1866"/>
      <c r="H728" s="497"/>
      <c r="I728" s="479"/>
      <c r="J728" s="497"/>
      <c r="K728" s="497"/>
    </row>
    <row r="729" spans="1:11" ht="14.25">
      <c r="A729" s="480"/>
      <c r="B729" s="480"/>
      <c r="C729" s="479"/>
      <c r="D729" s="1866" t="s">
        <v>892</v>
      </c>
      <c r="E729" s="1866"/>
      <c r="F729" s="1866"/>
      <c r="H729" s="497"/>
      <c r="I729" s="479"/>
      <c r="J729" s="497"/>
      <c r="K729" s="497"/>
    </row>
    <row r="730" spans="1:11">
      <c r="A730" s="479"/>
      <c r="B730" s="479"/>
      <c r="C730" s="479"/>
      <c r="E730" s="1026" t="s">
        <v>2392</v>
      </c>
      <c r="F730" s="400"/>
      <c r="H730" s="497"/>
      <c r="I730" s="479"/>
      <c r="J730" s="497"/>
      <c r="K730" s="497"/>
    </row>
    <row r="731" spans="1:11">
      <c r="A731" s="479"/>
      <c r="B731" s="479"/>
      <c r="C731" s="479"/>
      <c r="D731" s="400"/>
      <c r="H731" s="497"/>
      <c r="I731" s="479"/>
      <c r="J731" s="497"/>
      <c r="K731" s="497"/>
    </row>
    <row r="732" spans="1:11" ht="14.25">
      <c r="A732" s="480"/>
      <c r="B732" s="481" t="s">
        <v>2850</v>
      </c>
      <c r="C732" s="479"/>
      <c r="D732" s="1864" t="s">
        <v>2189</v>
      </c>
      <c r="E732" s="1864"/>
      <c r="F732" s="1864"/>
      <c r="H732" s="497"/>
      <c r="I732" s="479"/>
      <c r="J732" s="497"/>
      <c r="K732" s="497"/>
    </row>
    <row r="733" spans="1:11">
      <c r="A733" s="479"/>
      <c r="B733" s="479"/>
      <c r="C733" s="479"/>
      <c r="D733" s="1864"/>
      <c r="E733" s="1864"/>
      <c r="F733" s="1864"/>
      <c r="H733" s="497"/>
      <c r="I733" s="479"/>
      <c r="J733" s="497"/>
      <c r="K733" s="497"/>
    </row>
    <row r="734" spans="1:11">
      <c r="A734" s="479"/>
      <c r="B734" s="479"/>
      <c r="C734" s="479"/>
      <c r="D734" s="1864"/>
      <c r="E734" s="1864"/>
      <c r="F734" s="1864"/>
      <c r="H734" s="497"/>
      <c r="I734" s="479"/>
      <c r="J734" s="497"/>
      <c r="K734" s="497"/>
    </row>
    <row r="735" spans="1:11">
      <c r="A735" s="479"/>
      <c r="B735" s="479"/>
      <c r="C735" s="479"/>
      <c r="D735" s="1864"/>
      <c r="E735" s="1864"/>
      <c r="F735" s="1864"/>
      <c r="H735" s="497"/>
      <c r="I735" s="479"/>
      <c r="J735" s="497"/>
      <c r="K735" s="497"/>
    </row>
    <row r="736" spans="1:11">
      <c r="A736" s="479"/>
      <c r="B736" s="479"/>
      <c r="C736" s="479"/>
      <c r="D736" s="1864"/>
      <c r="E736" s="1864"/>
      <c r="F736" s="1864"/>
      <c r="H736" s="497"/>
      <c r="I736" s="479"/>
      <c r="J736" s="497"/>
      <c r="K736" s="497"/>
    </row>
    <row r="737" spans="1:11">
      <c r="A737" s="479"/>
      <c r="B737" s="479"/>
      <c r="C737" s="479"/>
      <c r="D737" s="1864"/>
      <c r="E737" s="1864"/>
      <c r="F737" s="1864"/>
      <c r="H737" s="497"/>
      <c r="I737" s="479"/>
      <c r="J737" s="497"/>
      <c r="K737" s="497"/>
    </row>
    <row r="738" spans="1:11">
      <c r="A738" s="479"/>
      <c r="B738" s="479"/>
      <c r="C738" s="479"/>
      <c r="D738" s="441"/>
      <c r="E738" s="441"/>
      <c r="F738" s="441"/>
      <c r="H738" s="497"/>
      <c r="I738" s="479"/>
      <c r="J738" s="497"/>
      <c r="K738" s="497"/>
    </row>
    <row r="739" spans="1:11">
      <c r="A739" s="479"/>
      <c r="B739" s="481" t="s">
        <v>2850</v>
      </c>
      <c r="C739" s="479"/>
      <c r="D739" s="1864" t="s">
        <v>1198</v>
      </c>
      <c r="E739" s="1864"/>
      <c r="F739" s="1864"/>
      <c r="H739" s="497"/>
      <c r="I739" s="479"/>
      <c r="J739" s="497"/>
      <c r="K739" s="497"/>
    </row>
    <row r="740" spans="1:11">
      <c r="A740" s="479"/>
      <c r="B740" s="479"/>
      <c r="C740" s="479"/>
      <c r="D740" s="1864"/>
      <c r="E740" s="1864"/>
      <c r="F740" s="1864"/>
      <c r="H740" s="497"/>
      <c r="I740" s="479"/>
      <c r="J740" s="497"/>
      <c r="K740" s="497"/>
    </row>
    <row r="741" spans="1:11">
      <c r="A741" s="479"/>
      <c r="B741" s="479"/>
      <c r="C741" s="479"/>
      <c r="D741" s="441"/>
      <c r="E741" s="441"/>
      <c r="F741" s="441"/>
      <c r="H741" s="497"/>
      <c r="I741" s="479"/>
      <c r="J741" s="497"/>
      <c r="K741" s="497"/>
    </row>
    <row r="742" spans="1:11" ht="14.25">
      <c r="A742" s="480"/>
      <c r="B742" s="481" t="s">
        <v>2850</v>
      </c>
      <c r="C742" s="479"/>
      <c r="D742" s="1864" t="s">
        <v>1075</v>
      </c>
      <c r="E742" s="1864"/>
      <c r="F742" s="1864"/>
      <c r="H742" s="497"/>
      <c r="I742" s="479"/>
      <c r="J742" s="497"/>
      <c r="K742" s="497"/>
    </row>
    <row r="743" spans="1:11">
      <c r="A743" s="479"/>
      <c r="B743" s="479"/>
      <c r="C743" s="479"/>
      <c r="D743" s="1864"/>
      <c r="E743" s="1864"/>
      <c r="F743" s="1864"/>
      <c r="H743" s="497"/>
      <c r="I743" s="479"/>
      <c r="J743" s="497"/>
      <c r="K743" s="497"/>
    </row>
    <row r="744" spans="1:11">
      <c r="A744" s="479"/>
      <c r="B744" s="479"/>
      <c r="C744" s="479"/>
      <c r="D744" s="1864"/>
      <c r="E744" s="1864"/>
      <c r="F744" s="1864"/>
      <c r="H744" s="497"/>
      <c r="I744" s="479"/>
      <c r="J744" s="497"/>
      <c r="K744" s="497"/>
    </row>
    <row r="745" spans="1:11" ht="15" customHeight="1">
      <c r="A745" s="479"/>
      <c r="B745" s="479"/>
      <c r="C745" s="479"/>
      <c r="D745" s="1864"/>
      <c r="E745" s="1864"/>
      <c r="F745" s="1864"/>
      <c r="H745" s="497"/>
      <c r="I745" s="479"/>
      <c r="J745" s="497"/>
      <c r="K745" s="497"/>
    </row>
    <row r="746" spans="1:11" ht="15" customHeight="1">
      <c r="A746" s="479"/>
      <c r="B746" s="479"/>
      <c r="C746" s="479"/>
      <c r="D746" s="1864"/>
      <c r="E746" s="1864"/>
      <c r="F746" s="1864"/>
      <c r="H746" s="497"/>
      <c r="I746" s="479"/>
      <c r="J746" s="497"/>
      <c r="K746" s="497"/>
    </row>
    <row r="747" spans="1:11">
      <c r="A747" s="479"/>
      <c r="B747" s="479"/>
      <c r="C747" s="479"/>
      <c r="D747" s="1864"/>
      <c r="E747" s="1864"/>
      <c r="F747" s="1864"/>
      <c r="H747" s="497"/>
      <c r="I747" s="479"/>
      <c r="J747" s="497"/>
      <c r="K747" s="497"/>
    </row>
    <row r="748" spans="1:11">
      <c r="A748" s="479"/>
      <c r="B748" s="479"/>
      <c r="C748" s="479"/>
      <c r="D748" s="1864"/>
      <c r="E748" s="1864"/>
      <c r="F748" s="1864"/>
      <c r="H748" s="497"/>
      <c r="I748" s="479"/>
      <c r="J748" s="497"/>
      <c r="K748" s="497"/>
    </row>
    <row r="749" spans="1:11">
      <c r="A749" s="479"/>
      <c r="B749" s="479"/>
      <c r="C749" s="479"/>
      <c r="D749" s="1864"/>
      <c r="E749" s="1864"/>
      <c r="F749" s="1864"/>
      <c r="H749" s="497"/>
      <c r="I749" s="479"/>
      <c r="J749" s="497"/>
      <c r="K749" s="497"/>
    </row>
    <row r="750" spans="1:11" ht="15" customHeight="1">
      <c r="A750" s="479"/>
      <c r="B750" s="479"/>
      <c r="C750" s="479"/>
      <c r="D750" s="1864"/>
      <c r="E750" s="1864"/>
      <c r="F750" s="1864"/>
      <c r="H750" s="497"/>
      <c r="I750" s="479"/>
      <c r="J750" s="497"/>
      <c r="K750" s="497"/>
    </row>
    <row r="751" spans="1:11">
      <c r="A751" s="479"/>
      <c r="B751" s="479"/>
      <c r="C751" s="479"/>
      <c r="D751" s="1864"/>
      <c r="E751" s="1864"/>
      <c r="F751" s="1864"/>
      <c r="H751" s="497"/>
      <c r="I751" s="479"/>
      <c r="J751" s="497"/>
      <c r="K751" s="497"/>
    </row>
    <row r="752" spans="1:11">
      <c r="A752" s="479"/>
      <c r="B752" s="479"/>
      <c r="C752" s="479"/>
      <c r="D752" s="1864"/>
      <c r="E752" s="1864"/>
      <c r="F752" s="1864"/>
      <c r="H752" s="497"/>
      <c r="I752" s="479"/>
      <c r="J752" s="497"/>
      <c r="K752" s="497"/>
    </row>
    <row r="753" spans="1:11">
      <c r="A753" s="479"/>
      <c r="B753" s="479"/>
      <c r="C753" s="479"/>
      <c r="D753" s="1864"/>
      <c r="E753" s="1864"/>
      <c r="F753" s="1864"/>
      <c r="H753" s="497"/>
      <c r="I753" s="479"/>
      <c r="J753" s="497"/>
      <c r="K753" s="497"/>
    </row>
    <row r="754" spans="1:11">
      <c r="A754" s="479"/>
      <c r="B754" s="479"/>
      <c r="C754" s="479"/>
      <c r="D754" s="1864"/>
      <c r="E754" s="1864"/>
      <c r="F754" s="1864"/>
      <c r="H754" s="497"/>
      <c r="I754" s="479"/>
      <c r="J754" s="497"/>
      <c r="K754" s="497"/>
    </row>
    <row r="755" spans="1:11">
      <c r="A755" s="479"/>
      <c r="B755" s="481" t="s">
        <v>2687</v>
      </c>
      <c r="C755" s="479"/>
      <c r="D755" s="1864" t="s">
        <v>2384</v>
      </c>
      <c r="E755" s="1864"/>
      <c r="F755" s="1864"/>
      <c r="H755" s="497"/>
      <c r="I755" s="479"/>
      <c r="J755" s="497"/>
      <c r="K755" s="497"/>
    </row>
    <row r="756" spans="1:11">
      <c r="A756" s="479"/>
      <c r="B756" s="479"/>
      <c r="C756" s="479"/>
      <c r="D756" s="1864"/>
      <c r="E756" s="1864"/>
      <c r="F756" s="1864"/>
      <c r="H756" s="497"/>
      <c r="I756" s="479"/>
      <c r="J756" s="497"/>
      <c r="K756" s="497"/>
    </row>
    <row r="757" spans="1:11">
      <c r="A757" s="479"/>
      <c r="B757" s="479"/>
      <c r="C757" s="479"/>
      <c r="D757" s="1864"/>
      <c r="E757" s="1864"/>
      <c r="F757" s="1864"/>
      <c r="H757" s="497"/>
      <c r="I757" s="479"/>
      <c r="J757" s="497"/>
      <c r="K757" s="497"/>
    </row>
    <row r="758" spans="1:11">
      <c r="A758" s="479"/>
      <c r="B758" s="479"/>
      <c r="C758" s="479"/>
      <c r="D758" s="441"/>
      <c r="E758" s="441"/>
      <c r="F758" s="441"/>
      <c r="H758" s="497"/>
      <c r="I758" s="479"/>
      <c r="J758" s="497"/>
      <c r="K758" s="497"/>
    </row>
    <row r="759" spans="1:11">
      <c r="A759" s="479"/>
      <c r="B759" s="481" t="s">
        <v>2687</v>
      </c>
      <c r="C759" s="479"/>
      <c r="D759" s="1864" t="s">
        <v>2383</v>
      </c>
      <c r="E759" s="1864"/>
      <c r="F759" s="1864"/>
      <c r="H759" s="497"/>
      <c r="I759" s="479"/>
      <c r="J759" s="497"/>
      <c r="K759" s="497"/>
    </row>
    <row r="760" spans="1:11">
      <c r="A760" s="479"/>
      <c r="B760" s="479"/>
      <c r="C760" s="479"/>
      <c r="D760" s="1864"/>
      <c r="E760" s="1864"/>
      <c r="F760" s="1864"/>
      <c r="H760" s="497"/>
      <c r="I760" s="479"/>
      <c r="J760" s="497"/>
      <c r="K760" s="497"/>
    </row>
    <row r="761" spans="1:11">
      <c r="A761" s="479"/>
      <c r="B761" s="479"/>
      <c r="C761" s="479"/>
      <c r="D761" s="1864"/>
      <c r="E761" s="1864"/>
      <c r="F761" s="1864"/>
      <c r="H761" s="497"/>
      <c r="I761" s="479"/>
      <c r="J761" s="497"/>
      <c r="K761" s="497"/>
    </row>
    <row r="762" spans="1:11">
      <c r="A762" s="479"/>
      <c r="B762" s="479"/>
      <c r="C762" s="479"/>
      <c r="H762" s="497"/>
      <c r="I762" s="479"/>
      <c r="J762" s="497"/>
      <c r="K762" s="497"/>
    </row>
    <row r="763" spans="1:11">
      <c r="A763" s="479"/>
      <c r="B763" s="481" t="s">
        <v>2687</v>
      </c>
      <c r="C763" s="479"/>
      <c r="D763" s="1864" t="s">
        <v>2382</v>
      </c>
      <c r="E763" s="1864"/>
      <c r="F763" s="1864"/>
      <c r="H763" s="497"/>
      <c r="I763" s="479"/>
      <c r="J763" s="497"/>
      <c r="K763" s="497"/>
    </row>
    <row r="764" spans="1:11">
      <c r="A764" s="479"/>
      <c r="B764" s="479"/>
      <c r="C764" s="479"/>
      <c r="D764" s="1864"/>
      <c r="E764" s="1864"/>
      <c r="F764" s="1864"/>
      <c r="H764" s="497"/>
      <c r="I764" s="479"/>
      <c r="J764" s="497"/>
      <c r="K764" s="497"/>
    </row>
    <row r="765" spans="1:11">
      <c r="A765" s="479"/>
      <c r="B765" s="479"/>
      <c r="C765" s="479"/>
      <c r="D765" s="1864"/>
      <c r="E765" s="1864"/>
      <c r="F765" s="1864"/>
      <c r="H765" s="497"/>
      <c r="I765" s="479"/>
      <c r="J765" s="497"/>
      <c r="K765" s="497"/>
    </row>
    <row r="766" spans="1:11">
      <c r="A766" s="479"/>
      <c r="B766" s="479"/>
      <c r="C766" s="479"/>
      <c r="D766" s="1864"/>
      <c r="E766" s="1864"/>
      <c r="F766" s="1864"/>
      <c r="H766" s="497"/>
      <c r="I766" s="479"/>
      <c r="J766" s="497"/>
      <c r="K766" s="497"/>
    </row>
    <row r="767" spans="1:11">
      <c r="A767" s="479"/>
      <c r="B767" s="479"/>
      <c r="C767" s="479"/>
      <c r="H767" s="497"/>
      <c r="I767" s="479"/>
      <c r="J767" s="497"/>
      <c r="K767" s="497"/>
    </row>
    <row r="768" spans="1:11" ht="14.25">
      <c r="A768" s="480"/>
      <c r="B768" s="481" t="s">
        <v>2687</v>
      </c>
      <c r="C768" s="479"/>
      <c r="D768" s="1864" t="s">
        <v>1076</v>
      </c>
      <c r="E768" s="1864"/>
      <c r="F768" s="1864"/>
      <c r="H768" s="497"/>
      <c r="I768" s="479"/>
      <c r="J768" s="497"/>
      <c r="K768" s="497"/>
    </row>
    <row r="769" spans="1:11">
      <c r="A769" s="479"/>
      <c r="B769" s="479"/>
      <c r="C769" s="479"/>
      <c r="D769" s="1864"/>
      <c r="E769" s="1864"/>
      <c r="F769" s="1864"/>
      <c r="H769" s="497"/>
      <c r="I769" s="479"/>
      <c r="J769" s="497"/>
      <c r="K769" s="497"/>
    </row>
    <row r="770" spans="1:11">
      <c r="A770" s="479"/>
      <c r="B770" s="479"/>
      <c r="C770" s="479"/>
      <c r="D770" s="1864"/>
      <c r="E770" s="1864"/>
      <c r="F770" s="1864"/>
      <c r="H770" s="497"/>
      <c r="I770" s="479"/>
      <c r="J770" s="497"/>
      <c r="K770" s="497"/>
    </row>
    <row r="771" spans="1:11">
      <c r="A771" s="479"/>
      <c r="B771" s="479"/>
      <c r="C771" s="479"/>
      <c r="D771" s="1864"/>
      <c r="E771" s="1864"/>
      <c r="F771" s="1864"/>
      <c r="H771" s="497"/>
      <c r="I771" s="479"/>
      <c r="J771" s="497"/>
      <c r="K771" s="497"/>
    </row>
    <row r="772" spans="1:11">
      <c r="A772" s="479"/>
      <c r="B772" s="479"/>
      <c r="C772" s="479"/>
      <c r="D772" s="1864"/>
      <c r="E772" s="1864"/>
      <c r="F772" s="1864"/>
      <c r="H772" s="497"/>
      <c r="I772" s="479"/>
      <c r="J772" s="497"/>
      <c r="K772" s="497"/>
    </row>
    <row r="773" spans="1:11">
      <c r="A773" s="479"/>
      <c r="B773" s="479"/>
      <c r="C773" s="479"/>
      <c r="D773" s="488"/>
      <c r="H773" s="497"/>
      <c r="I773" s="479"/>
      <c r="J773" s="497"/>
      <c r="K773" s="497"/>
    </row>
    <row r="774" spans="1:11" ht="14.25">
      <c r="A774" s="480"/>
      <c r="B774" s="481" t="s">
        <v>2687</v>
      </c>
      <c r="C774" s="479"/>
      <c r="D774" s="1864" t="s">
        <v>2092</v>
      </c>
      <c r="E774" s="1864"/>
      <c r="F774" s="1864"/>
      <c r="H774" s="497"/>
      <c r="I774" s="479"/>
      <c r="J774" s="497"/>
      <c r="K774" s="497"/>
    </row>
    <row r="775" spans="1:11">
      <c r="A775" s="479"/>
      <c r="B775" s="479"/>
      <c r="C775" s="479"/>
      <c r="D775" s="1864"/>
      <c r="E775" s="1864"/>
      <c r="F775" s="1864"/>
      <c r="H775" s="497"/>
      <c r="I775" s="479"/>
      <c r="J775" s="497"/>
      <c r="K775" s="497"/>
    </row>
    <row r="776" spans="1:11">
      <c r="A776" s="479"/>
      <c r="B776" s="479"/>
      <c r="C776" s="479"/>
      <c r="D776" s="1864"/>
      <c r="E776" s="1864"/>
      <c r="F776" s="1864"/>
      <c r="H776" s="497"/>
      <c r="I776" s="479"/>
      <c r="J776" s="497"/>
      <c r="K776" s="497"/>
    </row>
    <row r="777" spans="1:11">
      <c r="A777" s="479"/>
      <c r="B777" s="479"/>
      <c r="C777" s="479"/>
      <c r="D777" s="1864"/>
      <c r="E777" s="1864"/>
      <c r="F777" s="1864"/>
      <c r="H777" s="497"/>
      <c r="I777" s="479"/>
      <c r="J777" s="497"/>
      <c r="K777" s="497"/>
    </row>
    <row r="778" spans="1:11">
      <c r="A778" s="479"/>
      <c r="B778" s="479"/>
      <c r="C778" s="479"/>
      <c r="D778" s="1864"/>
      <c r="E778" s="1864"/>
      <c r="F778" s="1864"/>
      <c r="H778" s="497"/>
      <c r="I778" s="479"/>
      <c r="J778" s="497"/>
      <c r="K778" s="497"/>
    </row>
    <row r="779" spans="1:11">
      <c r="A779" s="479"/>
      <c r="B779" s="479"/>
      <c r="C779" s="479"/>
      <c r="D779" s="1864"/>
      <c r="E779" s="1864"/>
      <c r="F779" s="1864"/>
      <c r="H779" s="497"/>
      <c r="I779" s="479"/>
      <c r="J779" s="497"/>
      <c r="K779" s="497"/>
    </row>
    <row r="780" spans="1:11">
      <c r="A780" s="479"/>
      <c r="B780" s="479"/>
      <c r="C780" s="479"/>
      <c r="D780" s="1864"/>
      <c r="E780" s="1864"/>
      <c r="F780" s="1864"/>
      <c r="H780" s="497"/>
      <c r="I780" s="479"/>
      <c r="J780" s="497"/>
      <c r="K780" s="497"/>
    </row>
    <row r="781" spans="1:11">
      <c r="A781" s="479"/>
      <c r="B781" s="479"/>
      <c r="C781" s="479"/>
      <c r="D781" s="1869" t="s">
        <v>2601</v>
      </c>
      <c r="E781" s="1869"/>
      <c r="F781" s="1869"/>
      <c r="H781" s="497"/>
      <c r="I781" s="479"/>
      <c r="J781" s="497"/>
      <c r="K781" s="497"/>
    </row>
    <row r="782" spans="1:11">
      <c r="A782" s="479"/>
      <c r="B782" s="479"/>
      <c r="C782" s="479"/>
      <c r="D782" s="338"/>
      <c r="H782" s="497"/>
      <c r="I782" s="479"/>
      <c r="J782" s="497"/>
      <c r="K782" s="497"/>
    </row>
    <row r="783" spans="1:11">
      <c r="A783" s="1868" t="s">
        <v>1058</v>
      </c>
      <c r="B783" s="1868"/>
      <c r="C783" s="1868"/>
      <c r="D783" s="1868"/>
      <c r="E783" s="1868"/>
      <c r="F783" s="1868"/>
      <c r="G783" s="1868"/>
      <c r="H783" s="1020"/>
      <c r="I783" s="1146"/>
      <c r="J783" s="497"/>
      <c r="K783" s="497"/>
    </row>
    <row r="784" spans="1:11">
      <c r="A784" s="479"/>
      <c r="B784" s="479"/>
      <c r="C784" s="479"/>
      <c r="D784" s="488"/>
      <c r="G784" s="497"/>
      <c r="H784" s="497"/>
      <c r="I784" s="479"/>
      <c r="J784" s="497"/>
      <c r="K784" s="497"/>
    </row>
    <row r="785" spans="1:11" ht="13.7" customHeight="1">
      <c r="C785" s="479"/>
      <c r="D785" s="1883" t="s">
        <v>1068</v>
      </c>
      <c r="E785" s="1883"/>
      <c r="F785" s="1883"/>
      <c r="G785" s="497"/>
      <c r="H785" s="497"/>
      <c r="I785" s="479"/>
      <c r="J785" s="497"/>
      <c r="K785" s="497"/>
    </row>
    <row r="786" spans="1:11">
      <c r="A786" s="479"/>
      <c r="B786" s="479"/>
      <c r="C786" s="479"/>
      <c r="D786" s="1870" t="s">
        <v>1069</v>
      </c>
      <c r="E786" s="1870"/>
      <c r="F786" s="1870"/>
      <c r="G786" s="497"/>
      <c r="H786" s="497"/>
      <c r="I786" s="479"/>
      <c r="J786" s="497"/>
      <c r="K786" s="497"/>
    </row>
    <row r="787" spans="1:11">
      <c r="A787" s="479"/>
      <c r="B787" s="479"/>
      <c r="C787" s="479"/>
      <c r="G787" s="497"/>
      <c r="H787" s="497"/>
      <c r="I787" s="479"/>
      <c r="J787" s="497"/>
      <c r="K787" s="497"/>
    </row>
    <row r="788" spans="1:11" ht="14.25">
      <c r="A788" s="480"/>
      <c r="B788" s="481" t="s">
        <v>2850</v>
      </c>
      <c r="D788" s="1864" t="s">
        <v>1070</v>
      </c>
      <c r="E788" s="1864"/>
      <c r="F788" s="1864"/>
      <c r="G788" s="497"/>
      <c r="H788" s="497"/>
      <c r="I788" s="479"/>
      <c r="J788" s="497"/>
      <c r="K788" s="497"/>
    </row>
    <row r="789" spans="1:11" ht="10.5" customHeight="1">
      <c r="D789" s="1864"/>
      <c r="E789" s="1864"/>
      <c r="F789" s="1864"/>
      <c r="G789" s="497"/>
      <c r="H789" s="497"/>
      <c r="I789" s="479"/>
      <c r="J789" s="497"/>
      <c r="K789" s="497"/>
    </row>
    <row r="790" spans="1:11">
      <c r="D790" s="1864"/>
      <c r="E790" s="1864"/>
      <c r="F790" s="1864"/>
      <c r="G790" s="497"/>
      <c r="H790" s="497"/>
      <c r="I790" s="479"/>
      <c r="J790" s="497"/>
      <c r="K790" s="497"/>
    </row>
    <row r="791" spans="1:11">
      <c r="D791" s="1864"/>
      <c r="E791" s="1864"/>
      <c r="F791" s="1864"/>
      <c r="G791" s="497"/>
      <c r="H791" s="497"/>
      <c r="I791" s="479"/>
      <c r="J791" s="497"/>
      <c r="K791" s="497"/>
    </row>
    <row r="792" spans="1:11">
      <c r="D792" s="1864"/>
      <c r="E792" s="1864"/>
      <c r="F792" s="1864"/>
      <c r="G792" s="497"/>
      <c r="H792" s="497"/>
      <c r="I792" s="479"/>
      <c r="J792" s="497"/>
      <c r="K792" s="497"/>
    </row>
    <row r="793" spans="1:11" ht="15.6" customHeight="1">
      <c r="D793" s="1864"/>
      <c r="E793" s="1864"/>
      <c r="F793" s="1864"/>
      <c r="G793" s="497"/>
      <c r="H793" s="497"/>
      <c r="I793" s="479"/>
      <c r="J793" s="497"/>
      <c r="K793" s="497"/>
    </row>
    <row r="794" spans="1:11">
      <c r="D794" s="495"/>
      <c r="E794" s="442"/>
      <c r="F794" s="442"/>
      <c r="G794" s="497"/>
      <c r="H794" s="497"/>
      <c r="I794" s="479"/>
      <c r="J794" s="497"/>
      <c r="K794" s="497"/>
    </row>
    <row r="795" spans="1:11" s="501" customFormat="1" ht="14.25">
      <c r="A795" s="499"/>
      <c r="B795" s="481" t="s">
        <v>2850</v>
      </c>
      <c r="C795" s="500"/>
      <c r="D795" s="1864" t="s">
        <v>1238</v>
      </c>
      <c r="E795" s="1864"/>
      <c r="F795" s="1864"/>
      <c r="I795" s="1147"/>
    </row>
    <row r="796" spans="1:11" s="501" customFormat="1">
      <c r="A796" s="500"/>
      <c r="B796" s="500"/>
      <c r="C796" s="500"/>
      <c r="D796" s="1864"/>
      <c r="E796" s="1864"/>
      <c r="F796" s="1864"/>
      <c r="I796" s="1147"/>
    </row>
    <row r="797" spans="1:11" s="501" customFormat="1">
      <c r="A797" s="500"/>
      <c r="B797" s="500"/>
      <c r="C797" s="500"/>
      <c r="D797" s="1864"/>
      <c r="E797" s="1864"/>
      <c r="F797" s="1864"/>
      <c r="I797" s="1147"/>
    </row>
    <row r="798" spans="1:11" s="501" customFormat="1">
      <c r="A798" s="500"/>
      <c r="B798" s="500"/>
      <c r="C798" s="500"/>
      <c r="D798" s="1864"/>
      <c r="E798" s="1864"/>
      <c r="F798" s="1864"/>
      <c r="I798" s="1147"/>
    </row>
    <row r="799" spans="1:11" s="501" customFormat="1">
      <c r="A799" s="500"/>
      <c r="B799" s="500"/>
      <c r="C799" s="500"/>
      <c r="D799" s="495"/>
      <c r="I799" s="1147"/>
    </row>
    <row r="800" spans="1:11" s="501" customFormat="1" ht="14.25">
      <c r="A800" s="480"/>
      <c r="B800" s="481" t="s">
        <v>2687</v>
      </c>
      <c r="C800" s="500"/>
      <c r="D800" s="1854" t="s">
        <v>1239</v>
      </c>
      <c r="E800" s="1854"/>
      <c r="F800" s="1854"/>
      <c r="I800" s="1147"/>
    </row>
    <row r="801" spans="1:11" s="501" customFormat="1">
      <c r="A801" s="500"/>
      <c r="B801" s="500"/>
      <c r="C801" s="500"/>
      <c r="D801" s="1854"/>
      <c r="E801" s="1854"/>
      <c r="F801" s="1854"/>
      <c r="I801" s="1147"/>
    </row>
    <row r="802" spans="1:11" s="501" customFormat="1">
      <c r="A802" s="500"/>
      <c r="B802" s="500"/>
      <c r="C802" s="500"/>
      <c r="D802" s="1854"/>
      <c r="E802" s="1854"/>
      <c r="F802" s="1854"/>
      <c r="I802" s="1147"/>
    </row>
    <row r="803" spans="1:11">
      <c r="D803" s="495"/>
      <c r="E803" s="442"/>
      <c r="F803" s="442"/>
      <c r="G803" s="497"/>
      <c r="H803" s="497"/>
      <c r="I803" s="479"/>
      <c r="J803" s="497"/>
      <c r="K803" s="497"/>
    </row>
    <row r="804" spans="1:11" ht="14.25">
      <c r="A804" s="480"/>
      <c r="B804" s="481" t="s">
        <v>2687</v>
      </c>
      <c r="D804" s="1864" t="s">
        <v>1195</v>
      </c>
      <c r="E804" s="1864"/>
      <c r="F804" s="1864"/>
      <c r="G804" s="497"/>
      <c r="H804" s="497"/>
      <c r="I804" s="479"/>
      <c r="J804" s="497"/>
      <c r="K804" s="497"/>
    </row>
    <row r="805" spans="1:11">
      <c r="D805" s="1864"/>
      <c r="E805" s="1864"/>
      <c r="F805" s="1864"/>
      <c r="G805" s="497"/>
      <c r="H805" s="497"/>
      <c r="I805" s="479"/>
      <c r="J805" s="497"/>
      <c r="K805" s="497"/>
    </row>
    <row r="806" spans="1:11">
      <c r="D806" s="441"/>
      <c r="E806" s="441"/>
      <c r="F806" s="441"/>
      <c r="G806" s="497"/>
      <c r="H806" s="497"/>
      <c r="I806" s="479"/>
      <c r="J806" s="497"/>
      <c r="K806" s="497"/>
    </row>
    <row r="807" spans="1:11">
      <c r="B807" s="481" t="s">
        <v>2687</v>
      </c>
      <c r="D807" s="1864" t="s">
        <v>1212</v>
      </c>
      <c r="E807" s="1864"/>
      <c r="F807" s="1864"/>
      <c r="G807" s="497"/>
      <c r="H807" s="497"/>
      <c r="I807" s="479"/>
      <c r="J807" s="497"/>
      <c r="K807" s="497"/>
    </row>
    <row r="808" spans="1:11">
      <c r="D808" s="1864"/>
      <c r="E808" s="1864"/>
      <c r="F808" s="1864"/>
      <c r="G808" s="497"/>
      <c r="H808" s="497"/>
      <c r="I808" s="479"/>
      <c r="J808" s="497"/>
      <c r="K808" s="497"/>
    </row>
    <row r="809" spans="1:11">
      <c r="D809" s="1864"/>
      <c r="E809" s="1864"/>
      <c r="F809" s="1864"/>
      <c r="G809" s="497"/>
      <c r="H809" s="497"/>
      <c r="I809" s="479"/>
      <c r="J809" s="497"/>
      <c r="K809" s="497"/>
    </row>
    <row r="810" spans="1:11">
      <c r="D810" s="441"/>
      <c r="E810" s="441"/>
      <c r="F810" s="441"/>
      <c r="G810" s="497"/>
      <c r="H810" s="497"/>
      <c r="I810" s="479"/>
      <c r="J810" s="497"/>
      <c r="K810" s="497"/>
    </row>
    <row r="811" spans="1:11" hidden="1">
      <c r="A811" s="1882" t="s">
        <v>1786</v>
      </c>
      <c r="B811" s="1882"/>
      <c r="C811" s="1882"/>
      <c r="D811" s="1882"/>
      <c r="E811" s="1882"/>
      <c r="F811" s="1882"/>
      <c r="G811" s="1882"/>
      <c r="H811" s="1018"/>
      <c r="I811" s="1142"/>
    </row>
    <row r="812" spans="1:11" hidden="1">
      <c r="A812" s="57"/>
      <c r="B812" s="57"/>
      <c r="C812" s="350"/>
      <c r="D812" s="3"/>
      <c r="E812" s="3"/>
      <c r="F812" s="3"/>
      <c r="G812" s="3"/>
      <c r="I812" s="486"/>
    </row>
    <row r="813" spans="1:11" hidden="1">
      <c r="A813" s="57"/>
      <c r="B813" s="57"/>
      <c r="C813" s="350"/>
      <c r="D813" s="1881" t="s">
        <v>1822</v>
      </c>
      <c r="E813" s="1881"/>
      <c r="F813" s="1881"/>
      <c r="G813" s="3"/>
      <c r="I813" s="486"/>
    </row>
    <row r="814" spans="1:11" hidden="1">
      <c r="A814" s="57"/>
      <c r="B814" s="57"/>
      <c r="C814" s="350"/>
      <c r="D814" s="1874" t="s">
        <v>1740</v>
      </c>
      <c r="E814" s="1874"/>
      <c r="F814" s="1874"/>
      <c r="G814" s="3"/>
      <c r="I814" s="486"/>
    </row>
    <row r="815" spans="1:11" hidden="1">
      <c r="A815" s="57"/>
      <c r="B815" s="57"/>
      <c r="C815" s="350"/>
      <c r="D815" s="443"/>
      <c r="E815" s="443"/>
      <c r="F815" s="443"/>
      <c r="G815" s="3"/>
      <c r="I815" s="486"/>
    </row>
    <row r="816" spans="1:11" hidden="1">
      <c r="A816" s="57"/>
      <c r="B816" s="481" t="s">
        <v>306</v>
      </c>
      <c r="C816" s="350"/>
      <c r="D816" s="1860" t="s">
        <v>1741</v>
      </c>
      <c r="E816" s="1860"/>
      <c r="F816" s="1860"/>
      <c r="G816" s="3"/>
      <c r="I816" s="479"/>
    </row>
    <row r="817" spans="1:9" hidden="1">
      <c r="A817" s="57"/>
      <c r="B817" s="57"/>
      <c r="C817" s="350"/>
      <c r="D817" s="1860"/>
      <c r="E817" s="1860"/>
      <c r="F817" s="1860"/>
      <c r="G817" s="3"/>
      <c r="I817" s="486"/>
    </row>
    <row r="818" spans="1:9" hidden="1">
      <c r="A818" s="174"/>
      <c r="B818" s="174"/>
      <c r="C818" s="174"/>
      <c r="D818" s="1860"/>
      <c r="E818" s="1860"/>
      <c r="F818" s="1860"/>
      <c r="G818" s="118"/>
      <c r="I818" s="486"/>
    </row>
    <row r="819" spans="1:9" hidden="1">
      <c r="A819" s="350"/>
      <c r="B819" s="350"/>
      <c r="C819" s="350"/>
      <c r="D819" s="173"/>
      <c r="E819" s="3"/>
      <c r="F819" s="3"/>
      <c r="G819" s="3"/>
      <c r="I819" s="486"/>
    </row>
    <row r="820" spans="1:9" hidden="1">
      <c r="A820" s="172"/>
      <c r="B820" s="481" t="s">
        <v>306</v>
      </c>
      <c r="C820" s="172"/>
      <c r="D820" s="1860" t="s">
        <v>1742</v>
      </c>
      <c r="E820" s="1860"/>
      <c r="F820" s="1860"/>
      <c r="G820" s="3"/>
      <c r="I820" s="479"/>
    </row>
    <row r="821" spans="1:9" hidden="1">
      <c r="A821" s="172"/>
      <c r="B821" s="172"/>
      <c r="C821" s="172"/>
      <c r="D821" s="1860"/>
      <c r="E821" s="1860"/>
      <c r="F821" s="1860"/>
      <c r="G821" s="3"/>
      <c r="I821" s="486"/>
    </row>
    <row r="822" spans="1:9" hidden="1">
      <c r="A822" s="172"/>
      <c r="B822" s="172"/>
      <c r="C822" s="172"/>
      <c r="D822" s="1860"/>
      <c r="E822" s="1860"/>
      <c r="F822" s="1860"/>
      <c r="G822" s="3"/>
      <c r="I822" s="486"/>
    </row>
    <row r="823" spans="1:9" hidden="1">
      <c r="A823" s="174"/>
      <c r="B823" s="174"/>
      <c r="C823" s="174"/>
      <c r="D823" s="3"/>
      <c r="E823" s="978"/>
      <c r="F823" s="978"/>
      <c r="G823" s="978"/>
      <c r="I823" s="486"/>
    </row>
    <row r="824" spans="1:9" ht="14.25" hidden="1">
      <c r="A824" s="175"/>
      <c r="B824" s="481" t="s">
        <v>306</v>
      </c>
      <c r="C824" s="979"/>
      <c r="D824" s="1860" t="s">
        <v>1743</v>
      </c>
      <c r="E824" s="1860"/>
      <c r="F824" s="1860"/>
      <c r="G824" s="978"/>
      <c r="I824" s="479"/>
    </row>
    <row r="825" spans="1:9" ht="14.25" hidden="1">
      <c r="A825" s="175"/>
      <c r="B825" s="175"/>
      <c r="C825" s="979"/>
      <c r="D825" s="1860"/>
      <c r="E825" s="1860"/>
      <c r="F825" s="1860"/>
      <c r="G825" s="978"/>
      <c r="I825" s="486"/>
    </row>
    <row r="826" spans="1:9" ht="14.25" hidden="1">
      <c r="A826" s="175"/>
      <c r="B826" s="175"/>
      <c r="C826" s="979"/>
      <c r="D826" s="1860"/>
      <c r="E826" s="1860"/>
      <c r="F826" s="1860"/>
      <c r="G826" s="978"/>
      <c r="I826" s="486"/>
    </row>
    <row r="827" spans="1:9" ht="14.25" hidden="1">
      <c r="A827" s="175"/>
      <c r="B827" s="175"/>
      <c r="C827" s="979"/>
      <c r="D827" s="118"/>
      <c r="E827" s="3"/>
      <c r="F827" s="3"/>
      <c r="G827" s="978"/>
      <c r="I827" s="486"/>
    </row>
    <row r="828" spans="1:9" ht="14.25" hidden="1">
      <c r="A828" s="175"/>
      <c r="B828" s="481" t="s">
        <v>306</v>
      </c>
      <c r="C828" s="979"/>
      <c r="D828" s="1860" t="s">
        <v>1744</v>
      </c>
      <c r="E828" s="1860"/>
      <c r="F828" s="1860"/>
      <c r="G828" s="978"/>
      <c r="I828" s="479"/>
    </row>
    <row r="829" spans="1:9" ht="14.25" hidden="1">
      <c r="A829" s="175"/>
      <c r="B829" s="175"/>
      <c r="C829" s="979"/>
      <c r="D829" s="1860"/>
      <c r="E829" s="1860"/>
      <c r="F829" s="1860"/>
      <c r="G829" s="978"/>
      <c r="I829" s="486"/>
    </row>
    <row r="830" spans="1:9" ht="14.25" hidden="1">
      <c r="A830" s="175"/>
      <c r="B830" s="175"/>
      <c r="C830" s="979"/>
      <c r="D830" s="1860"/>
      <c r="E830" s="1860"/>
      <c r="F830" s="1860"/>
      <c r="G830" s="978"/>
      <c r="I830" s="486"/>
    </row>
    <row r="831" spans="1:9" ht="14.25" hidden="1">
      <c r="A831" s="175"/>
      <c r="B831" s="175"/>
      <c r="C831" s="979"/>
      <c r="D831" s="1860"/>
      <c r="E831" s="1860"/>
      <c r="F831" s="1860"/>
      <c r="G831" s="978"/>
      <c r="I831" s="486"/>
    </row>
    <row r="832" spans="1:9" ht="14.25" hidden="1">
      <c r="A832" s="175"/>
      <c r="B832" s="175"/>
      <c r="C832" s="979"/>
      <c r="D832" s="1860"/>
      <c r="E832" s="1860"/>
      <c r="F832" s="1860"/>
      <c r="G832" s="978"/>
      <c r="I832" s="486"/>
    </row>
    <row r="833" spans="1:9" ht="14.25" hidden="1">
      <c r="A833" s="175"/>
      <c r="B833" s="175"/>
      <c r="C833" s="979"/>
      <c r="D833" s="1860"/>
      <c r="E833" s="1860"/>
      <c r="F833" s="1860"/>
      <c r="G833" s="978"/>
      <c r="I833" s="486"/>
    </row>
    <row r="834" spans="1:9" ht="14.25" hidden="1">
      <c r="A834" s="175"/>
      <c r="B834" s="175"/>
      <c r="C834" s="979"/>
      <c r="D834" s="1860" t="s">
        <v>1787</v>
      </c>
      <c r="E834" s="1860"/>
      <c r="F834" s="1860"/>
      <c r="G834" s="978"/>
      <c r="I834" s="486"/>
    </row>
    <row r="835" spans="1:9" ht="14.25" hidden="1">
      <c r="A835" s="175"/>
      <c r="B835" s="175"/>
      <c r="C835" s="979"/>
      <c r="D835" s="1860"/>
      <c r="E835" s="1860"/>
      <c r="F835" s="1860"/>
      <c r="G835" s="978"/>
      <c r="I835" s="486"/>
    </row>
    <row r="836" spans="1:9" ht="14.25" hidden="1">
      <c r="A836" s="175"/>
      <c r="B836" s="175"/>
      <c r="C836" s="979"/>
      <c r="D836" s="1860"/>
      <c r="E836" s="1860"/>
      <c r="F836" s="1860"/>
      <c r="G836" s="978"/>
      <c r="I836" s="486"/>
    </row>
    <row r="837" spans="1:9" ht="14.25" hidden="1">
      <c r="A837" s="175"/>
      <c r="B837" s="350"/>
      <c r="C837" s="979"/>
      <c r="D837" s="980"/>
      <c r="E837" s="980"/>
      <c r="F837" s="980"/>
      <c r="G837" s="978"/>
      <c r="I837" s="486"/>
    </row>
    <row r="838" spans="1:9" ht="14.25" hidden="1">
      <c r="A838" s="175"/>
      <c r="B838" s="481" t="s">
        <v>306</v>
      </c>
      <c r="C838" s="979"/>
      <c r="D838" s="1860" t="s">
        <v>1745</v>
      </c>
      <c r="E838" s="1860"/>
      <c r="F838" s="1860"/>
      <c r="G838" s="978"/>
      <c r="I838" s="479"/>
    </row>
    <row r="839" spans="1:9" ht="14.25" hidden="1">
      <c r="A839" s="175"/>
      <c r="B839" s="175"/>
      <c r="C839" s="979"/>
      <c r="D839" s="1860"/>
      <c r="E839" s="1860"/>
      <c r="F839" s="1860"/>
      <c r="G839" s="978"/>
      <c r="I839" s="486"/>
    </row>
    <row r="840" spans="1:9" ht="14.25" hidden="1">
      <c r="A840" s="175"/>
      <c r="B840" s="175"/>
      <c r="C840" s="979"/>
      <c r="D840" s="1860"/>
      <c r="E840" s="1860"/>
      <c r="F840" s="1860"/>
      <c r="G840" s="978"/>
      <c r="I840" s="486"/>
    </row>
    <row r="841" spans="1:9" ht="14.25" hidden="1">
      <c r="A841" s="175"/>
      <c r="B841" s="175"/>
      <c r="C841" s="979"/>
      <c r="D841" s="1860"/>
      <c r="E841" s="1860"/>
      <c r="F841" s="1860"/>
      <c r="G841" s="978"/>
      <c r="I841" s="486"/>
    </row>
    <row r="842" spans="1:9" ht="14.25" hidden="1">
      <c r="A842" s="175"/>
      <c r="B842" s="175"/>
      <c r="C842" s="979"/>
      <c r="D842" s="1860"/>
      <c r="E842" s="1860"/>
      <c r="F842" s="1860"/>
      <c r="G842" s="978"/>
      <c r="I842" s="486"/>
    </row>
    <row r="843" spans="1:9" ht="14.25" hidden="1">
      <c r="A843" s="175"/>
      <c r="B843" s="175"/>
      <c r="C843" s="979"/>
      <c r="D843" s="1860"/>
      <c r="E843" s="1860"/>
      <c r="F843" s="1860"/>
      <c r="G843" s="978"/>
      <c r="I843" s="486"/>
    </row>
    <row r="844" spans="1:9" ht="14.25" hidden="1">
      <c r="A844" s="175"/>
      <c r="B844" s="175"/>
      <c r="C844" s="979"/>
      <c r="D844" s="972"/>
      <c r="E844" s="972"/>
      <c r="F844" s="972"/>
      <c r="G844" s="978"/>
      <c r="I844" s="486"/>
    </row>
    <row r="845" spans="1:9" ht="14.25" hidden="1">
      <c r="A845" s="175"/>
      <c r="B845" s="481" t="s">
        <v>306</v>
      </c>
      <c r="C845" s="979"/>
      <c r="D845" s="1860" t="s">
        <v>1746</v>
      </c>
      <c r="E845" s="1860"/>
      <c r="F845" s="1860"/>
      <c r="G845" s="978"/>
      <c r="I845" s="479"/>
    </row>
    <row r="846" spans="1:9" ht="14.25" hidden="1">
      <c r="A846" s="175"/>
      <c r="B846" s="175"/>
      <c r="C846" s="979"/>
      <c r="D846" s="1860"/>
      <c r="E846" s="1860"/>
      <c r="F846" s="1860"/>
      <c r="G846" s="978"/>
      <c r="I846" s="486"/>
    </row>
    <row r="847" spans="1:9" ht="14.25" hidden="1">
      <c r="A847" s="175"/>
      <c r="B847" s="175"/>
      <c r="C847" s="979"/>
      <c r="D847" s="1860"/>
      <c r="E847" s="1860"/>
      <c r="F847" s="1860"/>
      <c r="G847" s="978"/>
      <c r="I847" s="486"/>
    </row>
    <row r="848" spans="1:9" ht="14.25" hidden="1">
      <c r="A848" s="175"/>
      <c r="B848" s="175"/>
      <c r="C848" s="979"/>
      <c r="D848" s="1860"/>
      <c r="E848" s="1860"/>
      <c r="F848" s="1860"/>
      <c r="G848" s="978"/>
      <c r="I848" s="486"/>
    </row>
    <row r="849" spans="1:9" ht="14.25" hidden="1">
      <c r="A849" s="175"/>
      <c r="B849" s="175"/>
      <c r="C849" s="979"/>
      <c r="D849" s="1860"/>
      <c r="E849" s="1860"/>
      <c r="F849" s="1860"/>
      <c r="G849" s="978"/>
      <c r="I849" s="486"/>
    </row>
    <row r="850" spans="1:9" ht="14.25" hidden="1">
      <c r="A850" s="175"/>
      <c r="B850" s="175"/>
      <c r="C850" s="979"/>
      <c r="D850" s="1860"/>
      <c r="E850" s="1860"/>
      <c r="F850" s="1860"/>
      <c r="G850" s="978"/>
      <c r="I850" s="486"/>
    </row>
    <row r="851" spans="1:9" ht="14.25" hidden="1">
      <c r="A851" s="175"/>
      <c r="B851" s="175"/>
      <c r="C851" s="979"/>
      <c r="D851" s="972"/>
      <c r="E851" s="972"/>
      <c r="F851" s="972"/>
      <c r="G851" s="978"/>
      <c r="I851" s="486"/>
    </row>
    <row r="852" spans="1:9" ht="14.25" hidden="1">
      <c r="A852" s="175"/>
      <c r="B852" s="481" t="s">
        <v>306</v>
      </c>
      <c r="C852" s="979"/>
      <c r="D852" s="1849" t="s">
        <v>1747</v>
      </c>
      <c r="E852" s="1849"/>
      <c r="F852" s="1849"/>
      <c r="G852" s="978"/>
      <c r="I852" s="479"/>
    </row>
    <row r="853" spans="1:9" ht="14.25" hidden="1">
      <c r="A853" s="175"/>
      <c r="B853" s="175"/>
      <c r="C853" s="979"/>
      <c r="D853" s="1849"/>
      <c r="E853" s="1849"/>
      <c r="F853" s="1849"/>
      <c r="G853" s="978"/>
      <c r="I853" s="486"/>
    </row>
    <row r="854" spans="1:9" hidden="1">
      <c r="A854" s="13"/>
      <c r="B854" s="13"/>
      <c r="C854" s="979"/>
      <c r="D854" s="1849"/>
      <c r="E854" s="1849"/>
      <c r="F854" s="1849"/>
      <c r="G854" s="978"/>
      <c r="I854" s="486"/>
    </row>
    <row r="855" spans="1:9" ht="14.25" hidden="1">
      <c r="A855" s="175"/>
      <c r="B855" s="13"/>
      <c r="C855" s="979"/>
      <c r="D855" s="1849"/>
      <c r="E855" s="1849"/>
      <c r="F855" s="1849"/>
      <c r="G855" s="978"/>
      <c r="I855" s="486"/>
    </row>
    <row r="856" spans="1:9" ht="12.75" hidden="1" customHeight="1">
      <c r="A856" s="175"/>
      <c r="B856" s="13"/>
      <c r="C856" s="979"/>
      <c r="D856" s="1849"/>
      <c r="E856" s="1849"/>
      <c r="F856" s="1849"/>
      <c r="G856" s="978"/>
      <c r="I856" s="486"/>
    </row>
    <row r="857" spans="1:9" ht="12.75" hidden="1" customHeight="1">
      <c r="A857" s="175"/>
      <c r="B857" s="13"/>
      <c r="C857" s="979"/>
      <c r="D857" s="1849"/>
      <c r="E857" s="1849"/>
      <c r="F857" s="1849"/>
      <c r="G857" s="978"/>
      <c r="I857" s="486"/>
    </row>
    <row r="858" spans="1:9" ht="12.75" hidden="1" customHeight="1">
      <c r="A858" s="13"/>
      <c r="B858" s="13"/>
      <c r="C858" s="979"/>
      <c r="D858" s="978"/>
      <c r="E858" s="3"/>
      <c r="F858" s="3"/>
      <c r="G858" s="978"/>
      <c r="I858" s="486"/>
    </row>
    <row r="859" spans="1:9" ht="12.75" customHeight="1">
      <c r="A859" s="1851" t="s">
        <v>1748</v>
      </c>
      <c r="B859" s="1851"/>
      <c r="C859" s="1851"/>
      <c r="D859" s="1851"/>
      <c r="E859" s="1851"/>
      <c r="F859" s="1851"/>
      <c r="G859" s="1851"/>
      <c r="H859" s="1018"/>
      <c r="I859" s="1142"/>
    </row>
    <row r="860" spans="1:9" ht="12.75" customHeight="1">
      <c r="A860" s="172"/>
      <c r="B860" s="172"/>
      <c r="C860" s="979"/>
      <c r="D860" s="978"/>
      <c r="E860" s="978"/>
      <c r="F860" s="978"/>
      <c r="G860" s="978"/>
      <c r="I860" s="486"/>
    </row>
    <row r="861" spans="1:9" ht="12.75" customHeight="1">
      <c r="A861" s="175"/>
      <c r="B861" s="175"/>
      <c r="C861" s="350"/>
      <c r="D861" s="1872" t="s">
        <v>1788</v>
      </c>
      <c r="E861" s="1872"/>
      <c r="F861" s="1872"/>
      <c r="G861" s="3"/>
      <c r="I861" s="486"/>
    </row>
    <row r="862" spans="1:9" ht="14.25" customHeight="1">
      <c r="A862" s="175"/>
      <c r="B862" s="175"/>
      <c r="C862" s="350"/>
      <c r="D862" s="1435" t="s">
        <v>1749</v>
      </c>
      <c r="E862" s="1435"/>
      <c r="F862" s="1435"/>
      <c r="G862" s="3"/>
      <c r="I862" s="486"/>
    </row>
    <row r="863" spans="1:9" ht="12.75" customHeight="1">
      <c r="A863" s="175"/>
      <c r="B863" s="175"/>
      <c r="C863" s="350"/>
      <c r="D863" s="437"/>
      <c r="E863" s="437"/>
      <c r="F863" s="437"/>
      <c r="G863" s="3"/>
      <c r="I863" s="486"/>
    </row>
    <row r="864" spans="1:9" ht="12.75" customHeight="1">
      <c r="A864" s="350"/>
      <c r="B864" s="481" t="s">
        <v>2850</v>
      </c>
      <c r="C864" s="979"/>
      <c r="D864" s="1435" t="s">
        <v>1750</v>
      </c>
      <c r="E864" s="1435"/>
      <c r="F864" s="1435"/>
      <c r="G864" s="3"/>
      <c r="I864" s="486" t="s">
        <v>1846</v>
      </c>
    </row>
    <row r="865" spans="1:9" ht="14.25" customHeight="1">
      <c r="A865" s="13"/>
      <c r="B865" s="13"/>
      <c r="C865" s="979"/>
      <c r="E865" s="1026" t="s">
        <v>1861</v>
      </c>
      <c r="F865" s="1028"/>
      <c r="G865" s="3"/>
      <c r="I865" s="486"/>
    </row>
    <row r="866" spans="1:9" ht="12.75" customHeight="1">
      <c r="A866" s="13"/>
      <c r="B866" s="13"/>
      <c r="C866" s="979"/>
      <c r="D866" s="981"/>
      <c r="E866" s="3"/>
      <c r="F866" s="3"/>
      <c r="G866" s="3"/>
      <c r="I866" s="486"/>
    </row>
    <row r="867" spans="1:9" ht="14.25" hidden="1" customHeight="1">
      <c r="A867" s="13"/>
      <c r="B867" s="481" t="s">
        <v>306</v>
      </c>
      <c r="C867" s="979"/>
      <c r="D867" s="1873" t="s">
        <v>2024</v>
      </c>
      <c r="E867" s="1873"/>
      <c r="F867" s="1873"/>
      <c r="G867" s="3"/>
      <c r="I867" s="486"/>
    </row>
    <row r="868" spans="1:9" ht="12.75" hidden="1" customHeight="1">
      <c r="A868" s="13"/>
      <c r="B868" s="13"/>
      <c r="C868" s="979"/>
      <c r="D868" s="1873"/>
      <c r="E868" s="1873"/>
      <c r="F868" s="1873"/>
      <c r="G868" s="3"/>
      <c r="I868" s="486"/>
    </row>
    <row r="869" spans="1:9" ht="12.75" hidden="1" customHeight="1">
      <c r="A869" s="13"/>
      <c r="B869" s="13"/>
      <c r="C869" s="979"/>
      <c r="D869" s="1873"/>
      <c r="E869" s="1873"/>
      <c r="F869" s="1873"/>
      <c r="G869" s="3"/>
      <c r="I869" s="486"/>
    </row>
    <row r="870" spans="1:9" ht="12.75" hidden="1" customHeight="1">
      <c r="A870" s="13"/>
      <c r="B870" s="13"/>
      <c r="C870" s="979"/>
      <c r="D870" s="1873"/>
      <c r="E870" s="1873"/>
      <c r="F870" s="1873"/>
      <c r="G870" s="3"/>
      <c r="I870" s="486"/>
    </row>
    <row r="871" spans="1:9" ht="12.75" hidden="1" customHeight="1">
      <c r="A871" s="13"/>
      <c r="B871" s="13"/>
      <c r="C871" s="979"/>
      <c r="D871" s="1873"/>
      <c r="E871" s="1873"/>
      <c r="F871" s="1873"/>
      <c r="G871" s="3"/>
      <c r="I871" s="486"/>
    </row>
    <row r="872" spans="1:9" ht="12.75" hidden="1" customHeight="1">
      <c r="A872" s="13"/>
      <c r="B872" s="13"/>
      <c r="C872" s="979"/>
      <c r="D872" s="1873"/>
      <c r="E872" s="1873"/>
      <c r="F872" s="1873"/>
      <c r="G872" s="3"/>
      <c r="I872" s="486"/>
    </row>
    <row r="873" spans="1:9" ht="12.75" hidden="1" customHeight="1">
      <c r="A873" s="13"/>
      <c r="B873" s="13"/>
      <c r="C873" s="979"/>
      <c r="D873" s="1873"/>
      <c r="E873" s="1873"/>
      <c r="F873" s="1873"/>
      <c r="G873" s="3"/>
      <c r="I873" s="486"/>
    </row>
    <row r="874" spans="1:9" ht="12.75" hidden="1" customHeight="1">
      <c r="A874" s="13"/>
      <c r="B874" s="13"/>
      <c r="C874" s="979"/>
      <c r="D874" s="1873"/>
      <c r="E874" s="1873"/>
      <c r="F874" s="1873"/>
      <c r="G874" s="3"/>
      <c r="I874" s="486"/>
    </row>
    <row r="875" spans="1:9" ht="12.75" hidden="1" customHeight="1">
      <c r="A875" s="13"/>
      <c r="B875" s="13"/>
      <c r="C875" s="979"/>
      <c r="D875" s="1873"/>
      <c r="E875" s="1873"/>
      <c r="F875" s="1873"/>
      <c r="G875" s="3"/>
      <c r="I875" s="486"/>
    </row>
    <row r="876" spans="1:9" ht="12.75" hidden="1" customHeight="1">
      <c r="A876" s="13"/>
      <c r="B876" s="13"/>
      <c r="C876" s="979"/>
      <c r="D876" s="1873"/>
      <c r="E876" s="1873"/>
      <c r="F876" s="1873"/>
      <c r="G876" s="3"/>
      <c r="I876" s="486"/>
    </row>
    <row r="877" spans="1:9" ht="12.75" hidden="1" customHeight="1">
      <c r="A877" s="13"/>
      <c r="B877" s="13"/>
      <c r="C877" s="979"/>
      <c r="D877" s="981"/>
      <c r="E877" s="3"/>
      <c r="F877" s="3"/>
      <c r="G877" s="3"/>
      <c r="I877" s="486"/>
    </row>
    <row r="878" spans="1:9" ht="12.75" customHeight="1">
      <c r="A878" s="175"/>
      <c r="B878" s="481" t="s">
        <v>2850</v>
      </c>
      <c r="C878" s="979"/>
      <c r="D878" s="1435" t="s">
        <v>1751</v>
      </c>
      <c r="E878" s="1435"/>
      <c r="F878" s="1435"/>
      <c r="G878" s="3"/>
      <c r="I878" s="486" t="s">
        <v>1849</v>
      </c>
    </row>
    <row r="879" spans="1:9" ht="12.75" customHeight="1">
      <c r="A879" s="175"/>
      <c r="B879" s="175"/>
      <c r="C879" s="979"/>
      <c r="D879" s="1435"/>
      <c r="E879" s="1435"/>
      <c r="F879" s="1435"/>
      <c r="G879" s="3"/>
      <c r="I879" s="486"/>
    </row>
    <row r="880" spans="1:9" ht="12.75" customHeight="1">
      <c r="A880" s="175"/>
      <c r="B880" s="175"/>
      <c r="C880" s="979"/>
      <c r="D880" s="1435"/>
      <c r="E880" s="1435"/>
      <c r="F880" s="1435"/>
      <c r="G880" s="3"/>
      <c r="I880" s="486"/>
    </row>
    <row r="881" spans="1:9" ht="12.75" customHeight="1">
      <c r="A881" s="175"/>
      <c r="B881" s="175"/>
      <c r="C881" s="979"/>
      <c r="D881" s="118"/>
      <c r="E881" s="3"/>
      <c r="F881" s="3"/>
      <c r="G881" s="3"/>
      <c r="I881" s="486"/>
    </row>
    <row r="882" spans="1:9" ht="12.75" customHeight="1">
      <c r="A882" s="982"/>
      <c r="B882" s="481" t="s">
        <v>2687</v>
      </c>
      <c r="C882" s="979"/>
      <c r="D882" s="1872" t="s">
        <v>1752</v>
      </c>
      <c r="E882" s="1872"/>
      <c r="F882" s="1872"/>
      <c r="G882" s="3"/>
      <c r="I882" s="486"/>
    </row>
    <row r="883" spans="1:9" ht="12.75" customHeight="1">
      <c r="A883" s="350"/>
      <c r="B883" s="982"/>
      <c r="C883" s="979"/>
      <c r="D883" s="1872"/>
      <c r="E883" s="1872"/>
      <c r="F883" s="1872"/>
      <c r="G883" s="3"/>
      <c r="I883" s="486"/>
    </row>
    <row r="884" spans="1:9" ht="12.75" customHeight="1">
      <c r="A884" s="175"/>
      <c r="B884" s="350"/>
      <c r="C884" s="979"/>
      <c r="D884" s="1435" t="s">
        <v>2019</v>
      </c>
      <c r="E884" s="1435"/>
      <c r="F884" s="1435"/>
      <c r="G884" s="3"/>
      <c r="I884" s="486"/>
    </row>
    <row r="885" spans="1:9" ht="12.75" customHeight="1">
      <c r="A885" s="175"/>
      <c r="B885" s="175"/>
      <c r="C885" s="979"/>
      <c r="D885" s="1435"/>
      <c r="E885" s="1435"/>
      <c r="F885" s="1435"/>
      <c r="G885" s="3"/>
      <c r="I885" s="486"/>
    </row>
    <row r="886" spans="1:9" ht="12.75" customHeight="1">
      <c r="A886" s="175"/>
      <c r="B886" s="175"/>
      <c r="C886" s="979"/>
      <c r="D886" s="1435"/>
      <c r="E886" s="1435"/>
      <c r="F886" s="1435"/>
      <c r="G886" s="3"/>
      <c r="I886" s="486"/>
    </row>
    <row r="887" spans="1:9" ht="12.75" customHeight="1">
      <c r="A887" s="175"/>
      <c r="B887" s="175"/>
      <c r="C887" s="979"/>
      <c r="D887" s="1435"/>
      <c r="E887" s="1435"/>
      <c r="F887" s="1435"/>
      <c r="G887" s="3"/>
      <c r="I887" s="486"/>
    </row>
    <row r="888" spans="1:9" ht="12.75" customHeight="1">
      <c r="A888" s="175"/>
      <c r="B888" s="175"/>
      <c r="C888" s="979"/>
      <c r="D888" s="1435"/>
      <c r="E888" s="1435"/>
      <c r="F888" s="1435"/>
      <c r="G888" s="3"/>
      <c r="I888" s="486"/>
    </row>
    <row r="889" spans="1:9" ht="12.75" customHeight="1">
      <c r="A889" s="175"/>
      <c r="B889" s="175"/>
      <c r="C889" s="979"/>
      <c r="D889" s="1435"/>
      <c r="E889" s="1435"/>
      <c r="F889" s="1435"/>
      <c r="G889" s="3"/>
      <c r="I889" s="486"/>
    </row>
    <row r="890" spans="1:9" ht="12.75" customHeight="1">
      <c r="A890" s="175"/>
      <c r="B890" s="175"/>
      <c r="C890" s="979"/>
      <c r="D890" s="118"/>
      <c r="E890" s="3"/>
      <c r="F890" s="3"/>
      <c r="G890" s="3"/>
      <c r="I890" s="486"/>
    </row>
    <row r="891" spans="1:9" ht="12.75" customHeight="1">
      <c r="A891" s="175"/>
      <c r="B891" s="481" t="s">
        <v>2687</v>
      </c>
      <c r="C891" s="979"/>
      <c r="D891" s="1435" t="s">
        <v>1753</v>
      </c>
      <c r="E891" s="1435"/>
      <c r="F891" s="1435"/>
      <c r="G891" s="3"/>
      <c r="I891" s="486" t="s">
        <v>1847</v>
      </c>
    </row>
    <row r="892" spans="1:9" ht="12.75" customHeight="1">
      <c r="A892" s="175"/>
      <c r="B892" s="175"/>
      <c r="C892" s="979"/>
      <c r="D892" s="1435" t="s">
        <v>1754</v>
      </c>
      <c r="E892" s="1435"/>
      <c r="F892" s="1435"/>
      <c r="G892" s="3"/>
      <c r="I892" s="486"/>
    </row>
    <row r="893" spans="1:9" ht="12.75" customHeight="1">
      <c r="A893" s="175"/>
      <c r="B893" s="175"/>
      <c r="C893" s="979"/>
      <c r="E893" s="1026" t="s">
        <v>1863</v>
      </c>
      <c r="F893" s="1028"/>
      <c r="G893" s="3"/>
      <c r="I893" s="486"/>
    </row>
    <row r="894" spans="1:9" ht="12.75" customHeight="1">
      <c r="A894" s="175"/>
      <c r="B894" s="175"/>
      <c r="C894" s="979"/>
      <c r="D894" s="118"/>
      <c r="E894" s="3"/>
      <c r="F894" s="3"/>
      <c r="G894" s="3"/>
      <c r="I894" s="486"/>
    </row>
    <row r="895" spans="1:9" ht="12.75" customHeight="1">
      <c r="A895" s="175"/>
      <c r="B895" s="481" t="s">
        <v>2687</v>
      </c>
      <c r="C895" s="979"/>
      <c r="D895" s="1435" t="s">
        <v>1755</v>
      </c>
      <c r="E895" s="1435"/>
      <c r="F895" s="1435"/>
      <c r="G895" s="3"/>
      <c r="I895" s="486" t="s">
        <v>1850</v>
      </c>
    </row>
    <row r="896" spans="1:9" ht="12.75" customHeight="1">
      <c r="A896" s="175"/>
      <c r="B896" s="175"/>
      <c r="C896" s="979"/>
      <c r="D896" s="1435"/>
      <c r="E896" s="1435"/>
      <c r="F896" s="1435"/>
      <c r="G896" s="3"/>
      <c r="I896" s="486"/>
    </row>
    <row r="897" spans="1:9" ht="12.75" customHeight="1">
      <c r="A897" s="175"/>
      <c r="B897" s="175"/>
      <c r="C897" s="979"/>
      <c r="D897" s="1435"/>
      <c r="E897" s="1435"/>
      <c r="F897" s="1435"/>
      <c r="G897" s="3"/>
      <c r="I897" s="486"/>
    </row>
    <row r="898" spans="1:9" ht="12.75" customHeight="1">
      <c r="A898" s="175"/>
      <c r="B898" s="175"/>
      <c r="C898" s="979"/>
      <c r="D898" s="1435"/>
      <c r="E898" s="1435"/>
      <c r="F898" s="1435"/>
      <c r="G898" s="3"/>
      <c r="I898" s="486"/>
    </row>
    <row r="899" spans="1:9" ht="12.75" customHeight="1">
      <c r="A899" s="172"/>
      <c r="B899" s="172"/>
      <c r="C899" s="172"/>
      <c r="D899" s="118"/>
      <c r="E899" s="3"/>
      <c r="F899" s="3"/>
      <c r="G899" s="3"/>
      <c r="I899" s="486"/>
    </row>
    <row r="900" spans="1:9" ht="12.75" customHeight="1">
      <c r="A900" s="973" t="s">
        <v>1756</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848" t="s">
        <v>1789</v>
      </c>
      <c r="E902" s="1848"/>
      <c r="F902" s="1848"/>
      <c r="G902" s="978"/>
      <c r="I902" s="486"/>
    </row>
    <row r="903" spans="1:9" ht="12.75" customHeight="1">
      <c r="A903" s="350"/>
      <c r="B903" s="350"/>
      <c r="C903" s="174"/>
      <c r="D903" s="1871" t="s">
        <v>1757</v>
      </c>
      <c r="E903" s="1871"/>
      <c r="F903" s="1871"/>
      <c r="G903" s="978"/>
      <c r="I903" s="486"/>
    </row>
    <row r="904" spans="1:9" ht="12.75" customHeight="1">
      <c r="A904" s="350"/>
      <c r="B904" s="350"/>
      <c r="C904" s="174"/>
      <c r="D904" s="985"/>
      <c r="E904" s="985"/>
      <c r="F904" s="985"/>
      <c r="G904" s="978"/>
      <c r="I904" s="486"/>
    </row>
    <row r="905" spans="1:9" ht="12.75" customHeight="1">
      <c r="A905" s="175"/>
      <c r="B905" s="481" t="s">
        <v>2850</v>
      </c>
      <c r="C905" s="350"/>
      <c r="D905" s="1845" t="s">
        <v>1758</v>
      </c>
      <c r="E905" s="1845"/>
      <c r="F905" s="1845"/>
      <c r="G905" s="978"/>
      <c r="I905" s="486" t="s">
        <v>1847</v>
      </c>
    </row>
    <row r="906" spans="1:9" ht="12.75" customHeight="1">
      <c r="A906" s="350"/>
      <c r="B906" s="350"/>
      <c r="C906" s="350"/>
      <c r="D906" s="2" t="s">
        <v>1733</v>
      </c>
      <c r="E906" s="1026" t="s">
        <v>1863</v>
      </c>
      <c r="F906" s="1029"/>
      <c r="G906" s="978"/>
      <c r="I906" s="486"/>
    </row>
    <row r="907" spans="1:9" ht="12.75" customHeight="1">
      <c r="A907" s="350"/>
      <c r="B907" s="350"/>
      <c r="C907" s="350"/>
      <c r="D907" s="118"/>
      <c r="E907" s="978"/>
      <c r="F907" s="978"/>
      <c r="G907" s="978"/>
      <c r="I907" s="486"/>
    </row>
    <row r="908" spans="1:9" ht="12.75" customHeight="1">
      <c r="A908" s="175"/>
      <c r="B908" s="481" t="s">
        <v>2850</v>
      </c>
      <c r="C908" s="350"/>
      <c r="D908" s="1435" t="s">
        <v>1759</v>
      </c>
      <c r="E908" s="1878"/>
      <c r="F908" s="1878"/>
      <c r="G908" s="3"/>
      <c r="I908" s="486" t="s">
        <v>1850</v>
      </c>
    </row>
    <row r="909" spans="1:9" ht="12.75" customHeight="1">
      <c r="A909" s="350"/>
      <c r="B909" s="350"/>
      <c r="C909" s="350"/>
      <c r="D909" s="1878"/>
      <c r="E909" s="1878"/>
      <c r="F909" s="1878"/>
      <c r="G909" s="3"/>
      <c r="I909" s="486"/>
    </row>
    <row r="910" spans="1:9" ht="12.75" customHeight="1">
      <c r="A910" s="350"/>
      <c r="B910" s="350"/>
      <c r="C910" s="350"/>
      <c r="D910" s="118"/>
      <c r="E910" s="3"/>
      <c r="F910" s="3"/>
      <c r="G910" s="3"/>
      <c r="I910" s="486"/>
    </row>
    <row r="911" spans="1:9" ht="12.75" customHeight="1">
      <c r="A911" s="350"/>
      <c r="B911" s="481" t="s">
        <v>2687</v>
      </c>
      <c r="C911" s="350"/>
      <c r="D911" s="1879" t="s">
        <v>1760</v>
      </c>
      <c r="E911" s="1879"/>
      <c r="F911" s="1879"/>
      <c r="G911" s="978"/>
      <c r="I911" s="486"/>
    </row>
    <row r="912" spans="1:9" ht="12.75" customHeight="1">
      <c r="A912" s="350"/>
      <c r="B912" s="986"/>
      <c r="C912" s="350"/>
      <c r="D912" s="1879"/>
      <c r="E912" s="1879"/>
      <c r="F912" s="1879"/>
      <c r="G912" s="978"/>
      <c r="I912" s="486"/>
    </row>
    <row r="913" spans="1:9" ht="12.75" customHeight="1">
      <c r="A913" s="175"/>
      <c r="B913"/>
      <c r="C913" s="350"/>
      <c r="D913" s="1435" t="s">
        <v>2019</v>
      </c>
      <c r="E913" s="1435"/>
      <c r="F913" s="1435"/>
      <c r="G913" s="978"/>
      <c r="I913" s="486"/>
    </row>
    <row r="914" spans="1:9" ht="12.75" customHeight="1">
      <c r="A914" s="175"/>
      <c r="B914" s="175"/>
      <c r="C914" s="350"/>
      <c r="D914" s="1435"/>
      <c r="E914" s="1435"/>
      <c r="F914" s="1435"/>
      <c r="G914" s="978"/>
      <c r="I914" s="486"/>
    </row>
    <row r="915" spans="1:9" ht="12.75" customHeight="1">
      <c r="A915" s="175"/>
      <c r="B915" s="175"/>
      <c r="C915" s="350"/>
      <c r="D915" s="1435"/>
      <c r="E915" s="1435"/>
      <c r="F915" s="1435"/>
      <c r="G915" s="978"/>
      <c r="I915" s="486"/>
    </row>
    <row r="916" spans="1:9" ht="12.75" customHeight="1">
      <c r="A916" s="175"/>
      <c r="B916" s="175"/>
      <c r="C916" s="350"/>
      <c r="D916" s="1435"/>
      <c r="E916" s="1435"/>
      <c r="F916" s="1435"/>
      <c r="G916" s="978"/>
      <c r="I916" s="486"/>
    </row>
    <row r="917" spans="1:9" ht="12.75" customHeight="1">
      <c r="A917" s="175"/>
      <c r="B917" s="175"/>
      <c r="C917" s="350"/>
      <c r="D917" s="1435"/>
      <c r="E917" s="1435"/>
      <c r="F917" s="1435"/>
      <c r="G917" s="978"/>
      <c r="I917" s="486"/>
    </row>
    <row r="918" spans="1:9" ht="12.75" customHeight="1">
      <c r="A918" s="175"/>
      <c r="B918" s="175"/>
      <c r="C918" s="350"/>
      <c r="D918" s="1435"/>
      <c r="E918" s="1435"/>
      <c r="F918" s="1435"/>
      <c r="G918" s="978"/>
      <c r="I918" s="486"/>
    </row>
    <row r="919" spans="1:9" ht="12.75" customHeight="1">
      <c r="A919" s="175"/>
      <c r="B919" s="175"/>
      <c r="C919" s="350"/>
      <c r="D919" s="118"/>
      <c r="E919" s="978"/>
      <c r="F919" s="978"/>
      <c r="G919" s="978"/>
      <c r="I919" s="486"/>
    </row>
    <row r="920" spans="1:9" ht="12.75" customHeight="1">
      <c r="A920" s="175"/>
      <c r="B920" s="481" t="s">
        <v>2687</v>
      </c>
      <c r="C920" s="350"/>
      <c r="D920" s="1847" t="s">
        <v>1753</v>
      </c>
      <c r="E920" s="1847"/>
      <c r="F920" s="1847"/>
      <c r="G920" s="978"/>
      <c r="I920" s="486"/>
    </row>
    <row r="921" spans="1:9" ht="12.75" customHeight="1">
      <c r="A921" s="175"/>
      <c r="B921" s="175"/>
      <c r="C921" s="350"/>
      <c r="D921" s="1847" t="s">
        <v>1754</v>
      </c>
      <c r="E921" s="1847"/>
      <c r="F921" s="1847"/>
      <c r="G921" s="978"/>
      <c r="I921" s="486"/>
    </row>
    <row r="922" spans="1:9" ht="12.75" customHeight="1">
      <c r="A922" s="175"/>
      <c r="B922" s="175"/>
      <c r="C922" s="350"/>
      <c r="D922" s="2" t="s">
        <v>1267</v>
      </c>
      <c r="E922" s="1026" t="s">
        <v>1863</v>
      </c>
      <c r="F922" s="1030"/>
      <c r="G922" s="978"/>
      <c r="I922" s="486"/>
    </row>
    <row r="923" spans="1:9" ht="12.75" customHeight="1">
      <c r="A923" s="175"/>
      <c r="B923" s="175"/>
      <c r="C923" s="350"/>
      <c r="D923" s="118"/>
      <c r="E923" s="978"/>
      <c r="F923" s="978"/>
      <c r="G923" s="978"/>
      <c r="I923" s="486"/>
    </row>
    <row r="924" spans="1:9" ht="12.75" customHeight="1">
      <c r="A924" s="175"/>
      <c r="B924" s="481" t="s">
        <v>2687</v>
      </c>
      <c r="C924" s="350"/>
      <c r="D924" s="1435" t="s">
        <v>1755</v>
      </c>
      <c r="E924" s="1435"/>
      <c r="F924" s="1435"/>
      <c r="G924" s="978"/>
      <c r="I924" s="486"/>
    </row>
    <row r="925" spans="1:9" ht="12.75" customHeight="1">
      <c r="A925" s="175"/>
      <c r="B925" s="175"/>
      <c r="C925" s="350"/>
      <c r="D925" s="1435"/>
      <c r="E925" s="1435"/>
      <c r="F925" s="1435"/>
      <c r="G925" s="978"/>
      <c r="I925" s="486"/>
    </row>
    <row r="926" spans="1:9" ht="12.75" customHeight="1">
      <c r="A926" s="175"/>
      <c r="B926" s="175"/>
      <c r="C926" s="350"/>
      <c r="D926" s="1435"/>
      <c r="E926" s="1435"/>
      <c r="F926" s="1435"/>
      <c r="G926" s="978"/>
      <c r="I926" s="486"/>
    </row>
    <row r="927" spans="1:9" ht="12.75" customHeight="1">
      <c r="A927" s="175"/>
      <c r="B927" s="175"/>
      <c r="C927" s="350"/>
      <c r="D927" s="1435"/>
      <c r="E927" s="1435"/>
      <c r="F927" s="1435"/>
      <c r="G927" s="978"/>
      <c r="I927" s="486"/>
    </row>
    <row r="928" spans="1:9" ht="12.75" customHeight="1">
      <c r="A928" s="118"/>
      <c r="B928" s="118"/>
      <c r="C928" s="979"/>
      <c r="D928" s="978"/>
      <c r="E928" s="978"/>
      <c r="F928" s="978"/>
      <c r="G928" s="978"/>
      <c r="I928" s="486"/>
    </row>
    <row r="929" spans="1:9" ht="12.75" customHeight="1">
      <c r="A929" s="1851" t="s">
        <v>2644</v>
      </c>
      <c r="B929" s="1851"/>
      <c r="C929" s="1851"/>
      <c r="D929" s="1851"/>
      <c r="E929" s="1851"/>
      <c r="F929" s="1851"/>
      <c r="G929" s="1851"/>
      <c r="H929" s="1018"/>
      <c r="I929" s="1142"/>
    </row>
    <row r="930" spans="1:9" ht="12.75" customHeight="1">
      <c r="A930" s="57"/>
      <c r="B930" s="57"/>
      <c r="C930" s="57"/>
      <c r="D930" s="57"/>
      <c r="E930" s="57"/>
      <c r="F930" s="57"/>
      <c r="G930" s="57"/>
      <c r="I930" s="486"/>
    </row>
    <row r="931" spans="1:9" ht="12.75" customHeight="1">
      <c r="A931" s="57"/>
      <c r="B931" s="57"/>
      <c r="C931" s="57"/>
      <c r="D931" s="1852" t="s">
        <v>2643</v>
      </c>
      <c r="E931" s="1852"/>
      <c r="F931" s="1852"/>
      <c r="G931" s="57"/>
      <c r="I931" s="486"/>
    </row>
    <row r="932" spans="1:9" ht="12.75" customHeight="1">
      <c r="A932" s="57"/>
      <c r="B932" s="57"/>
      <c r="C932" s="57"/>
      <c r="D932" s="971"/>
      <c r="E932" s="971"/>
      <c r="F932" s="971"/>
      <c r="G932" s="57"/>
      <c r="I932" s="486"/>
    </row>
    <row r="933" spans="1:9" ht="12.75" customHeight="1">
      <c r="A933" s="57"/>
      <c r="B933" s="481" t="s">
        <v>2850</v>
      </c>
      <c r="C933" s="57"/>
      <c r="D933" s="974" t="s">
        <v>1794</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852" t="s">
        <v>1790</v>
      </c>
      <c r="E935" s="1852"/>
      <c r="F935" s="1852"/>
      <c r="G935" s="978"/>
      <c r="I935" s="486"/>
    </row>
    <row r="936" spans="1:9" ht="12.75" customHeight="1">
      <c r="A936" s="172"/>
      <c r="B936" s="172"/>
      <c r="C936" s="172"/>
      <c r="D936" s="1845" t="s">
        <v>1761</v>
      </c>
      <c r="E936" s="1845"/>
      <c r="F936" s="1845"/>
      <c r="G936" s="978"/>
      <c r="I936" s="486"/>
    </row>
    <row r="937" spans="1:9" ht="12.75" customHeight="1">
      <c r="A937" s="979"/>
      <c r="B937" s="979"/>
      <c r="C937" s="979"/>
      <c r="D937" s="2"/>
      <c r="E937" s="978"/>
      <c r="F937" s="978"/>
      <c r="G937" s="978"/>
      <c r="I937" s="486"/>
    </row>
    <row r="938" spans="1:9" ht="12.75" customHeight="1">
      <c r="A938" s="175"/>
      <c r="B938" s="481" t="s">
        <v>2850</v>
      </c>
      <c r="C938" s="350"/>
      <c r="D938" s="1435" t="s">
        <v>1765</v>
      </c>
      <c r="E938" s="1435"/>
      <c r="F938" s="1435"/>
      <c r="G938" s="3"/>
      <c r="I938" s="486"/>
    </row>
    <row r="939" spans="1:9" ht="12.75" customHeight="1">
      <c r="A939" s="350"/>
      <c r="B939" s="350"/>
      <c r="C939" s="350"/>
      <c r="D939" s="1435"/>
      <c r="E939" s="1435"/>
      <c r="F939" s="1435"/>
      <c r="G939" s="3"/>
      <c r="I939" s="486"/>
    </row>
    <row r="940" spans="1:9" ht="12.75" customHeight="1">
      <c r="A940" s="172"/>
      <c r="B940" s="172"/>
      <c r="C940" s="172"/>
      <c r="D940" s="1435" t="s">
        <v>1764</v>
      </c>
      <c r="E940" s="1435"/>
      <c r="F940" s="1435"/>
      <c r="G940" s="978"/>
      <c r="I940" s="486"/>
    </row>
    <row r="941" spans="1:9" ht="12.75" customHeight="1">
      <c r="A941" s="172"/>
      <c r="B941" s="172"/>
      <c r="C941" s="172"/>
      <c r="D941" s="1435"/>
      <c r="E941" s="1435"/>
      <c r="F941" s="1435"/>
      <c r="G941" s="978"/>
      <c r="I941" s="486"/>
    </row>
    <row r="942" spans="1:9" ht="12.75" customHeight="1">
      <c r="A942" s="172"/>
      <c r="B942" s="172"/>
      <c r="C942" s="172"/>
      <c r="D942" s="3"/>
      <c r="E942" s="3"/>
      <c r="F942" s="978"/>
      <c r="G942" s="978"/>
      <c r="I942" s="486"/>
    </row>
    <row r="943" spans="1:9" ht="12.75" customHeight="1">
      <c r="A943" s="175"/>
      <c r="B943" s="481" t="s">
        <v>2850</v>
      </c>
      <c r="C943" s="174"/>
      <c r="D943" s="1837" t="s">
        <v>1762</v>
      </c>
      <c r="E943" s="1837"/>
      <c r="F943" s="1837"/>
      <c r="G943" s="978"/>
      <c r="I943" s="486"/>
    </row>
    <row r="944" spans="1:9" ht="12.75" customHeight="1">
      <c r="A944" s="175"/>
      <c r="B944" s="175"/>
      <c r="C944" s="174"/>
      <c r="D944" s="1837"/>
      <c r="E944" s="1837"/>
      <c r="F944" s="1837"/>
      <c r="G944" s="978"/>
      <c r="I944" s="486"/>
    </row>
    <row r="945" spans="1:9" ht="12.75" customHeight="1">
      <c r="A945" s="175"/>
      <c r="B945" s="175"/>
      <c r="C945" s="174"/>
      <c r="D945" s="1837"/>
      <c r="E945" s="1837"/>
      <c r="F945" s="1837"/>
      <c r="G945" s="978"/>
      <c r="I945" s="486"/>
    </row>
    <row r="946" spans="1:9" ht="12.75" customHeight="1">
      <c r="A946" s="175"/>
      <c r="B946" s="175"/>
      <c r="C946" s="174"/>
      <c r="D946" s="1837"/>
      <c r="E946" s="1837"/>
      <c r="F946" s="1837"/>
      <c r="G946" s="978"/>
      <c r="I946" s="486"/>
    </row>
    <row r="947" spans="1:9" ht="12.75" customHeight="1">
      <c r="A947" s="175"/>
      <c r="B947" s="175"/>
      <c r="C947" s="174"/>
      <c r="D947" s="1837"/>
      <c r="E947" s="1837"/>
      <c r="F947" s="1837"/>
      <c r="G947" s="978"/>
      <c r="I947" s="486"/>
    </row>
    <row r="948" spans="1:9" ht="12.75" customHeight="1">
      <c r="A948" s="174"/>
      <c r="B948" s="174"/>
      <c r="C948" s="174"/>
      <c r="D948" s="1837"/>
      <c r="E948" s="1837"/>
      <c r="F948" s="1837"/>
      <c r="G948" s="978"/>
      <c r="I948" s="486"/>
    </row>
    <row r="949" spans="1:9" ht="12.75" customHeight="1">
      <c r="A949" s="174"/>
      <c r="B949" s="174"/>
      <c r="C949" s="174"/>
      <c r="D949" s="1837"/>
      <c r="E949" s="1837"/>
      <c r="F949" s="1837"/>
      <c r="G949" s="978"/>
      <c r="I949" s="486"/>
    </row>
    <row r="950" spans="1:9" ht="12.75" customHeight="1">
      <c r="A950" s="174"/>
      <c r="B950" s="174"/>
      <c r="C950" s="174"/>
      <c r="D950" s="1837"/>
      <c r="E950" s="1837"/>
      <c r="F950" s="1837"/>
      <c r="G950" s="978"/>
      <c r="I950" s="486"/>
    </row>
    <row r="951" spans="1:9" ht="12.75" customHeight="1">
      <c r="A951" s="174"/>
      <c r="B951" s="174"/>
      <c r="C951" s="174"/>
      <c r="D951" s="332"/>
      <c r="E951" s="332"/>
      <c r="F951" s="332"/>
      <c r="G951" s="978"/>
      <c r="I951" s="486"/>
    </row>
    <row r="952" spans="1:9" ht="12.75" customHeight="1">
      <c r="A952" s="979"/>
      <c r="B952" s="481" t="s">
        <v>2687</v>
      </c>
      <c r="C952" s="979"/>
      <c r="D952" s="1435" t="s">
        <v>1766</v>
      </c>
      <c r="E952" s="1435"/>
      <c r="F952" s="1435"/>
      <c r="G952" s="978"/>
      <c r="I952" s="486"/>
    </row>
    <row r="953" spans="1:9" ht="12.75" customHeight="1">
      <c r="A953" s="979"/>
      <c r="B953" s="979"/>
      <c r="C953" s="979"/>
      <c r="D953" s="1435"/>
      <c r="E953" s="1435"/>
      <c r="F953" s="1435"/>
      <c r="G953" s="978"/>
      <c r="I953" s="486"/>
    </row>
    <row r="954" spans="1:9" ht="12.75" customHeight="1">
      <c r="A954" s="979"/>
      <c r="B954" s="979"/>
      <c r="C954" s="979"/>
      <c r="D954" s="978"/>
      <c r="E954" s="978"/>
      <c r="F954" s="978"/>
      <c r="G954" s="978"/>
      <c r="I954" s="486"/>
    </row>
    <row r="955" spans="1:9" ht="12.75" customHeight="1">
      <c r="A955" s="979"/>
      <c r="B955" s="481" t="s">
        <v>2687</v>
      </c>
      <c r="C955" s="979"/>
      <c r="D955" s="1849" t="s">
        <v>1767</v>
      </c>
      <c r="E955" s="1849"/>
      <c r="F955" s="1849"/>
      <c r="G955" s="978"/>
      <c r="I955" s="486"/>
    </row>
    <row r="956" spans="1:9" ht="12.75" customHeight="1">
      <c r="A956" s="979"/>
      <c r="B956" s="979"/>
      <c r="C956" s="979"/>
      <c r="D956" s="1849"/>
      <c r="E956" s="1849"/>
      <c r="F956" s="1849"/>
      <c r="G956" s="978"/>
      <c r="I956" s="486"/>
    </row>
    <row r="957" spans="1:9" ht="12.75" customHeight="1">
      <c r="A957" s="979"/>
      <c r="B957" s="979"/>
      <c r="C957" s="979"/>
      <c r="D957" s="1849"/>
      <c r="E957" s="1849"/>
      <c r="F957" s="1849"/>
      <c r="G957" s="978"/>
      <c r="I957" s="486"/>
    </row>
    <row r="958" spans="1:9" ht="12.75" customHeight="1">
      <c r="A958" s="979"/>
      <c r="B958" s="979"/>
      <c r="C958" s="979"/>
      <c r="D958" s="1849"/>
      <c r="E958" s="1849"/>
      <c r="F958" s="1849"/>
      <c r="G958" s="978"/>
      <c r="I958" s="486"/>
    </row>
    <row r="959" spans="1:9" ht="12.75" customHeight="1">
      <c r="A959" s="979"/>
      <c r="B959" s="979"/>
      <c r="C959" s="979"/>
      <c r="D959" s="118"/>
      <c r="E959" s="978"/>
      <c r="F959" s="978"/>
      <c r="G959" s="978"/>
      <c r="I959" s="486"/>
    </row>
    <row r="960" spans="1:9" ht="12.75" customHeight="1">
      <c r="A960" s="979"/>
      <c r="B960" s="481" t="s">
        <v>2687</v>
      </c>
      <c r="C960" s="979"/>
      <c r="D960" s="1845" t="s">
        <v>2020</v>
      </c>
      <c r="E960" s="1845"/>
      <c r="F960" s="1845"/>
      <c r="G960" s="978"/>
      <c r="I960" s="486"/>
    </row>
    <row r="961" spans="1:9" ht="12.75" customHeight="1">
      <c r="A961" s="979"/>
      <c r="B961" s="979"/>
      <c r="C961" s="979"/>
      <c r="D961" s="118"/>
      <c r="E961" s="978"/>
      <c r="F961" s="978"/>
      <c r="G961" s="978"/>
      <c r="I961" s="486"/>
    </row>
    <row r="962" spans="1:9" ht="12.75" customHeight="1">
      <c r="A962" s="979"/>
      <c r="B962" s="481" t="s">
        <v>2687</v>
      </c>
      <c r="C962" s="979"/>
      <c r="D962" s="1845" t="s">
        <v>2021</v>
      </c>
      <c r="E962" s="1845"/>
      <c r="F962" s="1845"/>
      <c r="G962" s="978"/>
      <c r="I962" s="486"/>
    </row>
    <row r="963" spans="1:9" ht="12.75" customHeight="1">
      <c r="A963" s="174"/>
      <c r="B963" s="174"/>
      <c r="C963" s="174"/>
      <c r="D963" s="2"/>
      <c r="E963" s="3"/>
      <c r="F963" s="978"/>
      <c r="G963" s="978"/>
      <c r="I963" s="486"/>
    </row>
    <row r="964" spans="1:9" customFormat="1">
      <c r="A964" s="979"/>
      <c r="B964" s="350"/>
      <c r="C964" s="979"/>
      <c r="D964" s="1848" t="s">
        <v>2646</v>
      </c>
      <c r="E964" s="1848"/>
      <c r="F964" s="1848"/>
      <c r="G964" s="978"/>
      <c r="H964" s="1265"/>
      <c r="I964" s="1265"/>
    </row>
    <row r="965" spans="1:9" customFormat="1">
      <c r="A965" s="979"/>
      <c r="B965" s="350"/>
      <c r="C965" s="979"/>
      <c r="D965" s="173"/>
      <c r="E965" s="978"/>
      <c r="F965" s="978"/>
      <c r="G965" s="978"/>
      <c r="H965" s="1265"/>
      <c r="I965" s="1265"/>
    </row>
    <row r="966" spans="1:9" customFormat="1" ht="14.25">
      <c r="A966" s="175"/>
      <c r="B966" s="1261"/>
      <c r="C966" s="979"/>
      <c r="D966" s="1435" t="s">
        <v>2649</v>
      </c>
      <c r="E966" s="1435"/>
      <c r="F966" s="1435"/>
      <c r="G966" s="978"/>
      <c r="H966" s="1265"/>
      <c r="I966" s="1265"/>
    </row>
    <row r="967" spans="1:9" customFormat="1">
      <c r="A967" s="979"/>
      <c r="B967" s="979"/>
      <c r="C967" s="979"/>
      <c r="D967" s="1435"/>
      <c r="E967" s="1435"/>
      <c r="F967" s="1435"/>
      <c r="G967" s="978"/>
      <c r="H967" s="1265"/>
      <c r="I967" s="1265"/>
    </row>
    <row r="968" spans="1:9" customFormat="1">
      <c r="A968" s="979"/>
      <c r="B968" s="979"/>
      <c r="C968" s="979"/>
      <c r="D968" s="1435"/>
      <c r="E968" s="1435"/>
      <c r="F968" s="1435"/>
      <c r="G968" s="978"/>
      <c r="H968" s="1265"/>
      <c r="I968" s="1265"/>
    </row>
    <row r="969" spans="1:9" customFormat="1">
      <c r="A969" s="979"/>
      <c r="B969" s="979"/>
      <c r="C969" s="979"/>
      <c r="D969" s="1435"/>
      <c r="E969" s="1435"/>
      <c r="F969" s="1435"/>
      <c r="G969" s="978"/>
      <c r="H969" s="1265"/>
      <c r="I969" s="1265"/>
    </row>
    <row r="970" spans="1:9" customFormat="1">
      <c r="A970" s="979"/>
      <c r="B970" s="979"/>
      <c r="C970" s="979"/>
      <c r="D970" s="1435"/>
      <c r="E970" s="1435"/>
      <c r="F970" s="1435"/>
      <c r="G970" s="978"/>
      <c r="H970" s="1265"/>
      <c r="I970" s="1265"/>
    </row>
    <row r="971" spans="1:9" customFormat="1">
      <c r="A971" s="979"/>
      <c r="B971" s="979"/>
      <c r="C971" s="979"/>
      <c r="D971" s="1435"/>
      <c r="E971" s="1435"/>
      <c r="F971" s="1435"/>
      <c r="G971" s="978"/>
      <c r="H971" s="1265"/>
      <c r="I971" s="1265"/>
    </row>
    <row r="972" spans="1:9" customFormat="1">
      <c r="A972" s="979"/>
      <c r="B972" s="979"/>
      <c r="C972" s="979"/>
      <c r="D972" s="1435"/>
      <c r="E972" s="1435"/>
      <c r="F972" s="1435"/>
      <c r="G972" s="978"/>
      <c r="H972" s="1265"/>
      <c r="I972" s="1265"/>
    </row>
    <row r="973" spans="1:9" customFormat="1">
      <c r="A973" s="979"/>
      <c r="B973" s="979"/>
      <c r="C973" s="979"/>
      <c r="D973" s="3"/>
      <c r="E973" s="3"/>
      <c r="F973" s="3"/>
      <c r="G973" s="978"/>
      <c r="H973" s="1265"/>
      <c r="I973" s="1265"/>
    </row>
    <row r="974" spans="1:9" ht="12.75" customHeight="1">
      <c r="A974" s="987"/>
      <c r="B974" s="481" t="s">
        <v>2850</v>
      </c>
      <c r="C974" s="988"/>
      <c r="D974" s="1837" t="s">
        <v>1763</v>
      </c>
      <c r="E974" s="1837"/>
      <c r="F974" s="1837"/>
      <c r="G974" s="989"/>
      <c r="I974" s="486"/>
    </row>
    <row r="975" spans="1:9" ht="12.75" customHeight="1">
      <c r="A975" s="987"/>
      <c r="B975" s="987"/>
      <c r="C975" s="988"/>
      <c r="D975" s="1837"/>
      <c r="E975" s="1837"/>
      <c r="F975" s="1837"/>
      <c r="G975" s="989"/>
      <c r="I975" s="486"/>
    </row>
    <row r="976" spans="1:9" ht="12.75" customHeight="1">
      <c r="A976" s="987"/>
      <c r="B976" s="987"/>
      <c r="C976" s="988"/>
      <c r="D976" s="1837"/>
      <c r="E976" s="1837"/>
      <c r="F976" s="1837"/>
      <c r="G976" s="989"/>
      <c r="I976" s="486"/>
    </row>
    <row r="977" spans="1:9" ht="12.75" customHeight="1">
      <c r="A977" s="987"/>
      <c r="B977" s="987"/>
      <c r="C977" s="988"/>
      <c r="D977" s="1837"/>
      <c r="E977" s="1837"/>
      <c r="F977" s="1837"/>
      <c r="G977" s="989"/>
      <c r="I977" s="486"/>
    </row>
    <row r="978" spans="1:9" ht="12.75" customHeight="1">
      <c r="A978" s="987"/>
      <c r="B978" s="987"/>
      <c r="C978" s="988"/>
      <c r="D978" s="1837"/>
      <c r="E978" s="1837"/>
      <c r="F978" s="1837"/>
      <c r="G978" s="989"/>
      <c r="I978" s="486"/>
    </row>
    <row r="979" spans="1:9" ht="12.75" customHeight="1">
      <c r="A979" s="987"/>
      <c r="B979" s="987"/>
      <c r="C979" s="988"/>
      <c r="D979" s="1837"/>
      <c r="E979" s="1837"/>
      <c r="F979" s="1837"/>
      <c r="G979" s="989"/>
      <c r="I979" s="486"/>
    </row>
    <row r="980" spans="1:9" ht="12.75" customHeight="1">
      <c r="A980" s="987"/>
      <c r="B980" s="987"/>
      <c r="C980" s="988"/>
      <c r="D980" s="1837"/>
      <c r="E980" s="1837"/>
      <c r="F980" s="1837"/>
      <c r="G980" s="989"/>
      <c r="I980" s="486"/>
    </row>
    <row r="981" spans="1:9" ht="12.75" customHeight="1">
      <c r="A981" s="987"/>
      <c r="B981" s="987"/>
      <c r="C981" s="988"/>
      <c r="D981" s="1837"/>
      <c r="E981" s="1837"/>
      <c r="F981" s="1837"/>
      <c r="G981" s="989"/>
      <c r="I981" s="486"/>
    </row>
    <row r="982" spans="1:9" ht="12.75" customHeight="1">
      <c r="A982" s="987"/>
      <c r="B982" s="987"/>
      <c r="C982" s="988"/>
      <c r="D982" s="1837"/>
      <c r="E982" s="1837"/>
      <c r="F982" s="1837"/>
      <c r="G982" s="989"/>
      <c r="I982" s="486"/>
    </row>
    <row r="983" spans="1:9" ht="12.75" customHeight="1">
      <c r="A983" s="174"/>
      <c r="B983" s="174"/>
      <c r="C983" s="174"/>
      <c r="D983" s="2"/>
      <c r="E983" s="3"/>
      <c r="F983" s="978"/>
      <c r="G983" s="978"/>
      <c r="I983" s="486"/>
    </row>
    <row r="984" spans="1:9" customFormat="1">
      <c r="A984" s="979"/>
      <c r="B984" s="1261"/>
      <c r="C984" s="979"/>
      <c r="D984" s="1849" t="s">
        <v>2650</v>
      </c>
      <c r="E984" s="1849"/>
      <c r="F984" s="1849"/>
      <c r="G984" s="978"/>
    </row>
    <row r="985" spans="1:9" customFormat="1">
      <c r="A985" s="979"/>
      <c r="B985" s="979"/>
      <c r="C985" s="979"/>
      <c r="D985" s="1849"/>
      <c r="E985" s="1849"/>
      <c r="F985" s="1849"/>
      <c r="G985" s="978"/>
    </row>
    <row r="986" spans="1:9" customFormat="1">
      <c r="A986" s="979"/>
      <c r="B986" s="979"/>
      <c r="C986" s="979"/>
      <c r="D986" s="1849"/>
      <c r="E986" s="1849"/>
      <c r="F986" s="1849"/>
      <c r="G986" s="978"/>
    </row>
    <row r="987" spans="1:9" customFormat="1">
      <c r="A987" s="979"/>
      <c r="B987" s="979"/>
      <c r="C987" s="979"/>
      <c r="D987" s="978"/>
      <c r="E987" s="978"/>
      <c r="F987" s="978"/>
      <c r="G987" s="978"/>
    </row>
    <row r="988" spans="1:9" customFormat="1" ht="14.25">
      <c r="A988" s="175"/>
      <c r="B988" s="1261" t="s">
        <v>306</v>
      </c>
      <c r="C988" s="492"/>
      <c r="D988" s="1850" t="s">
        <v>2651</v>
      </c>
      <c r="E988" s="1850"/>
      <c r="F988" s="1850"/>
      <c r="G988" s="1266"/>
    </row>
    <row r="989" spans="1:9" customFormat="1">
      <c r="A989" s="492"/>
      <c r="B989" s="492"/>
      <c r="C989" s="492"/>
      <c r="D989" s="1850"/>
      <c r="E989" s="1850"/>
      <c r="F989" s="1850"/>
      <c r="G989" s="1266"/>
    </row>
    <row r="990" spans="1:9" customFormat="1">
      <c r="A990" s="492"/>
      <c r="B990" s="492"/>
      <c r="C990" s="492"/>
      <c r="D990" s="1850"/>
      <c r="E990" s="1850"/>
      <c r="F990" s="1850"/>
      <c r="G990" s="1266"/>
    </row>
    <row r="991" spans="1:9" customFormat="1">
      <c r="A991" s="492"/>
      <c r="B991" s="492"/>
      <c r="C991" s="492"/>
      <c r="D991" s="1850"/>
      <c r="E991" s="1850"/>
      <c r="F991" s="1850"/>
      <c r="G991" s="1266"/>
    </row>
    <row r="992" spans="1:9" customFormat="1">
      <c r="A992" s="492"/>
      <c r="B992" s="492"/>
      <c r="C992" s="492"/>
      <c r="D992" s="1260"/>
      <c r="E992" s="1260"/>
      <c r="F992" s="1260"/>
      <c r="G992" s="1266"/>
    </row>
    <row r="993" spans="1:9" customFormat="1">
      <c r="A993" s="979"/>
      <c r="B993" s="979"/>
      <c r="C993" s="979"/>
      <c r="D993" s="1848" t="s">
        <v>2647</v>
      </c>
      <c r="E993" s="1848"/>
      <c r="F993" s="1848"/>
      <c r="G993" s="978"/>
      <c r="H993" s="1265"/>
      <c r="I993" s="1265"/>
    </row>
    <row r="994" spans="1:9" customFormat="1">
      <c r="A994" s="979"/>
      <c r="B994" s="979"/>
      <c r="C994" s="979"/>
      <c r="D994" s="173"/>
      <c r="E994" s="978"/>
      <c r="F994" s="978"/>
      <c r="G994" s="978"/>
      <c r="H994" s="1265"/>
      <c r="I994" s="1265"/>
    </row>
    <row r="995" spans="1:9" customFormat="1" ht="14.25">
      <c r="A995" s="175"/>
      <c r="B995" s="1261"/>
      <c r="C995" s="979"/>
      <c r="D995" s="1435" t="s">
        <v>2648</v>
      </c>
      <c r="E995" s="1435"/>
      <c r="F995" s="1435"/>
      <c r="G995" s="978"/>
      <c r="H995" s="1265"/>
      <c r="I995" s="1265"/>
    </row>
    <row r="996" spans="1:9" customFormat="1">
      <c r="A996" s="979"/>
      <c r="B996" s="979"/>
      <c r="C996" s="979"/>
      <c r="D996" s="1435"/>
      <c r="E996" s="1435"/>
      <c r="F996" s="1435"/>
      <c r="G996" s="978"/>
      <c r="H996" s="1265"/>
      <c r="I996" s="1265"/>
    </row>
    <row r="997" spans="1:9" customFormat="1">
      <c r="A997" s="979"/>
      <c r="B997" s="979"/>
      <c r="C997" s="979"/>
      <c r="D997" s="1435"/>
      <c r="E997" s="1435"/>
      <c r="F997" s="1435"/>
      <c r="G997" s="978"/>
      <c r="H997" s="1265"/>
      <c r="I997" s="1265"/>
    </row>
    <row r="998" spans="1:9" customFormat="1">
      <c r="A998" s="979"/>
      <c r="B998" s="979"/>
      <c r="C998" s="979"/>
      <c r="D998" s="3"/>
      <c r="E998" s="3"/>
      <c r="F998" s="3"/>
      <c r="G998" s="978"/>
      <c r="H998" s="1265"/>
      <c r="I998" s="1265"/>
    </row>
    <row r="999" spans="1:9" ht="12.75" customHeight="1">
      <c r="A999" s="175"/>
      <c r="B999" s="481" t="s">
        <v>2850</v>
      </c>
      <c r="C999" s="174"/>
      <c r="D999" s="1853" t="s">
        <v>1853</v>
      </c>
      <c r="E999" s="1853"/>
      <c r="F999" s="1853"/>
      <c r="G999" s="978"/>
      <c r="I999" s="486"/>
    </row>
    <row r="1000" spans="1:9" ht="12.75" customHeight="1">
      <c r="A1000" s="175"/>
      <c r="B1000" s="175"/>
      <c r="C1000" s="174"/>
      <c r="D1000" s="1853"/>
      <c r="E1000" s="1853"/>
      <c r="F1000" s="1853"/>
      <c r="G1000" s="978"/>
      <c r="I1000" s="486"/>
    </row>
    <row r="1001" spans="1:9" ht="12.75" customHeight="1">
      <c r="A1001" s="175"/>
      <c r="B1001" s="175"/>
      <c r="C1001" s="174"/>
      <c r="D1001" s="1853"/>
      <c r="E1001" s="1853"/>
      <c r="F1001" s="1853"/>
      <c r="G1001" s="978"/>
      <c r="I1001" s="486"/>
    </row>
    <row r="1002" spans="1:9" ht="12.75" customHeight="1">
      <c r="A1002" s="175"/>
      <c r="B1002" s="175"/>
      <c r="C1002" s="174"/>
      <c r="D1002" s="1853"/>
      <c r="E1002" s="1853"/>
      <c r="F1002" s="1853"/>
      <c r="G1002" s="978"/>
      <c r="I1002" s="486"/>
    </row>
    <row r="1003" spans="1:9" ht="12.75" customHeight="1">
      <c r="A1003" s="175"/>
      <c r="B1003" s="175"/>
      <c r="C1003" s="174"/>
      <c r="D1003" s="1853"/>
      <c r="E1003" s="1853"/>
      <c r="F1003" s="1853"/>
      <c r="G1003" s="978"/>
      <c r="I1003" s="486"/>
    </row>
    <row r="1004" spans="1:9" ht="12.75" customHeight="1">
      <c r="A1004" s="175"/>
      <c r="B1004" s="175"/>
      <c r="C1004" s="174"/>
      <c r="D1004" s="1853"/>
      <c r="E1004" s="1853"/>
      <c r="F1004" s="1853"/>
      <c r="G1004" s="978"/>
      <c r="I1004" s="486"/>
    </row>
    <row r="1005" spans="1:9" ht="12.75" customHeight="1">
      <c r="A1005" s="175"/>
      <c r="B1005" s="175"/>
      <c r="C1005" s="174"/>
      <c r="D1005" s="1853"/>
      <c r="E1005" s="1853"/>
      <c r="F1005" s="1853"/>
      <c r="G1005" s="978"/>
      <c r="I1005" s="486"/>
    </row>
    <row r="1006" spans="1:9" ht="12.75" customHeight="1">
      <c r="A1006" s="175"/>
      <c r="B1006" s="175"/>
      <c r="C1006" s="174"/>
      <c r="D1006" s="1016"/>
      <c r="E1006" s="1016"/>
      <c r="F1006" s="1016"/>
      <c r="G1006" s="978"/>
      <c r="I1006" s="486"/>
    </row>
    <row r="1007" spans="1:9" customFormat="1" ht="12.75" customHeight="1">
      <c r="A1007" s="979"/>
      <c r="B1007" s="1261"/>
      <c r="C1007" s="979"/>
      <c r="D1007" s="1836" t="s">
        <v>2645</v>
      </c>
      <c r="E1007" s="1836"/>
      <c r="F1007" s="1836"/>
      <c r="G1007" s="1264"/>
      <c r="H1007" s="1265"/>
      <c r="I1007" s="1265"/>
    </row>
    <row r="1008" spans="1:9" customFormat="1">
      <c r="A1008" s="979"/>
      <c r="B1008" s="979"/>
      <c r="C1008" s="979"/>
      <c r="D1008" s="1836"/>
      <c r="E1008" s="1836"/>
      <c r="F1008" s="1836"/>
      <c r="G1008" s="1264"/>
      <c r="H1008" s="1265"/>
      <c r="I1008" s="1265"/>
    </row>
    <row r="1009" spans="1:9" customFormat="1">
      <c r="A1009" s="979"/>
      <c r="B1009" s="979"/>
      <c r="C1009" s="979"/>
      <c r="D1009" s="1836"/>
      <c r="E1009" s="1836"/>
      <c r="F1009" s="1836"/>
      <c r="G1009" s="1264"/>
      <c r="H1009" s="1265"/>
      <c r="I1009" s="1265"/>
    </row>
    <row r="1010" spans="1:9" customFormat="1">
      <c r="A1010" s="979"/>
      <c r="B1010" s="979"/>
      <c r="C1010" s="979"/>
      <c r="D1010" s="1836"/>
      <c r="E1010" s="1836"/>
      <c r="F1010" s="1836"/>
      <c r="G1010" s="1264"/>
      <c r="H1010" s="1265"/>
      <c r="I1010" s="1265"/>
    </row>
    <row r="1011" spans="1:9" customFormat="1">
      <c r="A1011" s="979"/>
      <c r="B1011" s="979"/>
      <c r="C1011" s="979"/>
      <c r="D1011" s="1836"/>
      <c r="E1011" s="1836"/>
      <c r="F1011" s="1836"/>
      <c r="G1011" s="1264"/>
      <c r="H1011" s="1265"/>
      <c r="I1011" s="1265"/>
    </row>
    <row r="1012" spans="1:9" customFormat="1">
      <c r="A1012" s="979"/>
      <c r="B1012" s="979"/>
      <c r="C1012" s="979"/>
      <c r="D1012" s="1836"/>
      <c r="E1012" s="1836"/>
      <c r="F1012" s="1836"/>
      <c r="G1012" s="1264"/>
      <c r="H1012" s="1265"/>
      <c r="I1012" s="1265"/>
    </row>
    <row r="1013" spans="1:9" customFormat="1">
      <c r="A1013" s="979"/>
      <c r="B1013" s="979"/>
      <c r="C1013" s="979"/>
      <c r="D1013" s="1836"/>
      <c r="E1013" s="1836"/>
      <c r="F1013" s="1836"/>
      <c r="G1013" s="1264"/>
      <c r="H1013" s="1265"/>
      <c r="I1013" s="1265"/>
    </row>
    <row r="1014" spans="1:9" customFormat="1">
      <c r="A1014" s="979"/>
      <c r="B1014" s="979"/>
      <c r="C1014" s="979"/>
      <c r="D1014" s="1836"/>
      <c r="E1014" s="1836"/>
      <c r="F1014" s="1836"/>
      <c r="G1014" s="1264"/>
      <c r="H1014" s="1265"/>
      <c r="I1014" s="1265"/>
    </row>
    <row r="1015" spans="1:9" customFormat="1">
      <c r="A1015" s="979"/>
      <c r="B1015" s="979"/>
      <c r="C1015" s="979"/>
      <c r="D1015" s="1836"/>
      <c r="E1015" s="1836"/>
      <c r="F1015" s="1836"/>
      <c r="G1015" s="1264"/>
      <c r="H1015" s="1265"/>
      <c r="I1015" s="1265"/>
    </row>
    <row r="1016" spans="1:9" customFormat="1">
      <c r="A1016" s="979"/>
      <c r="B1016" s="979"/>
      <c r="C1016" s="979"/>
      <c r="D1016" s="1836"/>
      <c r="E1016" s="1836"/>
      <c r="F1016" s="1836"/>
      <c r="G1016" s="1264"/>
      <c r="H1016" s="1265"/>
      <c r="I1016" s="1265"/>
    </row>
    <row r="1017" spans="1:9" customFormat="1">
      <c r="A1017" s="979"/>
      <c r="B1017" s="979"/>
      <c r="C1017" s="979"/>
      <c r="D1017" s="1836"/>
      <c r="E1017" s="1836"/>
      <c r="F1017" s="1836"/>
      <c r="G1017" s="1264"/>
      <c r="H1017" s="1265"/>
      <c r="I1017" s="1265"/>
    </row>
    <row r="1018" spans="1:9" customFormat="1" ht="14.25" customHeight="1">
      <c r="A1018" s="979"/>
      <c r="B1018" s="979"/>
      <c r="C1018" s="979"/>
      <c r="D1018" s="1836"/>
      <c r="E1018" s="1836"/>
      <c r="F1018" s="1836"/>
      <c r="G1018" s="1264"/>
      <c r="H1018" s="1265"/>
      <c r="I1018" s="1265"/>
    </row>
    <row r="1019" spans="1:9" customFormat="1">
      <c r="A1019" s="979"/>
      <c r="B1019" s="979"/>
      <c r="C1019" s="979"/>
      <c r="D1019" s="970"/>
      <c r="E1019" s="970"/>
      <c r="F1019" s="970"/>
      <c r="G1019" s="970"/>
      <c r="H1019" s="1265"/>
      <c r="I1019" s="1265"/>
    </row>
    <row r="1020" spans="1:9" ht="12.75" customHeight="1">
      <c r="A1020" s="175"/>
      <c r="B1020" s="481" t="s">
        <v>2850</v>
      </c>
      <c r="C1020" s="174"/>
      <c r="D1020" s="1836" t="s">
        <v>2085</v>
      </c>
      <c r="E1020" s="1836"/>
      <c r="F1020" s="1836"/>
      <c r="G1020" s="978"/>
      <c r="I1020" s="486"/>
    </row>
    <row r="1021" spans="1:9" ht="12.75" customHeight="1">
      <c r="A1021" s="175"/>
      <c r="B1021" s="175"/>
      <c r="C1021" s="174"/>
      <c r="D1021" s="1836"/>
      <c r="E1021" s="1836"/>
      <c r="F1021" s="1836"/>
      <c r="G1021" s="978"/>
      <c r="I1021" s="486"/>
    </row>
    <row r="1022" spans="1:9" ht="12.75" customHeight="1">
      <c r="A1022" s="175"/>
      <c r="B1022" s="175"/>
      <c r="C1022" s="174"/>
      <c r="D1022" s="1836"/>
      <c r="E1022" s="1836"/>
      <c r="F1022" s="1836"/>
      <c r="G1022" s="978"/>
      <c r="I1022" s="486"/>
    </row>
    <row r="1023" spans="1:9" ht="12.75" customHeight="1">
      <c r="A1023" s="175"/>
      <c r="B1023" s="175"/>
      <c r="C1023" s="174"/>
      <c r="D1023" s="1836"/>
      <c r="E1023" s="1836"/>
      <c r="F1023" s="1836"/>
      <c r="G1023" s="978"/>
      <c r="I1023" s="486"/>
    </row>
    <row r="1024" spans="1:9" ht="12.75" customHeight="1">
      <c r="A1024" s="175"/>
      <c r="B1024" s="175"/>
      <c r="C1024" s="174"/>
      <c r="D1024" s="1836"/>
      <c r="E1024" s="1836"/>
      <c r="F1024" s="1836"/>
      <c r="G1024" s="978"/>
      <c r="I1024" s="486"/>
    </row>
    <row r="1025" spans="1:9" ht="12.75" customHeight="1">
      <c r="A1025" s="175"/>
      <c r="B1025" s="175"/>
      <c r="C1025" s="174"/>
      <c r="D1025" s="1836"/>
      <c r="E1025" s="1836"/>
      <c r="F1025" s="1836"/>
      <c r="G1025" s="978"/>
      <c r="I1025" s="486"/>
    </row>
    <row r="1026" spans="1:9" ht="12.75" customHeight="1">
      <c r="A1026" s="175"/>
      <c r="B1026" s="175"/>
      <c r="C1026" s="174"/>
      <c r="D1026" s="1016"/>
      <c r="E1026" s="1016"/>
      <c r="F1026" s="1016"/>
      <c r="G1026" s="978"/>
      <c r="I1026" s="486"/>
    </row>
    <row r="1027" spans="1:9" ht="12.75" customHeight="1">
      <c r="A1027" s="979"/>
      <c r="B1027" s="481" t="s">
        <v>2687</v>
      </c>
      <c r="C1027" s="979"/>
      <c r="D1027" s="1849" t="s">
        <v>1768</v>
      </c>
      <c r="E1027" s="1849"/>
      <c r="F1027" s="1849"/>
      <c r="G1027" s="978"/>
      <c r="I1027" s="486"/>
    </row>
    <row r="1028" spans="1:9" ht="12.75" customHeight="1">
      <c r="A1028" s="979"/>
      <c r="B1028" s="979"/>
      <c r="C1028" s="979"/>
      <c r="D1028" s="1849"/>
      <c r="E1028" s="1849"/>
      <c r="F1028" s="1849"/>
      <c r="G1028" s="978"/>
      <c r="I1028" s="486"/>
    </row>
    <row r="1029" spans="1:9" ht="12.75" customHeight="1">
      <c r="A1029" s="979"/>
      <c r="B1029" s="979"/>
      <c r="C1029" s="979"/>
      <c r="D1029" s="1849"/>
      <c r="E1029" s="1849"/>
      <c r="F1029" s="1849"/>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2687</v>
      </c>
      <c r="C1032" s="174"/>
      <c r="D1032" s="1837" t="s">
        <v>1852</v>
      </c>
      <c r="E1032" s="1837"/>
      <c r="F1032" s="1837"/>
      <c r="G1032" s="978"/>
      <c r="I1032" s="486"/>
    </row>
    <row r="1033" spans="1:9" ht="12.75" customHeight="1">
      <c r="A1033" s="175"/>
      <c r="B1033" s="175"/>
      <c r="C1033" s="174"/>
      <c r="D1033" s="1837"/>
      <c r="E1033" s="1837"/>
      <c r="F1033" s="1837"/>
      <c r="G1033" s="978"/>
      <c r="I1033" s="486"/>
    </row>
    <row r="1034" spans="1:9" ht="12.75" customHeight="1">
      <c r="A1034" s="175"/>
      <c r="B1034" s="175"/>
      <c r="C1034" s="174"/>
      <c r="D1034" s="1837"/>
      <c r="E1034" s="1837"/>
      <c r="F1034" s="1837"/>
      <c r="G1034" s="978"/>
      <c r="I1034" s="486"/>
    </row>
    <row r="1035" spans="1:9" ht="12.75" customHeight="1">
      <c r="A1035" s="175"/>
      <c r="B1035" s="175"/>
      <c r="C1035" s="174"/>
      <c r="D1035" s="1837"/>
      <c r="E1035" s="1837"/>
      <c r="F1035" s="1837"/>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848" t="s">
        <v>1769</v>
      </c>
      <c r="E1037" s="1848"/>
      <c r="F1037" s="1848"/>
      <c r="G1037" s="3"/>
      <c r="I1037" s="486"/>
    </row>
    <row r="1038" spans="1:9" customFormat="1" ht="14.25">
      <c r="A1038" s="175"/>
      <c r="B1038" s="1261"/>
      <c r="C1038" s="350"/>
      <c r="D1038" s="1845" t="s">
        <v>2652</v>
      </c>
      <c r="E1038" s="1845"/>
      <c r="F1038" s="1845"/>
      <c r="G1038" s="3"/>
    </row>
    <row r="1039" spans="1:9" customFormat="1">
      <c r="A1039" s="350"/>
      <c r="B1039" s="350"/>
      <c r="C1039" s="350"/>
      <c r="D1039" s="3"/>
      <c r="E1039" s="3"/>
      <c r="F1039" s="3"/>
      <c r="G1039" s="3"/>
    </row>
    <row r="1040" spans="1:9" customFormat="1" ht="14.25">
      <c r="A1040" s="175"/>
      <c r="B1040" s="1261"/>
      <c r="C1040" s="350"/>
      <c r="D1040" s="1435" t="s">
        <v>2653</v>
      </c>
      <c r="E1040" s="1435"/>
      <c r="F1040" s="1435"/>
      <c r="G1040" s="3"/>
    </row>
    <row r="1041" spans="1:9" customFormat="1" ht="14.25">
      <c r="A1041" s="175"/>
      <c r="B1041" s="175"/>
      <c r="C1041" s="350"/>
      <c r="D1041" s="1435"/>
      <c r="E1041" s="1435"/>
      <c r="F1041" s="1435"/>
      <c r="G1041" s="3"/>
    </row>
    <row r="1042" spans="1:9" ht="12.75" customHeight="1">
      <c r="A1042" s="350"/>
      <c r="B1042" s="350"/>
      <c r="C1042" s="350"/>
      <c r="D1042" s="3"/>
      <c r="E1042" s="3"/>
      <c r="F1042" s="3"/>
      <c r="G1042" s="3"/>
      <c r="I1042" s="486"/>
    </row>
    <row r="1043" spans="1:9" ht="12.75" customHeight="1">
      <c r="A1043" s="350"/>
      <c r="B1043" s="350"/>
      <c r="C1043" s="350"/>
      <c r="D1043" s="1848" t="s">
        <v>1770</v>
      </c>
      <c r="E1043" s="1848"/>
      <c r="F1043" s="1848"/>
      <c r="G1043"/>
      <c r="I1043" s="486"/>
    </row>
    <row r="1044" spans="1:9" ht="12.75" customHeight="1">
      <c r="A1044" s="175"/>
      <c r="B1044" s="481" t="s">
        <v>2850</v>
      </c>
      <c r="C1044" s="350"/>
      <c r="D1044" s="1435" t="s">
        <v>2022</v>
      </c>
      <c r="E1044" s="1435"/>
      <c r="F1044" s="1435"/>
      <c r="G1044"/>
      <c r="I1044" s="486"/>
    </row>
    <row r="1045" spans="1:9" ht="12.75" customHeight="1">
      <c r="A1045" s="175"/>
      <c r="B1045" s="175"/>
      <c r="C1045" s="350"/>
      <c r="D1045" s="1435"/>
      <c r="E1045" s="1435"/>
      <c r="F1045" s="1435"/>
      <c r="G1045"/>
      <c r="I1045" s="486"/>
    </row>
    <row r="1046" spans="1:9" ht="12.75" customHeight="1">
      <c r="A1046" s="175"/>
      <c r="B1046" s="175"/>
      <c r="C1046" s="350"/>
      <c r="D1046" s="1435"/>
      <c r="E1046" s="1435"/>
      <c r="F1046" s="1435"/>
      <c r="G1046"/>
      <c r="I1046" s="486"/>
    </row>
    <row r="1047" spans="1:9" ht="12.75" customHeight="1">
      <c r="A1047" s="175"/>
      <c r="B1047" s="175"/>
      <c r="C1047" s="350"/>
      <c r="D1047" s="1435"/>
      <c r="E1047" s="1435"/>
      <c r="F1047" s="1435"/>
      <c r="G1047"/>
      <c r="I1047" s="486"/>
    </row>
    <row r="1048" spans="1:9" ht="12.75" customHeight="1">
      <c r="A1048" s="175"/>
      <c r="B1048" s="175"/>
      <c r="C1048" s="350"/>
      <c r="D1048" s="1435"/>
      <c r="E1048" s="1435"/>
      <c r="F1048" s="1435"/>
      <c r="G1048"/>
      <c r="I1048" s="486"/>
    </row>
    <row r="1049" spans="1:9" ht="12.75" customHeight="1">
      <c r="A1049" s="175"/>
      <c r="B1049" s="175"/>
      <c r="C1049" s="350"/>
      <c r="D1049" s="1435"/>
      <c r="E1049" s="1435"/>
      <c r="F1049" s="1435"/>
      <c r="G1049"/>
      <c r="I1049" s="486"/>
    </row>
    <row r="1050" spans="1:9" ht="12.75" customHeight="1">
      <c r="A1050" s="175"/>
      <c r="B1050" s="175"/>
      <c r="C1050" s="350"/>
      <c r="D1050" s="1435"/>
      <c r="E1050" s="1435"/>
      <c r="F1050" s="1435"/>
      <c r="G1050"/>
      <c r="I1050" s="486"/>
    </row>
    <row r="1051" spans="1:9" ht="12.75" customHeight="1">
      <c r="A1051" s="175"/>
      <c r="B1051" s="175"/>
      <c r="C1051" s="350"/>
      <c r="D1051" s="1435"/>
      <c r="E1051" s="1435"/>
      <c r="F1051" s="1435"/>
      <c r="G1051"/>
      <c r="I1051" s="486"/>
    </row>
    <row r="1052" spans="1:9" ht="12.75" customHeight="1">
      <c r="A1052" s="175"/>
      <c r="B1052" s="175"/>
      <c r="C1052" s="350"/>
      <c r="D1052" s="1435"/>
      <c r="E1052" s="1435"/>
      <c r="F1052" s="1435"/>
      <c r="G1052"/>
      <c r="I1052" s="486"/>
    </row>
    <row r="1053" spans="1:9" ht="12.75" customHeight="1">
      <c r="A1053" s="175"/>
      <c r="B1053" s="175"/>
      <c r="C1053" s="350"/>
      <c r="D1053" s="1435"/>
      <c r="E1053" s="1435"/>
      <c r="F1053" s="1435"/>
      <c r="G1053"/>
      <c r="I1053" s="486"/>
    </row>
    <row r="1054" spans="1:9" ht="12.75" customHeight="1">
      <c r="A1054" s="175"/>
      <c r="B1054" s="175"/>
      <c r="C1054" s="350"/>
      <c r="D1054" s="1435"/>
      <c r="E1054" s="1435"/>
      <c r="F1054" s="1435"/>
      <c r="G1054"/>
      <c r="I1054" s="486"/>
    </row>
    <row r="1055" spans="1:9" ht="12.75" customHeight="1">
      <c r="A1055" s="175"/>
      <c r="B1055" s="175"/>
      <c r="C1055" s="350"/>
      <c r="D1055" s="1435"/>
      <c r="E1055" s="1435"/>
      <c r="F1055" s="1435"/>
      <c r="G1055"/>
      <c r="I1055" s="486"/>
    </row>
    <row r="1056" spans="1:9" ht="12.75" customHeight="1">
      <c r="A1056" s="175"/>
      <c r="B1056" s="175"/>
      <c r="C1056" s="350"/>
      <c r="D1056" s="1435"/>
      <c r="E1056" s="1435"/>
      <c r="F1056" s="1435"/>
      <c r="G1056"/>
      <c r="I1056" s="486"/>
    </row>
    <row r="1057" spans="1:9" ht="12.75" customHeight="1">
      <c r="A1057" s="175"/>
      <c r="B1057" s="175"/>
      <c r="C1057" s="350"/>
      <c r="D1057" s="1435"/>
      <c r="E1057" s="1435"/>
      <c r="F1057" s="1435"/>
      <c r="G1057"/>
      <c r="I1057" s="486"/>
    </row>
    <row r="1058" spans="1:9" ht="12.75" customHeight="1">
      <c r="A1058" s="175"/>
      <c r="B1058" s="175"/>
      <c r="C1058" s="350"/>
      <c r="D1058" s="1435"/>
      <c r="E1058" s="1435"/>
      <c r="F1058" s="1435"/>
      <c r="G1058" s="3"/>
      <c r="I1058" s="486"/>
    </row>
    <row r="1059" spans="1:9" ht="12.75" customHeight="1">
      <c r="A1059" s="350"/>
      <c r="B1059" s="350"/>
      <c r="C1059" s="350"/>
      <c r="D1059" s="3"/>
      <c r="E1059" s="3"/>
      <c r="F1059" s="3"/>
      <c r="G1059" s="3"/>
      <c r="I1059" s="486"/>
    </row>
    <row r="1060" spans="1:9" ht="12.75" customHeight="1">
      <c r="A1060" s="1851" t="s">
        <v>1771</v>
      </c>
      <c r="B1060" s="1851"/>
      <c r="C1060" s="1851"/>
      <c r="D1060" s="1851"/>
      <c r="E1060" s="1851"/>
      <c r="F1060" s="1851"/>
      <c r="G1060" s="1851"/>
      <c r="H1060" s="1018"/>
      <c r="I1060" s="1142"/>
    </row>
    <row r="1061" spans="1:9" ht="12.75" customHeight="1">
      <c r="A1061" s="118"/>
      <c r="B1061" s="118"/>
      <c r="C1061" s="350"/>
      <c r="D1061" s="3"/>
      <c r="E1061" s="3"/>
      <c r="F1061" s="3"/>
      <c r="G1061" s="3"/>
      <c r="I1061" s="486"/>
    </row>
    <row r="1062" spans="1:9" ht="12.75" customHeight="1">
      <c r="A1062" s="350"/>
      <c r="B1062" s="350"/>
      <c r="C1062" s="979"/>
      <c r="D1062" s="1848" t="s">
        <v>1791</v>
      </c>
      <c r="E1062" s="1848"/>
      <c r="F1062" s="1848"/>
      <c r="G1062" s="3"/>
      <c r="I1062" s="486"/>
    </row>
    <row r="1063" spans="1:9" ht="12.75" customHeight="1">
      <c r="A1063" s="172"/>
      <c r="B1063" s="172"/>
      <c r="C1063" s="172"/>
      <c r="D1063" s="1845" t="s">
        <v>1772</v>
      </c>
      <c r="E1063" s="1845"/>
      <c r="F1063" s="1845"/>
      <c r="G1063" s="3"/>
      <c r="I1063" s="486"/>
    </row>
    <row r="1064" spans="1:9" ht="12.75" customHeight="1">
      <c r="A1064" s="172"/>
      <c r="B1064" s="172"/>
      <c r="C1064" s="172"/>
      <c r="D1064" s="3"/>
      <c r="E1064" s="3"/>
      <c r="F1064" s="978"/>
      <c r="G1064"/>
      <c r="I1064" s="486"/>
    </row>
    <row r="1065" spans="1:9" ht="12.75" customHeight="1">
      <c r="A1065" s="350"/>
      <c r="B1065" s="481" t="s">
        <v>2850</v>
      </c>
      <c r="C1065" s="350"/>
      <c r="D1065" s="1859" t="s">
        <v>1881</v>
      </c>
      <c r="E1065" s="1859"/>
      <c r="F1065" s="1859"/>
      <c r="G1065"/>
      <c r="I1065" s="486"/>
    </row>
    <row r="1066" spans="1:9" ht="12.75" customHeight="1">
      <c r="A1066" s="350"/>
      <c r="B1066" s="350"/>
      <c r="C1066" s="350"/>
      <c r="D1066" s="1859"/>
      <c r="E1066" s="1859"/>
      <c r="F1066" s="1859"/>
      <c r="G1066"/>
      <c r="I1066" s="486"/>
    </row>
    <row r="1067" spans="1:9" ht="12.75" customHeight="1">
      <c r="A1067" s="350"/>
      <c r="B1067" s="350"/>
      <c r="C1067" s="350"/>
      <c r="D1067" s="1028"/>
      <c r="E1067" s="1026" t="s">
        <v>1882</v>
      </c>
      <c r="F1067" s="1028"/>
      <c r="G1067"/>
      <c r="I1067" s="486"/>
    </row>
    <row r="1068" spans="1:9" ht="12.75" customHeight="1">
      <c r="A1068" s="350"/>
      <c r="B1068" s="350"/>
      <c r="C1068" s="350"/>
      <c r="D1068" s="1362" t="s">
        <v>1880</v>
      </c>
      <c r="E1068" s="1362"/>
      <c r="F1068" s="1362"/>
      <c r="G1068"/>
      <c r="I1068" s="486"/>
    </row>
    <row r="1069" spans="1:9" ht="12.75" customHeight="1">
      <c r="A1069" s="350"/>
      <c r="B1069" s="350"/>
      <c r="C1069" s="350"/>
      <c r="D1069" s="1362"/>
      <c r="E1069" s="1362"/>
      <c r="F1069" s="1362"/>
      <c r="G1069"/>
      <c r="I1069" s="486"/>
    </row>
    <row r="1070" spans="1:9" ht="12.75" customHeight="1">
      <c r="A1070" s="174"/>
      <c r="B1070" s="174"/>
      <c r="C1070" s="174"/>
      <c r="D1070" s="1362"/>
      <c r="E1070" s="1362"/>
      <c r="F1070" s="1362"/>
      <c r="G1070"/>
      <c r="I1070" s="486"/>
    </row>
    <row r="1071" spans="1:9" ht="12.75" customHeight="1">
      <c r="A1071" s="174"/>
      <c r="B1071" s="174"/>
      <c r="C1071" s="174"/>
      <c r="D1071" s="1362"/>
      <c r="E1071" s="1362"/>
      <c r="F1071" s="1362"/>
      <c r="G1071"/>
      <c r="I1071" s="486"/>
    </row>
    <row r="1072" spans="1:9" ht="12.75" customHeight="1">
      <c r="A1072" s="174"/>
      <c r="B1072" s="174"/>
      <c r="C1072" s="174"/>
      <c r="D1072" s="332"/>
      <c r="E1072" s="332"/>
      <c r="F1072" s="332"/>
      <c r="G1072"/>
      <c r="I1072" s="486"/>
    </row>
    <row r="1073" spans="1:9" ht="12.75" customHeight="1">
      <c r="A1073" s="174"/>
      <c r="B1073" s="481" t="s">
        <v>2687</v>
      </c>
      <c r="C1073" s="174"/>
      <c r="D1073" s="1435" t="s">
        <v>1773</v>
      </c>
      <c r="E1073" s="1435"/>
      <c r="F1073" s="1435"/>
      <c r="G1073"/>
      <c r="I1073" s="486"/>
    </row>
    <row r="1074" spans="1:9" ht="12.75" customHeight="1">
      <c r="A1074" s="174"/>
      <c r="B1074" s="174"/>
      <c r="C1074" s="174"/>
      <c r="D1074" s="1435"/>
      <c r="E1074" s="1435"/>
      <c r="F1074" s="1435"/>
      <c r="G1074"/>
      <c r="I1074" s="486"/>
    </row>
    <row r="1075" spans="1:9" ht="12.75" customHeight="1">
      <c r="A1075" s="174"/>
      <c r="B1075" s="174"/>
      <c r="C1075" s="174"/>
      <c r="D1075" s="1435"/>
      <c r="E1075" s="1435"/>
      <c r="F1075" s="1435"/>
      <c r="G1075"/>
      <c r="I1075" s="486"/>
    </row>
    <row r="1076" spans="1:9" ht="12.75" customHeight="1">
      <c r="A1076" s="174"/>
      <c r="B1076" s="174"/>
      <c r="C1076" s="174"/>
      <c r="D1076" s="1435"/>
      <c r="E1076" s="1435"/>
      <c r="F1076" s="1435"/>
      <c r="G1076"/>
      <c r="I1076" s="486"/>
    </row>
    <row r="1077" spans="1:9" ht="12.75" customHeight="1">
      <c r="A1077" s="174"/>
      <c r="B1077" s="174"/>
      <c r="C1077" s="174"/>
      <c r="D1077" s="437"/>
      <c r="E1077" s="437"/>
      <c r="F1077" s="437"/>
      <c r="G1077"/>
      <c r="I1077" s="486"/>
    </row>
    <row r="1078" spans="1:9" ht="12.75" customHeight="1">
      <c r="A1078" s="174"/>
      <c r="B1078" s="481" t="s">
        <v>2687</v>
      </c>
      <c r="C1078" s="174"/>
      <c r="D1078" s="1435" t="s">
        <v>2176</v>
      </c>
      <c r="E1078" s="1435"/>
      <c r="F1078" s="1435"/>
      <c r="G1078"/>
      <c r="I1078" s="486"/>
    </row>
    <row r="1079" spans="1:9" ht="12.75" customHeight="1">
      <c r="A1079" s="174"/>
      <c r="B1079" s="174"/>
      <c r="C1079" s="174"/>
      <c r="D1079" s="1435"/>
      <c r="E1079" s="1435"/>
      <c r="F1079" s="1435"/>
      <c r="G1079"/>
      <c r="I1079" s="486"/>
    </row>
    <row r="1080" spans="1:9" ht="12.75" customHeight="1">
      <c r="A1080" s="174"/>
      <c r="B1080" s="174"/>
      <c r="C1080" s="174"/>
      <c r="D1080" s="437"/>
      <c r="E1080" s="437"/>
      <c r="F1080" s="437"/>
      <c r="G1080"/>
      <c r="I1080" s="486"/>
    </row>
    <row r="1081" spans="1:9" ht="12.75" customHeight="1">
      <c r="A1081" s="175"/>
      <c r="B1081" s="481" t="s">
        <v>2850</v>
      </c>
      <c r="C1081" s="350"/>
      <c r="D1081" s="1845" t="s">
        <v>1774</v>
      </c>
      <c r="E1081" s="1845"/>
      <c r="F1081" s="1845"/>
      <c r="G1081"/>
      <c r="I1081" s="486"/>
    </row>
    <row r="1082" spans="1:9" ht="12.75" customHeight="1">
      <c r="A1082" s="350"/>
      <c r="B1082" s="350"/>
      <c r="C1082" s="350"/>
      <c r="D1082" s="3"/>
      <c r="E1082" s="3"/>
      <c r="F1082" s="3"/>
      <c r="G1082"/>
      <c r="I1082" s="486"/>
    </row>
    <row r="1083" spans="1:9" ht="12.75" customHeight="1">
      <c r="A1083" s="175"/>
      <c r="B1083" s="481" t="s">
        <v>2850</v>
      </c>
      <c r="C1083" s="350"/>
      <c r="D1083" s="1845" t="s">
        <v>1775</v>
      </c>
      <c r="E1083" s="1845"/>
      <c r="F1083" s="1845"/>
      <c r="G1083"/>
      <c r="I1083" s="486"/>
    </row>
    <row r="1084" spans="1:9" ht="12.75" customHeight="1">
      <c r="A1084" s="350"/>
      <c r="B1084" s="350"/>
      <c r="C1084" s="350"/>
      <c r="D1084" s="118"/>
      <c r="E1084" s="3"/>
      <c r="F1084" s="3"/>
      <c r="G1084"/>
      <c r="I1084" s="486"/>
    </row>
    <row r="1085" spans="1:9" ht="12.75" customHeight="1">
      <c r="A1085" s="175"/>
      <c r="B1085" s="481" t="s">
        <v>2850</v>
      </c>
      <c r="C1085" s="350"/>
      <c r="D1085" s="1845" t="s">
        <v>1776</v>
      </c>
      <c r="E1085" s="1845"/>
      <c r="F1085" s="1845"/>
      <c r="G1085"/>
      <c r="I1085" s="486"/>
    </row>
    <row r="1086" spans="1:9" ht="12.75" customHeight="1">
      <c r="A1086" s="350"/>
      <c r="B1086" s="350"/>
      <c r="C1086" s="350"/>
      <c r="D1086" s="118"/>
      <c r="E1086" s="3"/>
      <c r="F1086" s="3"/>
      <c r="G1086"/>
      <c r="I1086" s="486"/>
    </row>
    <row r="1087" spans="1:9" ht="12.75" customHeight="1">
      <c r="A1087" s="175"/>
      <c r="B1087" s="481" t="s">
        <v>2687</v>
      </c>
      <c r="C1087" s="350"/>
      <c r="D1087" s="1435" t="s">
        <v>1777</v>
      </c>
      <c r="E1087" s="1435"/>
      <c r="F1087" s="1435"/>
      <c r="G1087"/>
      <c r="I1087" s="486"/>
    </row>
    <row r="1088" spans="1:9" ht="12.75" customHeight="1">
      <c r="A1088" s="175"/>
      <c r="B1088" s="175"/>
      <c r="C1088" s="350"/>
      <c r="D1088" s="1435"/>
      <c r="E1088" s="1435"/>
      <c r="F1088" s="1435"/>
      <c r="G1088"/>
      <c r="I1088" s="486"/>
    </row>
    <row r="1089" spans="1:9" ht="12.75" customHeight="1">
      <c r="A1089" s="175"/>
      <c r="B1089" s="175"/>
      <c r="C1089" s="350"/>
      <c r="D1089" s="118"/>
      <c r="E1089" s="3"/>
      <c r="F1089" s="3"/>
      <c r="G1089" s="3"/>
      <c r="I1089" s="486"/>
    </row>
    <row r="1090" spans="1:9" ht="12.75" customHeight="1">
      <c r="A1090" s="254"/>
      <c r="B1090" s="481" t="s">
        <v>2687</v>
      </c>
      <c r="C1090" s="990"/>
      <c r="D1090" s="1860" t="s">
        <v>1778</v>
      </c>
      <c r="E1090" s="1860"/>
      <c r="F1090" s="1860"/>
      <c r="G1090" s="991"/>
      <c r="I1090" s="486"/>
    </row>
    <row r="1091" spans="1:9" ht="12.75" customHeight="1">
      <c r="A1091" s="990"/>
      <c r="B1091" s="990"/>
      <c r="C1091" s="990"/>
      <c r="D1091" s="1860"/>
      <c r="E1091" s="1860"/>
      <c r="F1091" s="1860"/>
      <c r="G1091" s="991"/>
      <c r="I1091" s="486"/>
    </row>
    <row r="1092" spans="1:9" ht="12.75" customHeight="1">
      <c r="A1092" s="990"/>
      <c r="B1092" s="990"/>
      <c r="C1092" s="990"/>
      <c r="D1092" s="974"/>
      <c r="E1092" s="991"/>
      <c r="F1092" s="991"/>
      <c r="G1092" s="991"/>
      <c r="I1092" s="486"/>
    </row>
    <row r="1093" spans="1:9" ht="12.75" customHeight="1">
      <c r="A1093" s="254"/>
      <c r="B1093" s="481" t="s">
        <v>2687</v>
      </c>
      <c r="C1093" s="990"/>
      <c r="D1093" s="1857" t="s">
        <v>1779</v>
      </c>
      <c r="E1093" s="1857"/>
      <c r="F1093" s="1857"/>
      <c r="G1093" s="991"/>
      <c r="I1093" s="486"/>
    </row>
    <row r="1094" spans="1:9" ht="12.75" customHeight="1">
      <c r="A1094" s="990"/>
      <c r="B1094" s="990"/>
      <c r="C1094" s="990"/>
      <c r="D1094" s="974"/>
      <c r="E1094" s="991"/>
      <c r="F1094" s="991"/>
      <c r="G1094" s="991"/>
      <c r="I1094" s="486"/>
    </row>
    <row r="1095" spans="1:9" ht="12.75" customHeight="1">
      <c r="A1095" s="175"/>
      <c r="B1095" s="481" t="s">
        <v>2687</v>
      </c>
      <c r="C1095" s="350"/>
      <c r="D1095" s="1845" t="s">
        <v>1780</v>
      </c>
      <c r="E1095" s="1845"/>
      <c r="F1095" s="1845"/>
      <c r="G1095" s="3"/>
      <c r="I1095" s="486"/>
    </row>
    <row r="1096" spans="1:9" ht="12.75" customHeight="1">
      <c r="A1096" s="175"/>
      <c r="B1096" s="175"/>
      <c r="C1096" s="350"/>
      <c r="D1096" s="118"/>
      <c r="E1096" s="3"/>
      <c r="F1096" s="3"/>
      <c r="G1096" s="3"/>
      <c r="I1096" s="486"/>
    </row>
    <row r="1097" spans="1:9" ht="12.75" customHeight="1">
      <c r="A1097" s="175"/>
      <c r="B1097" s="481" t="s">
        <v>2687</v>
      </c>
      <c r="C1097" s="350"/>
      <c r="D1097" s="1435" t="s">
        <v>1781</v>
      </c>
      <c r="E1097" s="1435"/>
      <c r="F1097" s="1435"/>
      <c r="G1097" s="3"/>
      <c r="I1097" s="486"/>
    </row>
    <row r="1098" spans="1:9" ht="12.75" customHeight="1">
      <c r="A1098" s="175"/>
      <c r="B1098" s="175"/>
      <c r="C1098" s="350"/>
      <c r="D1098" s="1435"/>
      <c r="E1098" s="1435"/>
      <c r="F1098" s="1435"/>
      <c r="G1098" s="3"/>
      <c r="I1098" s="486"/>
    </row>
    <row r="1099" spans="1:9" ht="12.75" customHeight="1">
      <c r="A1099" s="350"/>
      <c r="B1099" s="350"/>
      <c r="C1099" s="350"/>
      <c r="D1099" s="3"/>
      <c r="E1099" s="3"/>
      <c r="F1099" s="3"/>
      <c r="G1099" s="3"/>
      <c r="I1099" s="486"/>
    </row>
    <row r="1100" spans="1:9" ht="12.75" customHeight="1">
      <c r="A1100" s="1851" t="s">
        <v>1782</v>
      </c>
      <c r="B1100" s="1851"/>
      <c r="C1100" s="1851"/>
      <c r="D1100" s="1851"/>
      <c r="E1100" s="1851"/>
      <c r="F1100" s="1851"/>
      <c r="G1100" s="1851"/>
      <c r="H1100" s="1018"/>
      <c r="I1100" s="1142"/>
    </row>
    <row r="1101" spans="1:9" ht="12.75" customHeight="1">
      <c r="A1101" s="350"/>
      <c r="B1101" s="350"/>
      <c r="C1101" s="350"/>
      <c r="D1101" s="3"/>
      <c r="E1101" s="3"/>
      <c r="F1101" s="3"/>
      <c r="G1101" s="3"/>
      <c r="I1101" s="486"/>
    </row>
    <row r="1102" spans="1:9" ht="12.75" customHeight="1">
      <c r="A1102" s="350"/>
      <c r="B1102" s="350"/>
      <c r="C1102" s="350"/>
      <c r="D1102" s="1852" t="s">
        <v>1783</v>
      </c>
      <c r="E1102" s="1852"/>
      <c r="F1102" s="1852"/>
      <c r="G1102" s="3"/>
      <c r="I1102" s="486"/>
    </row>
    <row r="1103" spans="1:9" ht="12.75" customHeight="1">
      <c r="A1103" s="350"/>
      <c r="B1103" s="350"/>
      <c r="C1103" s="350"/>
      <c r="D1103" s="1857" t="s">
        <v>1784</v>
      </c>
      <c r="E1103" s="1857"/>
      <c r="F1103" s="1857"/>
      <c r="G1103" s="3"/>
      <c r="I1103" s="486"/>
    </row>
    <row r="1104" spans="1:9" ht="12.75" customHeight="1">
      <c r="A1104" s="172"/>
      <c r="B1104" s="172"/>
      <c r="C1104" s="172"/>
      <c r="D1104" s="3"/>
      <c r="E1104" s="3"/>
      <c r="F1104" s="3"/>
      <c r="G1104" s="3"/>
      <c r="I1104" s="486"/>
    </row>
    <row r="1105" spans="1:9" ht="12.75" customHeight="1">
      <c r="A1105" s="175"/>
      <c r="B1105" s="175"/>
      <c r="C1105" s="174"/>
      <c r="D1105" s="1852" t="s">
        <v>1795</v>
      </c>
      <c r="E1105" s="1852"/>
      <c r="F1105" s="1852"/>
      <c r="G1105" s="3"/>
      <c r="I1105" s="486"/>
    </row>
    <row r="1106" spans="1:9" ht="12.75" customHeight="1">
      <c r="A1106" s="350"/>
      <c r="B1106" s="481" t="s">
        <v>2850</v>
      </c>
      <c r="C1106" s="350"/>
      <c r="D1106" s="1857" t="s">
        <v>1268</v>
      </c>
      <c r="E1106" s="1857"/>
      <c r="F1106" s="1857"/>
      <c r="G1106" s="3"/>
      <c r="I1106" s="486"/>
    </row>
    <row r="1107" spans="1:9" ht="12.75" customHeight="1">
      <c r="A1107" s="350"/>
      <c r="B1107" s="175"/>
      <c r="C1107" s="350"/>
      <c r="D1107" s="1857" t="s">
        <v>1785</v>
      </c>
      <c r="E1107" s="1857"/>
      <c r="F1107" s="1857"/>
      <c r="G1107" s="3"/>
      <c r="I1107" s="486"/>
    </row>
    <row r="1108" spans="1:9" ht="12.75" customHeight="1">
      <c r="A1108" s="350"/>
      <c r="B1108" s="350"/>
      <c r="C1108" s="350"/>
      <c r="D1108" s="1857"/>
      <c r="E1108" s="1857"/>
      <c r="F1108" s="1857"/>
      <c r="G1108" s="3"/>
      <c r="I1108" s="486"/>
    </row>
    <row r="1109" spans="1:9" ht="12.75" customHeight="1">
      <c r="A1109" s="1851" t="s">
        <v>1792</v>
      </c>
      <c r="B1109" s="1851"/>
      <c r="C1109" s="1851"/>
      <c r="D1109" s="1851"/>
      <c r="E1109" s="1851"/>
      <c r="F1109" s="1851"/>
      <c r="G1109" s="1851"/>
      <c r="H1109" s="1018"/>
      <c r="I1109" s="1142"/>
    </row>
    <row r="1110" spans="1:9" ht="12.75" customHeight="1">
      <c r="A1110" s="118"/>
      <c r="B1110" s="118"/>
      <c r="C1110" s="350"/>
      <c r="D1110" s="3"/>
      <c r="E1110" s="3"/>
      <c r="F1110" s="3"/>
      <c r="G1110" s="3"/>
      <c r="I1110" s="486"/>
    </row>
    <row r="1111" spans="1:9" ht="12.75" hidden="1" customHeight="1">
      <c r="A1111" s="118"/>
      <c r="B1111" s="398"/>
      <c r="D1111" s="1856" t="s">
        <v>1269</v>
      </c>
      <c r="E1111" s="1856"/>
      <c r="F1111" s="1856"/>
      <c r="G1111" s="3"/>
      <c r="I1111" s="486"/>
    </row>
    <row r="1112" spans="1:9" ht="12.75" hidden="1" customHeight="1">
      <c r="A1112" s="118"/>
      <c r="B1112" s="481" t="s">
        <v>306</v>
      </c>
      <c r="D1112" s="1855" t="s">
        <v>1268</v>
      </c>
      <c r="E1112" s="1855"/>
      <c r="F1112" s="1855"/>
      <c r="G1112" s="3"/>
      <c r="I1112" s="486"/>
    </row>
    <row r="1113" spans="1:9" ht="12.75" hidden="1" customHeight="1">
      <c r="A1113" s="118"/>
      <c r="B1113" s="398"/>
      <c r="D1113" s="1855" t="s">
        <v>1793</v>
      </c>
      <c r="E1113" s="1855"/>
      <c r="F1113" s="1855"/>
      <c r="G1113" s="3"/>
      <c r="I1113" s="486"/>
    </row>
    <row r="1114" spans="1:9" ht="12.75" hidden="1" customHeight="1">
      <c r="A1114" s="118"/>
      <c r="B1114" s="398"/>
      <c r="D1114" s="440"/>
      <c r="E1114" s="440"/>
      <c r="F1114" s="440"/>
      <c r="G1114" s="3"/>
      <c r="I1114" s="486"/>
    </row>
    <row r="1115" spans="1:9" ht="12.75" customHeight="1">
      <c r="A1115" s="118"/>
      <c r="B1115" s="118"/>
      <c r="C1115" s="350"/>
      <c r="D1115" s="1858" t="s">
        <v>1064</v>
      </c>
      <c r="E1115" s="1858"/>
      <c r="F1115" s="1858"/>
      <c r="G1115" s="3"/>
      <c r="I1115" s="486"/>
    </row>
    <row r="1116" spans="1:9" ht="12.75" customHeight="1">
      <c r="A1116" s="316"/>
      <c r="B1116" s="316"/>
      <c r="C1116" s="316"/>
      <c r="D1116" s="1847" t="s">
        <v>2193</v>
      </c>
      <c r="E1116" s="1847"/>
      <c r="F1116" s="1847"/>
      <c r="G1116" s="98"/>
      <c r="I1116" s="486"/>
    </row>
    <row r="1117" spans="1:9" ht="12.75" customHeight="1">
      <c r="A1117" s="175"/>
      <c r="B1117" s="481" t="s">
        <v>2687</v>
      </c>
      <c r="C1117" s="350"/>
      <c r="D1117" s="1847" t="s">
        <v>983</v>
      </c>
      <c r="E1117" s="1847"/>
      <c r="F1117" s="1847"/>
      <c r="G1117" s="3"/>
      <c r="I1117" s="486"/>
    </row>
    <row r="1118" spans="1:9" ht="12.75" customHeight="1">
      <c r="A1118" s="350"/>
      <c r="B1118" s="350"/>
      <c r="C1118" s="350"/>
      <c r="D1118" s="1026" t="s">
        <v>1883</v>
      </c>
      <c r="E1118" s="96"/>
      <c r="F1118" s="96"/>
      <c r="G1118" s="3"/>
      <c r="I1118" s="486"/>
    </row>
    <row r="1119" spans="1:9">
      <c r="A1119" s="398"/>
      <c r="B1119" s="398"/>
      <c r="C1119" s="398"/>
      <c r="I1119" s="486"/>
    </row>
    <row r="1120" spans="1:9">
      <c r="A1120" s="1851" t="s">
        <v>2604</v>
      </c>
      <c r="B1120" s="1851"/>
      <c r="C1120" s="1851"/>
      <c r="D1120" s="1851"/>
      <c r="E1120" s="1851"/>
      <c r="F1120" s="1851"/>
      <c r="G1120" s="1851"/>
      <c r="H1120" s="1018"/>
      <c r="I1120" s="1142"/>
    </row>
    <row r="1121" spans="1:9">
      <c r="A1121" s="398"/>
      <c r="B1121" s="398"/>
      <c r="C1121" s="398"/>
      <c r="I1121" s="486"/>
    </row>
    <row r="1122" spans="1:9">
      <c r="A1122" s="398"/>
      <c r="B1122" s="398"/>
      <c r="C1122" s="398"/>
      <c r="D1122" s="400" t="s">
        <v>2603</v>
      </c>
      <c r="I1122" s="486"/>
    </row>
    <row r="1123" spans="1:9">
      <c r="A1123" s="398"/>
      <c r="B1123" s="398"/>
      <c r="C1123" s="398"/>
      <c r="D1123" s="398" t="s">
        <v>2607</v>
      </c>
      <c r="I1123" s="486"/>
    </row>
    <row r="1124" spans="1:9">
      <c r="A1124" s="398"/>
      <c r="B1124" s="398"/>
      <c r="C1124" s="398"/>
      <c r="D1124" s="400"/>
      <c r="I1124" s="486"/>
    </row>
    <row r="1125" spans="1:9">
      <c r="A1125" s="398"/>
      <c r="B1125" s="481" t="s">
        <v>2687</v>
      </c>
      <c r="C1125" s="398"/>
      <c r="D1125" s="1862" t="s">
        <v>2654</v>
      </c>
      <c r="E1125" s="1862"/>
      <c r="F1125" s="1862"/>
      <c r="I1125" s="486"/>
    </row>
    <row r="1126" spans="1:9">
      <c r="A1126" s="398"/>
      <c r="B1126" s="398"/>
      <c r="C1126" s="398"/>
      <c r="D1126" s="1862"/>
      <c r="E1126" s="1862"/>
      <c r="F1126" s="1862"/>
      <c r="I1126" s="486"/>
    </row>
    <row r="1127" spans="1:9">
      <c r="A1127" s="398"/>
      <c r="B1127" s="398"/>
      <c r="C1127" s="398"/>
      <c r="D1127" s="1862"/>
      <c r="E1127" s="1862"/>
      <c r="F1127" s="1862"/>
      <c r="I1127" s="486"/>
    </row>
    <row r="1128" spans="1:9">
      <c r="A1128" s="398"/>
      <c r="B1128" s="398"/>
      <c r="C1128" s="398"/>
      <c r="D1128" s="1862"/>
      <c r="E1128" s="1862"/>
      <c r="F1128" s="1862"/>
      <c r="I1128" s="486"/>
    </row>
    <row r="1129" spans="1:9">
      <c r="A1129" s="398"/>
      <c r="B1129" s="398"/>
      <c r="C1129" s="398"/>
      <c r="I1129" s="486"/>
    </row>
    <row r="1130" spans="1:9">
      <c r="A1130" s="398"/>
      <c r="B1130" s="398"/>
      <c r="C1130" s="398"/>
      <c r="D1130" s="400" t="s">
        <v>1304</v>
      </c>
      <c r="I1130" s="486"/>
    </row>
    <row r="1131" spans="1:9">
      <c r="A1131" s="398"/>
      <c r="B1131" s="398"/>
      <c r="C1131" s="398"/>
      <c r="D1131" s="398" t="s">
        <v>2608</v>
      </c>
      <c r="I1131" s="486"/>
    </row>
    <row r="1132" spans="1:9">
      <c r="A1132" s="398"/>
      <c r="B1132" s="398"/>
      <c r="C1132" s="398"/>
      <c r="I1132" s="486"/>
    </row>
    <row r="1133" spans="1:9">
      <c r="A1133" s="398"/>
      <c r="B1133" s="481" t="s">
        <v>2850</v>
      </c>
      <c r="C1133" s="398"/>
      <c r="D1133" s="398" t="s">
        <v>1794</v>
      </c>
      <c r="I1133" s="486"/>
    </row>
    <row r="1134" spans="1:9">
      <c r="A1134" s="398"/>
      <c r="B1134" s="398"/>
      <c r="C1134" s="398"/>
      <c r="I1134" s="486"/>
    </row>
    <row r="1135" spans="1:9">
      <c r="A1135" s="398"/>
      <c r="B1135" s="481" t="s">
        <v>2687</v>
      </c>
      <c r="C1135" s="398"/>
      <c r="D1135" s="1862" t="s">
        <v>1796</v>
      </c>
      <c r="E1135" s="1862"/>
      <c r="F1135" s="1862"/>
      <c r="I1135" s="486"/>
    </row>
    <row r="1136" spans="1:9">
      <c r="A1136" s="398"/>
      <c r="B1136" s="398"/>
      <c r="C1136" s="398"/>
      <c r="D1136" s="1862"/>
      <c r="E1136" s="1862"/>
      <c r="F1136" s="1862"/>
      <c r="I1136" s="486"/>
    </row>
    <row r="1137" spans="1:9">
      <c r="A1137" s="398"/>
      <c r="B1137" s="398"/>
      <c r="C1137" s="398"/>
      <c r="D1137" s="1862"/>
      <c r="E1137" s="1862"/>
      <c r="F1137" s="1862"/>
      <c r="I1137" s="486"/>
    </row>
    <row r="1138" spans="1:9">
      <c r="A1138" s="398"/>
      <c r="B1138" s="398"/>
      <c r="C1138" s="398"/>
      <c r="D1138" s="1862"/>
      <c r="E1138" s="1862"/>
      <c r="F1138" s="1862"/>
      <c r="I1138" s="486"/>
    </row>
    <row r="1139" spans="1:9">
      <c r="A1139" s="398"/>
      <c r="B1139" s="398"/>
      <c r="C1139" s="398"/>
      <c r="D1139" s="1862"/>
      <c r="E1139" s="1862"/>
      <c r="F1139" s="1862"/>
      <c r="I1139" s="486"/>
    </row>
    <row r="1140" spans="1:9">
      <c r="A1140" s="398"/>
      <c r="B1140" s="398"/>
      <c r="C1140" s="398"/>
      <c r="I1140" s="486"/>
    </row>
    <row r="1141" spans="1:9">
      <c r="A1141" s="1851" t="s">
        <v>1797</v>
      </c>
      <c r="B1141" s="1851"/>
      <c r="C1141" s="1851"/>
      <c r="D1141" s="1851"/>
      <c r="E1141" s="1851"/>
      <c r="F1141" s="1851"/>
      <c r="G1141" s="1851"/>
      <c r="H1141" s="1018"/>
      <c r="I1141" s="1142"/>
    </row>
    <row r="1142" spans="1:9">
      <c r="A1142" s="398"/>
      <c r="B1142" s="398"/>
      <c r="C1142" s="398"/>
      <c r="I1142" s="486"/>
    </row>
    <row r="1143" spans="1:9">
      <c r="A1143" s="398"/>
      <c r="B1143" s="398"/>
      <c r="C1143" s="398"/>
      <c r="I1143" s="486"/>
    </row>
    <row r="1144" spans="1:9">
      <c r="A1144" s="398"/>
      <c r="B1144" s="481" t="s">
        <v>2850</v>
      </c>
      <c r="C1144" s="398"/>
      <c r="D1144" s="523" t="s">
        <v>1800</v>
      </c>
      <c r="I1144" s="486"/>
    </row>
    <row r="1145" spans="1:9">
      <c r="A1145" s="398"/>
      <c r="B1145" s="398"/>
      <c r="C1145" s="398"/>
      <c r="D1145" s="523" t="s">
        <v>2617</v>
      </c>
      <c r="I1145" s="486"/>
    </row>
    <row r="1146" spans="1:9">
      <c r="A1146" s="398"/>
      <c r="B1146" s="398"/>
      <c r="C1146" s="398"/>
      <c r="D1146" s="523"/>
      <c r="I1146" s="486"/>
    </row>
    <row r="1147" spans="1:9">
      <c r="A1147" s="398"/>
      <c r="B1147" s="481" t="s">
        <v>2687</v>
      </c>
      <c r="C1147" s="398"/>
      <c r="D1147" s="1298" t="s">
        <v>2610</v>
      </c>
      <c r="E1147" s="1298"/>
      <c r="F1147" s="1298"/>
      <c r="I1147" s="486"/>
    </row>
    <row r="1148" spans="1:9">
      <c r="A1148" s="398"/>
      <c r="B1148" s="398"/>
      <c r="C1148" s="398"/>
      <c r="D1148" s="1298"/>
      <c r="E1148" s="1298"/>
      <c r="F1148" s="1298"/>
      <c r="I1148" s="486"/>
    </row>
    <row r="1149" spans="1:9">
      <c r="A1149" s="398"/>
      <c r="B1149" s="398"/>
      <c r="C1149" s="398"/>
      <c r="D1149" s="523" t="s">
        <v>2609</v>
      </c>
      <c r="I1149" s="486"/>
    </row>
    <row r="1150" spans="1:9">
      <c r="A1150" s="398"/>
      <c r="B1150" s="398"/>
      <c r="C1150" s="398"/>
      <c r="D1150" s="523"/>
      <c r="I1150" s="486"/>
    </row>
    <row r="1151" spans="1:9">
      <c r="A1151" s="398"/>
      <c r="B1151" s="481" t="s">
        <v>2687</v>
      </c>
      <c r="C1151" s="398"/>
      <c r="D1151" s="119" t="s">
        <v>2618</v>
      </c>
      <c r="I1151" s="486"/>
    </row>
    <row r="1152" spans="1:9">
      <c r="A1152" s="398"/>
      <c r="B1152" s="398"/>
      <c r="C1152" s="398"/>
      <c r="D1152" s="1435" t="s">
        <v>2620</v>
      </c>
      <c r="E1152" s="1435"/>
      <c r="F1152" s="1435"/>
      <c r="I1152" s="486"/>
    </row>
    <row r="1153" spans="1:9">
      <c r="A1153" s="398"/>
      <c r="B1153" s="398"/>
      <c r="C1153" s="398"/>
      <c r="D1153" s="1435"/>
      <c r="E1153" s="1435"/>
      <c r="F1153" s="1435"/>
      <c r="I1153" s="486"/>
    </row>
    <row r="1154" spans="1:9">
      <c r="A1154" s="398"/>
      <c r="B1154" s="398"/>
      <c r="C1154" s="398"/>
      <c r="D1154" s="1435"/>
      <c r="E1154" s="1435"/>
      <c r="F1154" s="1435"/>
      <c r="I1154" s="486"/>
    </row>
    <row r="1155" spans="1:9">
      <c r="A1155" s="398"/>
      <c r="B1155" s="398"/>
      <c r="C1155" s="398"/>
      <c r="D1155" s="1435"/>
      <c r="E1155" s="1435"/>
      <c r="F1155" s="1435"/>
      <c r="I1155" s="486"/>
    </row>
    <row r="1156" spans="1:9">
      <c r="A1156" s="398"/>
      <c r="B1156" s="398"/>
      <c r="C1156" s="398"/>
      <c r="D1156" s="119" t="s">
        <v>2619</v>
      </c>
      <c r="I1156" s="486"/>
    </row>
    <row r="1157" spans="1:9">
      <c r="A1157" s="398"/>
      <c r="B1157" s="398"/>
      <c r="C1157" s="398"/>
      <c r="D1157" s="119"/>
      <c r="I1157" s="486"/>
    </row>
    <row r="1158" spans="1:9">
      <c r="A1158" s="398"/>
      <c r="B1158" s="398"/>
      <c r="C1158" s="398"/>
      <c r="D1158" s="523" t="s">
        <v>1798</v>
      </c>
      <c r="I1158" s="486"/>
    </row>
    <row r="1159" spans="1:9">
      <c r="A1159" s="398"/>
      <c r="B1159" s="481" t="s">
        <v>2687</v>
      </c>
      <c r="C1159" s="398"/>
      <c r="D1159" s="1861" t="s">
        <v>1799</v>
      </c>
      <c r="E1159" s="1861"/>
      <c r="F1159" s="1861"/>
      <c r="I1159" s="486"/>
    </row>
    <row r="1160" spans="1:9">
      <c r="A1160" s="398"/>
      <c r="B1160" s="398"/>
      <c r="C1160" s="398"/>
      <c r="D1160" s="1861"/>
      <c r="E1160" s="1861"/>
      <c r="F1160" s="1861"/>
      <c r="I1160" s="486"/>
    </row>
    <row r="1161" spans="1:9">
      <c r="A1161" s="398"/>
      <c r="B1161" s="398"/>
      <c r="C1161" s="398"/>
      <c r="D1161" s="1861"/>
      <c r="E1161" s="1861"/>
      <c r="F1161" s="1861"/>
      <c r="I1161" s="486"/>
    </row>
    <row r="1162" spans="1:9">
      <c r="A1162" s="398"/>
      <c r="B1162" s="398"/>
      <c r="C1162" s="398"/>
      <c r="D1162" s="1861"/>
      <c r="E1162" s="1861"/>
      <c r="F1162" s="1861"/>
      <c r="I1162" s="486"/>
    </row>
    <row r="1163" spans="1:9">
      <c r="A1163" s="398"/>
      <c r="B1163" s="398"/>
      <c r="C1163" s="398"/>
      <c r="D1163" s="1861"/>
      <c r="E1163" s="1861"/>
      <c r="F1163" s="1861"/>
      <c r="I1163" s="486"/>
    </row>
    <row r="1164" spans="1:9">
      <c r="A1164" s="398"/>
      <c r="B1164" s="398"/>
      <c r="C1164" s="398"/>
      <c r="D1164" s="523" t="s">
        <v>2621</v>
      </c>
      <c r="I1164" s="486"/>
    </row>
    <row r="1165" spans="1:9">
      <c r="A1165" s="398"/>
      <c r="B1165" s="398"/>
      <c r="C1165" s="398"/>
      <c r="I1165" s="486"/>
    </row>
    <row r="1166" spans="1:9">
      <c r="A1166" s="398"/>
      <c r="B1166" s="481" t="s">
        <v>2687</v>
      </c>
      <c r="C1166" s="398"/>
      <c r="D1166" s="1840" t="s">
        <v>2214</v>
      </c>
      <c r="E1166" s="1840"/>
      <c r="F1166" s="1840"/>
      <c r="I1166" s="486"/>
    </row>
    <row r="1167" spans="1:9">
      <c r="A1167" s="398"/>
      <c r="B1167" s="398"/>
      <c r="C1167" s="398"/>
      <c r="D1167" s="1840"/>
      <c r="E1167" s="1840"/>
      <c r="F1167" s="1840"/>
      <c r="I1167" s="486"/>
    </row>
    <row r="1168" spans="1:9">
      <c r="A1168" s="398"/>
      <c r="B1168" s="398"/>
      <c r="C1168" s="398"/>
      <c r="D1168" s="1840"/>
      <c r="E1168" s="1840"/>
      <c r="F1168" s="1840"/>
      <c r="I1168" s="486"/>
    </row>
    <row r="1169" spans="1:9">
      <c r="A1169" s="398"/>
      <c r="B1169" s="398"/>
      <c r="C1169" s="398"/>
      <c r="I1169" s="486"/>
    </row>
    <row r="1170" spans="1:9">
      <c r="A1170" s="1851" t="s">
        <v>1801</v>
      </c>
      <c r="B1170" s="1851"/>
      <c r="C1170" s="1851"/>
      <c r="D1170" s="1851"/>
      <c r="E1170" s="1851"/>
      <c r="F1170" s="1851"/>
      <c r="G1170" s="1851"/>
      <c r="H1170" s="1018"/>
      <c r="I1170" s="1142"/>
    </row>
    <row r="1171" spans="1:9">
      <c r="A1171" s="398"/>
      <c r="B1171" s="398"/>
      <c r="C1171" s="398"/>
      <c r="I1171" s="486"/>
    </row>
    <row r="1172" spans="1:9">
      <c r="A1172" s="398"/>
      <c r="B1172" s="398"/>
      <c r="C1172" s="398"/>
      <c r="I1172" s="486"/>
    </row>
    <row r="1173" spans="1:9" ht="12.75" customHeight="1">
      <c r="A1173" s="398"/>
      <c r="B1173" s="481" t="s">
        <v>2687</v>
      </c>
      <c r="C1173" s="398"/>
      <c r="D1173" s="1301" t="s">
        <v>1895</v>
      </c>
      <c r="E1173" s="1301"/>
      <c r="F1173" s="1301"/>
      <c r="I1173" s="486"/>
    </row>
    <row r="1174" spans="1:9">
      <c r="A1174" s="398"/>
      <c r="B1174" s="398"/>
      <c r="C1174" s="398"/>
      <c r="D1174" s="1301"/>
      <c r="E1174" s="1301"/>
      <c r="F1174" s="1301"/>
      <c r="I1174" s="486"/>
    </row>
    <row r="1175" spans="1:9">
      <c r="A1175" s="398"/>
      <c r="B1175" s="398"/>
      <c r="C1175" s="398"/>
      <c r="D1175" s="1863" t="s">
        <v>2625</v>
      </c>
      <c r="E1175" s="1435"/>
      <c r="F1175" s="1435"/>
      <c r="I1175" s="486"/>
    </row>
    <row r="1176" spans="1:9">
      <c r="A1176" s="398"/>
      <c r="B1176" s="398"/>
      <c r="C1176" s="398"/>
      <c r="D1176" s="523"/>
      <c r="I1176" s="486"/>
    </row>
    <row r="1177" spans="1:9">
      <c r="A1177" s="398"/>
      <c r="B1177" s="481" t="s">
        <v>2687</v>
      </c>
      <c r="C1177" s="398"/>
      <c r="D1177" s="1861" t="s">
        <v>2573</v>
      </c>
      <c r="E1177" s="1861"/>
      <c r="F1177" s="1861"/>
      <c r="I1177" s="486"/>
    </row>
    <row r="1178" spans="1:9">
      <c r="A1178" s="398"/>
      <c r="B1178" s="398"/>
      <c r="C1178" s="398"/>
      <c r="D1178" s="1861"/>
      <c r="E1178" s="1861"/>
      <c r="F1178" s="1861"/>
      <c r="I1178" s="486"/>
    </row>
    <row r="1179" spans="1:9">
      <c r="A1179" s="398"/>
      <c r="B1179" s="398"/>
      <c r="C1179" s="398"/>
      <c r="D1179" s="1861"/>
      <c r="E1179" s="1861"/>
      <c r="F1179" s="1861"/>
      <c r="I1179" s="486"/>
    </row>
    <row r="1180" spans="1:9">
      <c r="A1180" s="398"/>
      <c r="B1180" s="398"/>
      <c r="C1180" s="398"/>
      <c r="D1180" s="523"/>
      <c r="I1180" s="486"/>
    </row>
    <row r="1181" spans="1:9">
      <c r="A1181" s="398"/>
      <c r="B1181" s="481" t="s">
        <v>2687</v>
      </c>
      <c r="C1181" s="398"/>
      <c r="D1181" s="1861" t="s">
        <v>2592</v>
      </c>
      <c r="E1181" s="1861"/>
      <c r="F1181" s="1861"/>
      <c r="I1181" s="486"/>
    </row>
    <row r="1182" spans="1:9">
      <c r="A1182" s="398"/>
      <c r="B1182" s="398"/>
      <c r="C1182" s="398"/>
      <c r="D1182" s="1861"/>
      <c r="E1182" s="1861"/>
      <c r="F1182" s="1861"/>
      <c r="I1182" s="486"/>
    </row>
    <row r="1183" spans="1:9">
      <c r="A1183" s="398"/>
      <c r="B1183" s="398"/>
      <c r="C1183" s="398"/>
      <c r="D1183" s="1861"/>
      <c r="E1183" s="1861"/>
      <c r="F1183" s="1861"/>
      <c r="I1183" s="486"/>
    </row>
    <row r="1184" spans="1:9">
      <c r="A1184" s="398"/>
      <c r="B1184" s="398"/>
      <c r="C1184" s="398"/>
      <c r="D1184" s="1861"/>
      <c r="E1184" s="1861"/>
      <c r="F1184" s="1861"/>
      <c r="I1184" s="486"/>
    </row>
    <row r="1185" spans="1:9">
      <c r="A1185" s="398"/>
      <c r="B1185" s="398"/>
      <c r="C1185" s="398"/>
      <c r="D1185" s="1861"/>
      <c r="E1185" s="1861"/>
      <c r="F1185" s="1861"/>
      <c r="I1185" s="486"/>
    </row>
    <row r="1186" spans="1:9">
      <c r="A1186" s="398"/>
      <c r="B1186" s="398"/>
      <c r="C1186" s="398"/>
      <c r="D1186" s="523"/>
      <c r="I1186" s="476"/>
    </row>
    <row r="1187" spans="1:9">
      <c r="A1187" s="398"/>
      <c r="B1187" s="481" t="s">
        <v>2687</v>
      </c>
      <c r="C1187" s="398"/>
      <c r="D1187" s="1861" t="s">
        <v>1802</v>
      </c>
      <c r="E1187" s="1861"/>
      <c r="F1187" s="1861"/>
      <c r="I1187" s="486"/>
    </row>
    <row r="1188" spans="1:9">
      <c r="A1188" s="398"/>
      <c r="B1188" s="398"/>
      <c r="C1188" s="398"/>
      <c r="D1188" s="1861"/>
      <c r="E1188" s="1861"/>
      <c r="F1188" s="1861"/>
      <c r="I1188" s="486"/>
    </row>
    <row r="1189" spans="1:9">
      <c r="A1189" s="398"/>
      <c r="B1189" s="398"/>
      <c r="C1189" s="398"/>
      <c r="D1189" s="1861"/>
      <c r="E1189" s="1861"/>
      <c r="F1189" s="1861"/>
      <c r="I1189" s="486"/>
    </row>
    <row r="1190" spans="1:9">
      <c r="A1190" s="398"/>
      <c r="B1190" s="398"/>
      <c r="C1190" s="398"/>
      <c r="D1190" s="523"/>
      <c r="I1190" s="486"/>
    </row>
    <row r="1191" spans="1:9">
      <c r="A1191" s="398"/>
      <c r="B1191" s="481" t="s">
        <v>2850</v>
      </c>
      <c r="C1191" s="398"/>
      <c r="D1191" s="1362" t="s">
        <v>1854</v>
      </c>
      <c r="E1191" s="1362"/>
      <c r="F1191" s="1362"/>
      <c r="I1191" s="486"/>
    </row>
    <row r="1192" spans="1:9">
      <c r="A1192" s="398"/>
      <c r="B1192" s="398"/>
      <c r="C1192" s="398"/>
      <c r="D1192" s="1362"/>
      <c r="E1192" s="1362"/>
      <c r="F1192" s="1362"/>
      <c r="I1192" s="486"/>
    </row>
    <row r="1193" spans="1:9">
      <c r="A1193" s="398"/>
      <c r="B1193" s="398"/>
      <c r="C1193" s="398"/>
      <c r="D1193" s="1362"/>
      <c r="E1193" s="1362"/>
      <c r="F1193" s="1362"/>
      <c r="I1193" s="486"/>
    </row>
    <row r="1194" spans="1:9">
      <c r="A1194" s="398"/>
      <c r="B1194" s="398"/>
      <c r="C1194" s="398"/>
      <c r="D1194" s="970"/>
      <c r="E1194" s="970"/>
      <c r="F1194" s="970"/>
      <c r="I1194" s="486"/>
    </row>
    <row r="1195" spans="1:9" ht="15.75" customHeight="1">
      <c r="A1195" s="398"/>
      <c r="B1195" s="481" t="s">
        <v>2687</v>
      </c>
      <c r="C1195" s="398"/>
      <c r="D1195" s="1435" t="s">
        <v>1855</v>
      </c>
      <c r="E1195" s="1435"/>
      <c r="F1195" s="1435"/>
      <c r="I1195" s="486"/>
    </row>
    <row r="1196" spans="1:9">
      <c r="A1196" s="398"/>
      <c r="B1196" s="398"/>
      <c r="C1196" s="398"/>
      <c r="D1196" s="1435"/>
      <c r="E1196" s="1435"/>
      <c r="F1196" s="1435"/>
      <c r="I1196" s="486"/>
    </row>
    <row r="1197" spans="1:9">
      <c r="A1197" s="398"/>
      <c r="B1197" s="398"/>
      <c r="C1197" s="398"/>
      <c r="D1197" s="1435"/>
      <c r="E1197" s="1435"/>
      <c r="F1197" s="1435"/>
      <c r="I1197" s="486"/>
    </row>
    <row r="1198" spans="1:9">
      <c r="A1198" s="398"/>
      <c r="B1198" s="398"/>
      <c r="C1198" s="398"/>
      <c r="D1198" s="1435"/>
      <c r="E1198" s="1435"/>
      <c r="F1198" s="1435"/>
      <c r="I1198" s="486"/>
    </row>
    <row r="1199" spans="1:9">
      <c r="A1199" s="398"/>
      <c r="B1199" s="398"/>
      <c r="C1199" s="398"/>
      <c r="D1199" s="970"/>
      <c r="E1199" s="970"/>
      <c r="F1199" s="970"/>
      <c r="I1199" s="486"/>
    </row>
    <row r="1200" spans="1:9">
      <c r="A1200" s="398"/>
      <c r="B1200" s="481" t="s">
        <v>2687</v>
      </c>
      <c r="C1200" s="398"/>
      <c r="D1200" s="1362" t="s">
        <v>2602</v>
      </c>
      <c r="E1200" s="1362"/>
      <c r="F1200" s="1362"/>
      <c r="I1200" s="486"/>
    </row>
    <row r="1201" spans="1:9">
      <c r="A1201" s="398"/>
      <c r="B1201" s="398"/>
      <c r="C1201" s="398"/>
      <c r="D1201" s="1362"/>
      <c r="E1201" s="1362"/>
      <c r="F1201" s="1362"/>
      <c r="I1201" s="486"/>
    </row>
    <row r="1202" spans="1:9">
      <c r="A1202" s="398"/>
      <c r="B1202" s="398"/>
      <c r="C1202" s="398"/>
      <c r="D1202" s="1362"/>
      <c r="E1202" s="1362"/>
      <c r="F1202" s="1362"/>
      <c r="I1202" s="486"/>
    </row>
    <row r="1203" spans="1:9">
      <c r="A1203" s="398"/>
      <c r="B1203" s="398"/>
      <c r="C1203" s="398"/>
      <c r="D1203" s="1362"/>
      <c r="E1203" s="1362"/>
      <c r="F1203" s="1362"/>
      <c r="I1203" s="486"/>
    </row>
    <row r="1204" spans="1:9">
      <c r="A1204" s="398"/>
      <c r="B1204" s="398"/>
      <c r="C1204" s="398"/>
      <c r="D1204" s="1362"/>
      <c r="E1204" s="1362"/>
      <c r="F1204" s="1362"/>
      <c r="I1204" s="486"/>
    </row>
    <row r="1205" spans="1:9">
      <c r="A1205" s="398"/>
      <c r="B1205" s="398"/>
      <c r="C1205" s="398"/>
      <c r="D1205" s="1362"/>
      <c r="E1205" s="1362"/>
      <c r="F1205" s="1362"/>
      <c r="I1205" s="486"/>
    </row>
    <row r="1206" spans="1:9">
      <c r="A1206" s="398"/>
      <c r="B1206" s="398"/>
      <c r="C1206" s="398"/>
      <c r="D1206" s="970"/>
      <c r="E1206" s="970"/>
      <c r="F1206" s="970"/>
      <c r="I1206" s="486"/>
    </row>
    <row r="1207" spans="1:9">
      <c r="A1207" s="398"/>
      <c r="B1207" s="481" t="s">
        <v>2687</v>
      </c>
      <c r="C1207" s="398"/>
      <c r="D1207" s="1862" t="s">
        <v>2574</v>
      </c>
      <c r="E1207" s="1862"/>
      <c r="F1207" s="1862"/>
      <c r="I1207" s="1148"/>
    </row>
    <row r="1208" spans="1:9">
      <c r="A1208" s="398"/>
      <c r="B1208" s="398"/>
      <c r="C1208" s="398"/>
      <c r="D1208" s="1862"/>
      <c r="E1208" s="1862"/>
      <c r="F1208" s="1862"/>
      <c r="I1208" s="486"/>
    </row>
    <row r="1209" spans="1:9">
      <c r="A1209" s="398"/>
      <c r="B1209" s="398"/>
      <c r="C1209" s="398"/>
      <c r="D1209" s="1862"/>
      <c r="E1209" s="1862"/>
      <c r="F1209" s="1862"/>
    </row>
    <row r="1210" spans="1:9">
      <c r="A1210" s="398"/>
      <c r="B1210" s="398"/>
      <c r="C1210" s="398"/>
      <c r="D1210" s="1862"/>
      <c r="E1210" s="1862"/>
      <c r="F1210" s="1862"/>
    </row>
    <row r="1211" spans="1:9">
      <c r="A1211" s="398"/>
      <c r="B1211" s="398"/>
      <c r="C1211" s="398"/>
      <c r="D1211" s="1862"/>
      <c r="E1211" s="1862"/>
      <c r="F1211" s="1862"/>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24" spans="1:3"/>
    <row r="1225" spans="1:3"/>
    <row r="1226" spans="1:3"/>
    <row r="1227" spans="1:3"/>
    <row r="1228" spans="1:3"/>
    <row r="1229" spans="1:3"/>
    <row r="1230" spans="1:3"/>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1" spans="1:3"/>
    <row r="1472" spans="1:3"/>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6" spans="1:3"/>
    <row r="1617" spans="7:9"/>
    <row r="1619" spans="7:9" hidden="1">
      <c r="G1619" s="1867"/>
      <c r="H1619" s="1867"/>
      <c r="I1619" s="1867"/>
    </row>
    <row r="1620" spans="7:9"/>
    <row r="1621" spans="7:9"/>
    <row r="1622" spans="7:9"/>
  </sheetData>
  <sheetProtection algorithmName="SHA-512" hashValue="kwINs/GgH9bACorPVwmqDjqgbjg7DDtXO3sKP+xnob940aQQni+YS/M6LAWJXJXoTKb3QhYmEheQ6qB33BOf8Q==" saltValue="KUyqQo7Hnv3vZdgOH/lSTA=="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count="3">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xr:uid="{00000000-0002-0000-0300-000001000000}">
      <formula1>"(select one),Need to Provide,Provided,Not Applicable"</formula1>
    </dataValidation>
    <dataValidation type="list" allowBlank="1" showInputMessage="1" showErrorMessage="1" sqref="B207 B238 B633 B657 B1007 B966 B995 B988 B984 B1040 B1038" xr:uid="{7F3BD511-9C71-4FBA-B216-44BFA05A881F}">
      <formula1>$I$2:$I$5</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abSelected="1" zoomScale="99" zoomScaleNormal="130" workbookViewId="0">
      <selection activeCell="AT22" sqref="A22:XFD24"/>
    </sheetView>
  </sheetViews>
  <sheetFormatPr defaultColWidth="0" defaultRowHeight="0" customHeight="1" zeroHeight="1"/>
  <cols>
    <col min="1" max="45" width="2.7109375" customWidth="1"/>
    <col min="46" max="46" width="12.42578125" customWidth="1"/>
    <col min="47" max="185" width="0" hidden="1" customWidth="1"/>
    <col min="186" max="16384" width="12.42578125" hidden="1"/>
  </cols>
  <sheetData>
    <row r="1" spans="1:58" ht="12.95" customHeight="1">
      <c r="J1" s="100"/>
      <c r="AS1" s="1021">
        <v>4</v>
      </c>
      <c r="BD1" s="3" t="s">
        <v>2419</v>
      </c>
      <c r="BE1" s="3"/>
      <c r="BF1" s="3"/>
    </row>
    <row r="2" spans="1:58" ht="12.95" customHeight="1">
      <c r="BD2" s="3" t="s">
        <v>2420</v>
      </c>
      <c r="BE2" s="3" t="s">
        <v>2421</v>
      </c>
      <c r="BF2" s="3" t="s">
        <v>2422</v>
      </c>
    </row>
    <row r="3" spans="1:58" ht="12.95" customHeight="1">
      <c r="BD3" s="3" t="s">
        <v>2514</v>
      </c>
      <c r="BE3" t="str">
        <f>AC220</f>
        <v>Balance of Los Angeles County</v>
      </c>
    </row>
    <row r="4" spans="1:58" ht="12.95" customHeight="1">
      <c r="BD4" s="3" t="s">
        <v>2429</v>
      </c>
      <c r="BE4" s="1175"/>
    </row>
    <row r="5" spans="1:58" ht="12.95" customHeight="1">
      <c r="BD5" s="3" t="s">
        <v>2430</v>
      </c>
      <c r="BE5">
        <f>SUMIF($AC$726:$AC$760,"&lt;=20%",$G$726:G$760)</f>
        <v>0</v>
      </c>
      <c r="BF5" s="3" t="s">
        <v>2435</v>
      </c>
    </row>
    <row r="6" spans="1:58" ht="12.95" customHeight="1">
      <c r="BD6" s="3" t="s">
        <v>2431</v>
      </c>
      <c r="BE6" s="1178">
        <f>SUMIF($AC$726:$AC$760,"&lt;=25%",$G$726:G$760)-SUM($BE$5:BE5)</f>
        <v>0</v>
      </c>
    </row>
    <row r="7" spans="1:58" ht="12.95" customHeight="1">
      <c r="BD7" s="1176" t="s">
        <v>2423</v>
      </c>
      <c r="BE7" s="1178">
        <f>SUMIF($AC$726:$AC$760,"&lt;=30%",$G$726:G$760)-SUM($BE$5:BE6)</f>
        <v>53</v>
      </c>
    </row>
    <row r="8" spans="1:58" ht="26.25" customHeight="1">
      <c r="A8" s="1430" t="s">
        <v>100</v>
      </c>
      <c r="B8" s="1430"/>
      <c r="C8" s="1430"/>
      <c r="D8" s="1430"/>
      <c r="E8" s="1430"/>
      <c r="F8" s="1430"/>
      <c r="G8" s="1430"/>
      <c r="H8" s="1430"/>
      <c r="I8" s="1430"/>
      <c r="J8" s="1430"/>
      <c r="K8" s="1430"/>
      <c r="L8" s="1430"/>
      <c r="M8" s="1430"/>
      <c r="N8" s="1430"/>
      <c r="O8" s="1430"/>
      <c r="P8" s="1430"/>
      <c r="Q8" s="1430"/>
      <c r="R8" s="1430"/>
      <c r="S8" s="1430"/>
      <c r="T8" s="1430"/>
      <c r="U8" s="1430"/>
      <c r="V8" s="1430"/>
      <c r="W8" s="1430"/>
      <c r="X8" s="1430"/>
      <c r="Y8" s="1430"/>
      <c r="Z8" s="1430"/>
      <c r="AA8" s="1430"/>
      <c r="AB8" s="1430"/>
      <c r="AC8" s="1430"/>
      <c r="AD8" s="1430"/>
      <c r="AE8" s="1430"/>
      <c r="AF8" s="1430"/>
      <c r="AG8" s="1430"/>
      <c r="AH8" s="1430"/>
      <c r="AI8" s="1430"/>
      <c r="AJ8" s="1430"/>
      <c r="AK8" s="1430"/>
      <c r="AL8" s="1430"/>
      <c r="AM8" s="1430"/>
      <c r="AN8" s="1430"/>
      <c r="AO8" s="1430"/>
      <c r="AP8" s="1430"/>
      <c r="AQ8" s="1430"/>
      <c r="AR8" s="1430"/>
      <c r="AS8" s="1430"/>
      <c r="AT8" s="1430"/>
      <c r="AU8" s="889"/>
      <c r="AV8" s="889"/>
      <c r="AW8" s="889"/>
      <c r="AX8" s="889"/>
      <c r="AY8" s="889"/>
      <c r="BD8" s="3" t="s">
        <v>2432</v>
      </c>
      <c r="BE8" s="1178">
        <f>SUMIF($AC$726:$AC$760,"&lt;=35%",$G$726:G$760)-SUM($BE$5:BE7)</f>
        <v>0</v>
      </c>
    </row>
    <row r="9" spans="1:58" ht="12.95" customHeight="1">
      <c r="A9" s="1302" t="s">
        <v>2025</v>
      </c>
      <c r="B9" s="1302"/>
      <c r="C9" s="1302"/>
      <c r="D9" s="1302"/>
      <c r="E9" s="1302"/>
      <c r="F9" s="1302"/>
      <c r="G9" s="1302"/>
      <c r="H9" s="1302"/>
      <c r="I9" s="1302"/>
      <c r="J9" s="1302"/>
      <c r="K9" s="1302"/>
      <c r="L9" s="1302"/>
      <c r="M9" s="1302"/>
      <c r="N9" s="1302"/>
      <c r="O9" s="1302"/>
      <c r="P9" s="1302"/>
      <c r="Q9" s="1302"/>
      <c r="R9" s="1302"/>
      <c r="S9" s="1302"/>
      <c r="T9" s="1302"/>
      <c r="U9" s="1302"/>
      <c r="V9" s="1302"/>
      <c r="W9" s="1302"/>
      <c r="X9" s="1302"/>
      <c r="Y9" s="1302"/>
      <c r="Z9" s="1302"/>
      <c r="AA9" s="1302"/>
      <c r="AB9" s="1302"/>
      <c r="AC9" s="1302"/>
      <c r="AD9" s="1302"/>
      <c r="AE9" s="1302"/>
      <c r="AF9" s="1302"/>
      <c r="AG9" s="1302"/>
      <c r="AH9" s="1302"/>
      <c r="AI9" s="1302"/>
      <c r="AJ9" s="1302"/>
      <c r="AK9" s="1302"/>
      <c r="AL9" s="1302"/>
      <c r="AM9" s="1302"/>
      <c r="AN9" s="1302"/>
      <c r="AO9" s="1302"/>
      <c r="AP9" s="1302"/>
      <c r="AQ9" s="1302"/>
      <c r="AR9" s="1302"/>
      <c r="AS9" s="1302"/>
      <c r="AT9" s="1302"/>
      <c r="AU9" s="13"/>
      <c r="AV9" s="13"/>
      <c r="AW9" s="13"/>
      <c r="AX9" s="13"/>
      <c r="AY9" s="13"/>
      <c r="BD9" s="1177" t="s">
        <v>2424</v>
      </c>
      <c r="BE9" s="1178">
        <f>SUMIF($AC$726:$AC$760,"&lt;=40%",$G$726:G$760)-SUM($BE$5:BE8)</f>
        <v>0</v>
      </c>
    </row>
    <row r="10" spans="1:58" ht="12.95" customHeight="1">
      <c r="A10" s="1302" t="s">
        <v>2594</v>
      </c>
      <c r="B10" s="1302"/>
      <c r="C10" s="1302"/>
      <c r="D10" s="1302"/>
      <c r="E10" s="1302"/>
      <c r="F10" s="1302"/>
      <c r="G10" s="1302"/>
      <c r="H10" s="1302"/>
      <c r="I10" s="1302"/>
      <c r="J10" s="1302"/>
      <c r="K10" s="1302"/>
      <c r="L10" s="1302"/>
      <c r="M10" s="1302"/>
      <c r="N10" s="1302"/>
      <c r="O10" s="1302"/>
      <c r="P10" s="1302"/>
      <c r="Q10" s="1302"/>
      <c r="R10" s="1302"/>
      <c r="S10" s="1302"/>
      <c r="T10" s="1302"/>
      <c r="U10" s="1302"/>
      <c r="V10" s="1302"/>
      <c r="W10" s="1302"/>
      <c r="X10" s="1302"/>
      <c r="Y10" s="1302"/>
      <c r="Z10" s="1302"/>
      <c r="AA10" s="1302"/>
      <c r="AB10" s="1302"/>
      <c r="AC10" s="1302"/>
      <c r="AD10" s="1302"/>
      <c r="AE10" s="1302"/>
      <c r="AF10" s="1302"/>
      <c r="AG10" s="1302"/>
      <c r="AH10" s="1302"/>
      <c r="AI10" s="1302"/>
      <c r="AJ10" s="1302"/>
      <c r="AK10" s="1302"/>
      <c r="AL10" s="1302"/>
      <c r="AM10" s="1302"/>
      <c r="AN10" s="1302"/>
      <c r="AO10" s="1302"/>
      <c r="AP10" s="1302"/>
      <c r="AQ10" s="1302"/>
      <c r="AR10" s="1302"/>
      <c r="AS10" s="1302"/>
      <c r="AT10" s="1302"/>
      <c r="AU10" s="13"/>
      <c r="AV10" s="13"/>
      <c r="AW10" s="13"/>
      <c r="AX10" s="13"/>
      <c r="AY10" s="13"/>
      <c r="BD10" s="3" t="s">
        <v>2433</v>
      </c>
      <c r="BE10" s="1178">
        <f>SUMIF($AC$726:$AC$760,"&lt;=45%",$G$726:G$760)-SUM($BE$5:BE9)</f>
        <v>0</v>
      </c>
    </row>
    <row r="11" spans="1:58" ht="12.95" customHeight="1">
      <c r="A11" s="1302" t="s">
        <v>2521</v>
      </c>
      <c r="B11" s="1302"/>
      <c r="C11" s="1302"/>
      <c r="D11" s="1302"/>
      <c r="E11" s="1302"/>
      <c r="F11" s="1302"/>
      <c r="G11" s="1302"/>
      <c r="H11" s="1302"/>
      <c r="I11" s="1302"/>
      <c r="J11" s="1302"/>
      <c r="K11" s="1302"/>
      <c r="L11" s="1302"/>
      <c r="M11" s="1302"/>
      <c r="N11" s="1302"/>
      <c r="O11" s="1302"/>
      <c r="P11" s="1302"/>
      <c r="Q11" s="1302"/>
      <c r="R11" s="1302"/>
      <c r="S11" s="1302"/>
      <c r="T11" s="1302"/>
      <c r="U11" s="1302"/>
      <c r="V11" s="1302"/>
      <c r="W11" s="1302"/>
      <c r="X11" s="1302"/>
      <c r="Y11" s="1302"/>
      <c r="Z11" s="1302"/>
      <c r="AA11" s="1302"/>
      <c r="AB11" s="1302"/>
      <c r="AC11" s="1302"/>
      <c r="AD11" s="1302"/>
      <c r="AE11" s="1302"/>
      <c r="AF11" s="1302"/>
      <c r="AG11" s="1302"/>
      <c r="AH11" s="1302"/>
      <c r="AI11" s="1302"/>
      <c r="AJ11" s="1302"/>
      <c r="AK11" s="1302"/>
      <c r="AL11" s="1302"/>
      <c r="AM11" s="1302"/>
      <c r="AN11" s="1302"/>
      <c r="AO11" s="1302"/>
      <c r="AP11" s="1302"/>
      <c r="AQ11" s="1302"/>
      <c r="AR11" s="1302"/>
      <c r="AS11" s="1302"/>
      <c r="AT11" s="1302"/>
      <c r="AU11" s="13"/>
      <c r="AV11" s="13"/>
      <c r="AW11" s="13"/>
      <c r="AX11" s="13"/>
      <c r="AY11" s="13"/>
      <c r="BD11" s="1176" t="s">
        <v>2425</v>
      </c>
      <c r="BE11" s="1178">
        <f>SUMIF($AC$726:$AC$760,"&lt;=50%",$G$726:G$760)-SUM($BE$5:BE10)</f>
        <v>2</v>
      </c>
    </row>
    <row r="12" spans="1:58" ht="12.95" customHeight="1">
      <c r="A12" s="1431" t="s">
        <v>2661</v>
      </c>
      <c r="B12" s="1431"/>
      <c r="C12" s="1431"/>
      <c r="D12" s="1431"/>
      <c r="E12" s="1431"/>
      <c r="F12" s="1431"/>
      <c r="G12" s="1431"/>
      <c r="H12" s="1431"/>
      <c r="I12" s="1431"/>
      <c r="J12" s="1431"/>
      <c r="K12" s="1431"/>
      <c r="L12" s="1431"/>
      <c r="M12" s="1431"/>
      <c r="N12" s="1431"/>
      <c r="O12" s="1431"/>
      <c r="P12" s="1431"/>
      <c r="Q12" s="1431"/>
      <c r="R12" s="1431"/>
      <c r="S12" s="1431"/>
      <c r="T12" s="1431"/>
      <c r="U12" s="1431"/>
      <c r="V12" s="1431"/>
      <c r="W12" s="1431"/>
      <c r="X12" s="1431"/>
      <c r="Y12" s="1431"/>
      <c r="Z12" s="1431"/>
      <c r="AA12" s="1431"/>
      <c r="AB12" s="1431"/>
      <c r="AC12" s="1431"/>
      <c r="AD12" s="1431"/>
      <c r="AE12" s="1431"/>
      <c r="AF12" s="1431"/>
      <c r="AG12" s="1431"/>
      <c r="AH12" s="1431"/>
      <c r="AI12" s="1431"/>
      <c r="AJ12" s="1431"/>
      <c r="AK12" s="1431"/>
      <c r="AL12" s="1431"/>
      <c r="AM12" s="1431"/>
      <c r="AN12" s="1431"/>
      <c r="AO12" s="1431"/>
      <c r="AP12" s="1431"/>
      <c r="AQ12" s="1431"/>
      <c r="AR12" s="1431"/>
      <c r="AS12" s="1431"/>
      <c r="AT12" s="1431"/>
      <c r="AU12" s="6"/>
      <c r="AV12" s="6"/>
      <c r="AW12" s="6"/>
      <c r="AX12" s="6"/>
      <c r="AY12" s="6"/>
      <c r="BD12" s="3" t="s">
        <v>2434</v>
      </c>
      <c r="BE12" s="1178">
        <f>SUMIF($AC$726:$AC$760,"&lt;=55%",$G$726:G$760)-SUM($BE$5:BE11)</f>
        <v>0</v>
      </c>
    </row>
    <row r="13" spans="1:58" ht="12.95" customHeight="1">
      <c r="A13" s="1427" t="s">
        <v>2026</v>
      </c>
      <c r="B13" s="1427"/>
      <c r="C13" s="1427"/>
      <c r="D13" s="1427"/>
      <c r="E13" s="1427"/>
      <c r="F13" s="1427"/>
      <c r="G13" s="1427"/>
      <c r="H13" s="1427"/>
      <c r="I13" s="1427"/>
      <c r="J13" s="1427"/>
      <c r="K13" s="1427"/>
      <c r="L13" s="1427"/>
      <c r="M13" s="1427"/>
      <c r="N13" s="1427"/>
      <c r="O13" s="1427"/>
      <c r="P13" s="1427"/>
      <c r="Q13" s="1427"/>
      <c r="R13" s="1427"/>
      <c r="S13" s="1427"/>
      <c r="T13" s="1427"/>
      <c r="U13" s="1427"/>
      <c r="V13" s="1427"/>
      <c r="W13" s="1427"/>
      <c r="X13" s="1427"/>
      <c r="Y13" s="1427"/>
      <c r="Z13" s="1427"/>
      <c r="AA13" s="1427"/>
      <c r="AB13" s="1427"/>
      <c r="AC13" s="1427"/>
      <c r="AD13" s="1427"/>
      <c r="AE13" s="1427"/>
      <c r="AF13" s="1427"/>
      <c r="AG13" s="1427"/>
      <c r="AH13" s="1427"/>
      <c r="AI13" s="1427"/>
      <c r="AJ13" s="1427"/>
      <c r="AK13" s="1427"/>
      <c r="AL13" s="1427"/>
      <c r="AM13" s="1427"/>
      <c r="AN13" s="1427"/>
      <c r="AO13" s="1427"/>
      <c r="AP13" s="1427"/>
      <c r="AQ13" s="1427"/>
      <c r="AR13" s="1427"/>
      <c r="AS13" s="1427"/>
      <c r="AT13" s="1427"/>
      <c r="AU13" s="890"/>
      <c r="AV13" s="890"/>
      <c r="AW13" s="890"/>
      <c r="AX13" s="890"/>
      <c r="AY13" s="890"/>
      <c r="BD13" s="1177" t="s">
        <v>2426</v>
      </c>
      <c r="BE13" s="1178">
        <f>SUMIF($AC$726:$AC$760,"&lt;=60%",$G$726:G$760)-SUM($BE$5:BE12)</f>
        <v>0</v>
      </c>
    </row>
    <row r="14" spans="1:58" ht="12.95" customHeight="1">
      <c r="A14" s="1427"/>
      <c r="B14" s="1427"/>
      <c r="C14" s="1427"/>
      <c r="D14" s="1427"/>
      <c r="E14" s="1427"/>
      <c r="F14" s="1427"/>
      <c r="G14" s="1427"/>
      <c r="H14" s="1427"/>
      <c r="I14" s="1427"/>
      <c r="J14" s="1427"/>
      <c r="K14" s="1427"/>
      <c r="L14" s="1427"/>
      <c r="M14" s="1427"/>
      <c r="N14" s="1427"/>
      <c r="O14" s="1427"/>
      <c r="P14" s="1427"/>
      <c r="Q14" s="1427"/>
      <c r="R14" s="1427"/>
      <c r="S14" s="1427"/>
      <c r="T14" s="1427"/>
      <c r="U14" s="1427"/>
      <c r="V14" s="1427"/>
      <c r="W14" s="1427"/>
      <c r="X14" s="1427"/>
      <c r="Y14" s="1427"/>
      <c r="Z14" s="1427"/>
      <c r="AA14" s="1427"/>
      <c r="AB14" s="1427"/>
      <c r="AC14" s="1427"/>
      <c r="AD14" s="1427"/>
      <c r="AE14" s="1427"/>
      <c r="AF14" s="1427"/>
      <c r="AG14" s="1427"/>
      <c r="AH14" s="1427"/>
      <c r="AI14" s="1427"/>
      <c r="AJ14" s="1427"/>
      <c r="AK14" s="1427"/>
      <c r="AL14" s="1427"/>
      <c r="AM14" s="1427"/>
      <c r="AN14" s="1427"/>
      <c r="AO14" s="1427"/>
      <c r="AP14" s="1427"/>
      <c r="AQ14" s="1427"/>
      <c r="AR14" s="1427"/>
      <c r="AS14" s="1427"/>
      <c r="AT14" s="1427"/>
      <c r="AU14" s="890"/>
      <c r="AV14" s="890"/>
      <c r="AW14" s="890"/>
      <c r="AX14" s="890"/>
      <c r="AY14" s="890"/>
      <c r="BD14" s="1176" t="s">
        <v>2427</v>
      </c>
      <c r="BE14" s="1178">
        <f>SUMIF($AC$726:$AC$760,"&lt;=70%",$G$726:G$760)-SUM($BE$5:BE13)</f>
        <v>53</v>
      </c>
    </row>
    <row r="15" spans="1:58" ht="12.95"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2428</v>
      </c>
      <c r="BE15" s="1178">
        <f>SUMIF($AC$726:$AC$760,"&lt;=80%",$G$726:G$760)-SUM($BE$5:BE14)</f>
        <v>0</v>
      </c>
    </row>
    <row r="16" spans="1:58" ht="12.95" customHeight="1">
      <c r="A16" s="57" t="s">
        <v>2027</v>
      </c>
      <c r="C16" s="4"/>
      <c r="D16" s="4"/>
      <c r="E16" s="4"/>
      <c r="F16" s="4"/>
      <c r="G16" s="4"/>
      <c r="H16" s="1439" t="s">
        <v>2688</v>
      </c>
      <c r="I16" s="1439"/>
      <c r="J16" s="1439"/>
      <c r="K16" s="1439"/>
      <c r="L16" s="1439"/>
      <c r="M16" s="1439"/>
      <c r="N16" s="1439"/>
      <c r="O16" s="1439"/>
      <c r="P16" s="1439"/>
      <c r="Q16" s="1439"/>
      <c r="R16" s="1439"/>
      <c r="S16" s="1439"/>
      <c r="T16" s="1439"/>
      <c r="U16" s="1439"/>
      <c r="V16" s="1439"/>
      <c r="W16" s="1439"/>
      <c r="X16" s="1439"/>
      <c r="Y16" s="1439"/>
      <c r="Z16" s="1439"/>
      <c r="AA16" s="1439"/>
      <c r="AB16" s="1439"/>
      <c r="AC16" s="1439"/>
      <c r="AD16" s="1439"/>
      <c r="AE16" s="1439"/>
      <c r="AF16" s="1439"/>
      <c r="AG16" s="1439"/>
      <c r="AH16" s="1439"/>
      <c r="AI16" s="1439"/>
      <c r="AJ16" s="1439"/>
      <c r="BD16" s="1177" t="s">
        <v>654</v>
      </c>
      <c r="BE16" s="1178" t="str">
        <f>Application!H18</f>
        <v xml:space="preserve">3590 Elm																												</v>
      </c>
    </row>
    <row r="17" spans="1:58" ht="12.95" customHeight="1">
      <c r="BD17" s="1176" t="s">
        <v>2440</v>
      </c>
      <c r="BE17" s="1178">
        <f>Application!AA943</f>
        <v>0</v>
      </c>
    </row>
    <row r="18" spans="1:58" ht="12.95" customHeight="1">
      <c r="A18" s="57" t="s">
        <v>101</v>
      </c>
      <c r="C18" s="4"/>
      <c r="D18" s="4"/>
      <c r="E18" s="4"/>
      <c r="F18" s="4"/>
      <c r="G18" s="4"/>
      <c r="H18" s="1396" t="s">
        <v>2689</v>
      </c>
      <c r="I18" s="1437"/>
      <c r="J18" s="1437"/>
      <c r="K18" s="1437"/>
      <c r="L18" s="1437"/>
      <c r="M18" s="1437"/>
      <c r="N18" s="1437"/>
      <c r="O18" s="1437"/>
      <c r="P18" s="1437"/>
      <c r="Q18" s="1437"/>
      <c r="R18" s="1437"/>
      <c r="S18" s="1437"/>
      <c r="T18" s="1437"/>
      <c r="U18" s="1437"/>
      <c r="V18" s="1437"/>
      <c r="W18" s="1437"/>
      <c r="X18" s="1437"/>
      <c r="Y18" s="1437"/>
      <c r="Z18" s="1437"/>
      <c r="AA18" s="1437"/>
      <c r="AB18" s="1437"/>
      <c r="AC18" s="1437"/>
      <c r="AD18" s="1437"/>
      <c r="AE18" s="1437"/>
      <c r="AF18" s="1437"/>
      <c r="AG18" s="1437"/>
      <c r="AH18" s="1437"/>
      <c r="AI18" s="1437"/>
      <c r="AJ18" s="1437"/>
      <c r="BD18" s="1177" t="s">
        <v>2441</v>
      </c>
      <c r="BE18" s="1178">
        <f>AA943</f>
        <v>0</v>
      </c>
    </row>
    <row r="19" spans="1:58" ht="12.95" customHeight="1">
      <c r="BD19" s="1176" t="s">
        <v>2442</v>
      </c>
      <c r="BE19" s="1178">
        <f>Application!M26</f>
        <v>3828559</v>
      </c>
    </row>
    <row r="20" spans="1:58" ht="12.95" customHeight="1">
      <c r="A20" s="1432" t="s">
        <v>871</v>
      </c>
      <c r="B20" s="1432"/>
      <c r="C20" s="1432"/>
      <c r="D20" s="1432"/>
      <c r="E20" s="1432"/>
      <c r="F20" s="1432"/>
      <c r="G20" s="1432"/>
      <c r="H20" s="1432"/>
      <c r="I20" s="1432"/>
      <c r="J20" s="1432"/>
      <c r="K20" s="1432"/>
      <c r="L20" s="1432"/>
      <c r="M20" s="1432"/>
      <c r="N20" s="1432"/>
      <c r="O20" s="1432"/>
      <c r="P20" s="1432"/>
      <c r="Q20" s="1432"/>
      <c r="R20" s="1432"/>
      <c r="S20" s="1432"/>
      <c r="T20" s="1432"/>
      <c r="U20" s="1432"/>
      <c r="V20" s="1432"/>
      <c r="W20" s="1432"/>
      <c r="X20" s="1432"/>
      <c r="Y20" s="1432"/>
      <c r="Z20" s="1432"/>
      <c r="AA20" s="1432"/>
      <c r="AB20" s="1432"/>
      <c r="AC20" s="1432"/>
      <c r="AD20" s="1432"/>
      <c r="AE20" s="1432"/>
      <c r="AF20" s="1432"/>
      <c r="AG20" s="1432"/>
      <c r="AH20" s="1432"/>
      <c r="AI20" s="1432"/>
      <c r="AJ20" s="1432"/>
      <c r="AK20" s="1432"/>
      <c r="AL20" s="1432"/>
      <c r="AM20" s="1432"/>
      <c r="AN20" s="1432"/>
      <c r="AO20" s="1432"/>
      <c r="AP20" s="1432"/>
      <c r="AQ20" s="1432"/>
      <c r="AR20" s="1432"/>
      <c r="AS20" s="1432"/>
      <c r="AT20" s="1432"/>
      <c r="AU20" s="891"/>
      <c r="AV20" s="891"/>
      <c r="AW20" s="891"/>
      <c r="AX20" s="891"/>
      <c r="AY20" s="891"/>
      <c r="BD20" s="1177" t="s">
        <v>2443</v>
      </c>
      <c r="BE20" s="1178">
        <f>Application!M27</f>
        <v>0</v>
      </c>
    </row>
    <row r="21" spans="1:58" ht="12.95" customHeight="1">
      <c r="A21" s="1440" t="s">
        <v>1007</v>
      </c>
      <c r="B21" s="1440"/>
      <c r="C21" s="1440"/>
      <c r="D21" s="1440"/>
      <c r="E21" s="1440"/>
      <c r="F21" s="1440"/>
      <c r="G21" s="1440"/>
      <c r="H21" s="1440"/>
      <c r="I21" s="1440"/>
      <c r="J21" s="1440"/>
      <c r="K21" s="1440"/>
      <c r="L21" s="1440"/>
      <c r="M21" s="1440"/>
      <c r="N21" s="1440"/>
      <c r="O21" s="1440"/>
      <c r="P21" s="1440"/>
      <c r="Q21" s="1440"/>
      <c r="R21" s="1440"/>
      <c r="S21" s="1440"/>
      <c r="T21" s="1440"/>
      <c r="U21" s="1440"/>
      <c r="V21" s="1440"/>
      <c r="W21" s="1440"/>
      <c r="X21" s="1440"/>
      <c r="Y21" s="1440"/>
      <c r="Z21" s="1440"/>
      <c r="AA21" s="1440"/>
      <c r="AB21" s="1440"/>
      <c r="AC21" s="1440"/>
      <c r="AD21" s="1440"/>
      <c r="AE21" s="1440"/>
      <c r="AF21" s="1440"/>
      <c r="AG21" s="1440"/>
      <c r="AH21" s="1440"/>
      <c r="AI21" s="1440"/>
      <c r="AJ21" s="1440"/>
      <c r="AK21" s="1440"/>
      <c r="AL21" s="1440"/>
      <c r="AM21" s="892"/>
      <c r="AN21" s="892"/>
      <c r="AO21" s="892"/>
      <c r="AP21" s="892"/>
      <c r="AQ21" s="892"/>
      <c r="AR21" s="892"/>
      <c r="AS21" s="892"/>
      <c r="AT21" s="892"/>
      <c r="AU21" s="892"/>
      <c r="AV21" s="892"/>
      <c r="AW21" s="892"/>
      <c r="AX21" s="892"/>
      <c r="AY21" s="892"/>
      <c r="BD21" s="1176" t="s">
        <v>2444</v>
      </c>
      <c r="BE21" s="1178">
        <f>Application!AM562</f>
        <v>22209313</v>
      </c>
    </row>
    <row r="22" spans="1:58" ht="12.95"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282</v>
      </c>
      <c r="BE22" s="1178">
        <f>'Sources and Uses Budget'!B105</f>
        <v>85202321</v>
      </c>
      <c r="BF22" s="3" t="s">
        <v>2515</v>
      </c>
    </row>
    <row r="23" spans="1:58" ht="12.95" customHeight="1">
      <c r="A23" s="1301" t="s">
        <v>2093</v>
      </c>
      <c r="B23" s="1301"/>
      <c r="C23" s="1301"/>
      <c r="D23" s="1301"/>
      <c r="E23" s="1301"/>
      <c r="F23" s="1301"/>
      <c r="G23" s="1301"/>
      <c r="H23" s="1301"/>
      <c r="I23" s="1301"/>
      <c r="J23" s="1301"/>
      <c r="K23" s="1301"/>
      <c r="L23" s="1301"/>
      <c r="M23" s="1301"/>
      <c r="N23" s="1301"/>
      <c r="O23" s="1301"/>
      <c r="P23" s="1301"/>
      <c r="Q23" s="1301"/>
      <c r="R23" s="1301"/>
      <c r="S23" s="1301"/>
      <c r="T23" s="1301"/>
      <c r="U23" s="1301"/>
      <c r="V23" s="1301"/>
      <c r="W23" s="1301"/>
      <c r="X23" s="1301"/>
      <c r="Y23" s="1301"/>
      <c r="Z23" s="1301"/>
      <c r="AA23" s="1301"/>
      <c r="AB23" s="1301"/>
      <c r="AC23" s="1301"/>
      <c r="AD23" s="1301"/>
      <c r="AE23" s="1301"/>
      <c r="AF23" s="1301"/>
      <c r="AG23" s="1301"/>
      <c r="AH23" s="1301"/>
      <c r="AI23" s="1301"/>
      <c r="AJ23" s="1301"/>
      <c r="AK23" s="1301"/>
      <c r="AL23" s="1301"/>
      <c r="AM23" s="1301"/>
      <c r="AN23" s="1301"/>
      <c r="AO23" s="1301"/>
      <c r="AP23" s="1301"/>
      <c r="AQ23" s="1301"/>
      <c r="AR23" s="1301"/>
      <c r="AS23" s="1301"/>
      <c r="AT23" s="1301"/>
      <c r="AU23" s="18"/>
      <c r="AV23" s="18"/>
      <c r="AW23" s="18"/>
      <c r="AX23" s="18"/>
      <c r="AY23" s="18"/>
      <c r="AZ23" s="18"/>
      <c r="BD23" s="1176" t="s">
        <v>2445</v>
      </c>
      <c r="BE23" s="1178">
        <f>'Sources and Uses Budget'!B4</f>
        <v>5041189</v>
      </c>
    </row>
    <row r="24" spans="1:58" ht="12.95" customHeight="1">
      <c r="A24" s="1301"/>
      <c r="B24" s="1301"/>
      <c r="C24" s="1301"/>
      <c r="D24" s="1301"/>
      <c r="E24" s="1301"/>
      <c r="F24" s="1301"/>
      <c r="G24" s="1301"/>
      <c r="H24" s="1301"/>
      <c r="I24" s="1301"/>
      <c r="J24" s="1301"/>
      <c r="K24" s="1301"/>
      <c r="L24" s="1301"/>
      <c r="M24" s="1301"/>
      <c r="N24" s="1301"/>
      <c r="O24" s="1301"/>
      <c r="P24" s="1301"/>
      <c r="Q24" s="1301"/>
      <c r="R24" s="1301"/>
      <c r="S24" s="1301"/>
      <c r="T24" s="1301"/>
      <c r="U24" s="1301"/>
      <c r="V24" s="1301"/>
      <c r="W24" s="1301"/>
      <c r="X24" s="1301"/>
      <c r="Y24" s="1301"/>
      <c r="Z24" s="1301"/>
      <c r="AA24" s="1301"/>
      <c r="AB24" s="1301"/>
      <c r="AC24" s="1301"/>
      <c r="AD24" s="1301"/>
      <c r="AE24" s="1301"/>
      <c r="AF24" s="1301"/>
      <c r="AG24" s="1301"/>
      <c r="AH24" s="1301"/>
      <c r="AI24" s="1301"/>
      <c r="AJ24" s="1301"/>
      <c r="AK24" s="1301"/>
      <c r="AL24" s="1301"/>
      <c r="AM24" s="1301"/>
      <c r="AN24" s="1301"/>
      <c r="AO24" s="1301"/>
      <c r="AP24" s="1301"/>
      <c r="AQ24" s="1301"/>
      <c r="AR24" s="1301"/>
      <c r="AS24" s="1301"/>
      <c r="AT24" s="1301"/>
      <c r="AU24" s="18"/>
      <c r="AV24" s="18"/>
      <c r="AW24" s="18"/>
      <c r="AX24" s="18"/>
      <c r="AY24" s="18"/>
      <c r="AZ24" s="18"/>
      <c r="BD24" s="1177" t="s">
        <v>2446</v>
      </c>
      <c r="BE24" s="1178">
        <f>Application!AG459</f>
        <v>145020</v>
      </c>
    </row>
    <row r="25" spans="1:58" ht="12.95"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2447</v>
      </c>
      <c r="BE25" s="1178" t="str">
        <f>Application!D208</f>
        <v>40%/60% Average Income</v>
      </c>
    </row>
    <row r="26" spans="1:58" ht="12.95" customHeight="1">
      <c r="A26" s="4"/>
      <c r="C26" s="4"/>
      <c r="D26" s="4"/>
      <c r="E26" s="4"/>
      <c r="F26" s="4"/>
      <c r="G26" s="4"/>
      <c r="H26" s="4"/>
      <c r="I26" s="4"/>
      <c r="J26" s="4"/>
      <c r="K26" s="4"/>
      <c r="L26" s="4"/>
      <c r="M26" s="1438">
        <f>'Basis &amp; Credits'!AB56</f>
        <v>3828559</v>
      </c>
      <c r="N26" s="1438"/>
      <c r="O26" s="1438"/>
      <c r="P26" s="1438"/>
      <c r="Q26" s="1438"/>
      <c r="R26" s="4" t="s">
        <v>757</v>
      </c>
      <c r="S26" s="4"/>
      <c r="T26" s="4"/>
      <c r="U26" s="4"/>
      <c r="V26" s="4"/>
      <c r="W26" s="4"/>
      <c r="X26" s="4"/>
      <c r="Y26" s="4"/>
      <c r="Z26" s="4"/>
      <c r="AF26" s="4"/>
      <c r="AG26" s="4"/>
      <c r="AH26" s="4"/>
      <c r="AI26" s="4"/>
      <c r="AJ26" s="4"/>
      <c r="AK26" s="4"/>
      <c r="BD26" s="1177" t="s">
        <v>1625</v>
      </c>
      <c r="BE26" s="1178" t="b">
        <f>Application!M365="Yes"</f>
        <v>0</v>
      </c>
    </row>
    <row r="27" spans="1:58" ht="12.95" customHeight="1">
      <c r="A27" s="4"/>
      <c r="C27" s="4"/>
      <c r="D27" s="4"/>
      <c r="E27" s="4"/>
      <c r="F27" s="4"/>
      <c r="G27" s="4"/>
      <c r="H27" s="4"/>
      <c r="I27" s="4"/>
      <c r="J27" s="4"/>
      <c r="K27" s="4"/>
      <c r="L27" s="4"/>
      <c r="M27" s="1399">
        <f>'Basis &amp; Credits'!AB78</f>
        <v>0</v>
      </c>
      <c r="N27" s="1399"/>
      <c r="O27" s="1399"/>
      <c r="P27" s="1399"/>
      <c r="Q27" s="1399"/>
      <c r="R27" s="3" t="s">
        <v>1264</v>
      </c>
      <c r="S27" s="4"/>
      <c r="T27" s="4"/>
      <c r="U27" s="4"/>
      <c r="V27" s="4"/>
      <c r="W27" s="4"/>
      <c r="X27" s="4"/>
      <c r="Y27" s="4"/>
      <c r="Z27" s="4"/>
      <c r="AF27" s="4"/>
      <c r="AG27" s="4"/>
      <c r="AH27" s="4"/>
      <c r="AI27" s="4"/>
      <c r="AJ27" s="4"/>
      <c r="AK27" s="4"/>
      <c r="BD27" s="1176" t="s">
        <v>2046</v>
      </c>
      <c r="BE27" s="1178" t="b">
        <f>Application!M364="Yes"</f>
        <v>1</v>
      </c>
    </row>
    <row r="28" spans="1:58" ht="12.95"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2448</v>
      </c>
      <c r="BE28" s="1178" t="b">
        <f>Application!M366="Yes"</f>
        <v>0</v>
      </c>
    </row>
    <row r="29" spans="1:58" ht="12.95" customHeight="1">
      <c r="A29" s="1433" t="s">
        <v>2094</v>
      </c>
      <c r="B29" s="1433"/>
      <c r="C29" s="1433"/>
      <c r="D29" s="1433"/>
      <c r="E29" s="1433"/>
      <c r="F29" s="1433"/>
      <c r="G29" s="1433"/>
      <c r="H29" s="1433"/>
      <c r="I29" s="1433"/>
      <c r="J29" s="1433"/>
      <c r="K29" s="1433"/>
      <c r="L29" s="1433"/>
      <c r="M29" s="1433"/>
      <c r="N29" s="1433"/>
      <c r="O29" s="1433"/>
      <c r="P29" s="1433"/>
      <c r="Q29" s="1433"/>
      <c r="R29" s="1433"/>
      <c r="S29" s="1433"/>
      <c r="T29" s="1433"/>
      <c r="U29" s="1433"/>
      <c r="V29" s="1433"/>
      <c r="W29" s="1433"/>
      <c r="X29" s="1433"/>
      <c r="Y29" s="1433"/>
      <c r="Z29" s="1433"/>
      <c r="AA29" s="1433"/>
      <c r="AB29" s="1433"/>
      <c r="AC29" s="1433"/>
      <c r="AD29" s="1433"/>
      <c r="AE29" s="1433"/>
      <c r="AF29" s="1433"/>
      <c r="AG29" s="1433"/>
      <c r="AH29" s="1433"/>
      <c r="AI29" s="1433"/>
      <c r="AJ29" s="1433"/>
      <c r="AK29" s="1433"/>
      <c r="AL29" s="1433"/>
      <c r="AM29" s="1433"/>
      <c r="AN29" s="1433"/>
      <c r="AO29" s="1433"/>
      <c r="AP29" s="1433"/>
      <c r="AQ29" s="1433"/>
      <c r="AR29" s="1433"/>
      <c r="AS29" s="1433"/>
      <c r="AT29" s="1433"/>
      <c r="BD29" s="1176" t="s">
        <v>2449</v>
      </c>
      <c r="BE29" s="1178" t="b">
        <f>Application!M367="Yes"</f>
        <v>0</v>
      </c>
    </row>
    <row r="30" spans="1:58" ht="12.95" customHeight="1">
      <c r="A30" s="1433"/>
      <c r="B30" s="1433"/>
      <c r="C30" s="1433"/>
      <c r="D30" s="1433"/>
      <c r="E30" s="1433"/>
      <c r="F30" s="1433"/>
      <c r="G30" s="1433"/>
      <c r="H30" s="1433"/>
      <c r="I30" s="1433"/>
      <c r="J30" s="1433"/>
      <c r="K30" s="1433"/>
      <c r="L30" s="1433"/>
      <c r="M30" s="1433"/>
      <c r="N30" s="1433"/>
      <c r="O30" s="1433"/>
      <c r="P30" s="1433"/>
      <c r="Q30" s="1433"/>
      <c r="R30" s="1433"/>
      <c r="S30" s="1433"/>
      <c r="T30" s="1433"/>
      <c r="U30" s="1433"/>
      <c r="V30" s="1433"/>
      <c r="W30" s="1433"/>
      <c r="X30" s="1433"/>
      <c r="Y30" s="1433"/>
      <c r="Z30" s="1433"/>
      <c r="AA30" s="1433"/>
      <c r="AB30" s="1433"/>
      <c r="AC30" s="1433"/>
      <c r="AD30" s="1433"/>
      <c r="AE30" s="1433"/>
      <c r="AF30" s="1433"/>
      <c r="AG30" s="1433"/>
      <c r="AH30" s="1433"/>
      <c r="AI30" s="1433"/>
      <c r="AJ30" s="1433"/>
      <c r="AK30" s="1433"/>
      <c r="AL30" s="1433"/>
      <c r="AM30" s="1433"/>
      <c r="AN30" s="1433"/>
      <c r="AO30" s="1433"/>
      <c r="AP30" s="1433"/>
      <c r="AQ30" s="1433"/>
      <c r="AR30" s="1433"/>
      <c r="AS30" s="1433"/>
      <c r="AT30" s="1433"/>
      <c r="AZ30" s="20"/>
      <c r="BD30" s="1177" t="s">
        <v>28</v>
      </c>
      <c r="BE30" s="1178" t="b">
        <f>Application!AJ364="Yes"</f>
        <v>1</v>
      </c>
    </row>
    <row r="31" spans="1:58" ht="12.95" customHeight="1">
      <c r="A31" s="1433"/>
      <c r="B31" s="1433"/>
      <c r="C31" s="1433"/>
      <c r="D31" s="1433"/>
      <c r="E31" s="1433"/>
      <c r="F31" s="1433"/>
      <c r="G31" s="1433"/>
      <c r="H31" s="1433"/>
      <c r="I31" s="1433"/>
      <c r="J31" s="1433"/>
      <c r="K31" s="1433"/>
      <c r="L31" s="1433"/>
      <c r="M31" s="1433"/>
      <c r="N31" s="1433"/>
      <c r="O31" s="1433"/>
      <c r="P31" s="1433"/>
      <c r="Q31" s="1433"/>
      <c r="R31" s="1433"/>
      <c r="S31" s="1433"/>
      <c r="T31" s="1433"/>
      <c r="U31" s="1433"/>
      <c r="V31" s="1433"/>
      <c r="W31" s="1433"/>
      <c r="X31" s="1433"/>
      <c r="Y31" s="1433"/>
      <c r="Z31" s="1433"/>
      <c r="AA31" s="1433"/>
      <c r="AB31" s="1433"/>
      <c r="AC31" s="1433"/>
      <c r="AD31" s="1433"/>
      <c r="AE31" s="1433"/>
      <c r="AF31" s="1433"/>
      <c r="AG31" s="1433"/>
      <c r="AH31" s="1433"/>
      <c r="AI31" s="1433"/>
      <c r="AJ31" s="1433"/>
      <c r="AK31" s="1433"/>
      <c r="AL31" s="1433"/>
      <c r="AM31" s="1433"/>
      <c r="AN31" s="1433"/>
      <c r="AO31" s="1433"/>
      <c r="AP31" s="1433"/>
      <c r="AQ31" s="1433"/>
      <c r="AR31" s="1433"/>
      <c r="AS31" s="1433"/>
      <c r="AT31" s="1433"/>
      <c r="AU31" s="20"/>
      <c r="AV31" s="20"/>
      <c r="AW31" s="20"/>
      <c r="AX31" s="20"/>
      <c r="AY31" s="20"/>
      <c r="AZ31" s="20"/>
      <c r="BD31" s="1176" t="s">
        <v>2450</v>
      </c>
      <c r="BE31" s="1178" t="str">
        <f>Application!D211</f>
        <v>Large Family</v>
      </c>
    </row>
    <row r="32" spans="1:58" ht="12.95"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2451</v>
      </c>
      <c r="BE32" s="1178">
        <f>IF(ISNUMBER(Application!W473),W473,0)</f>
        <v>0</v>
      </c>
    </row>
    <row r="33" spans="1:57" ht="12.95" hidden="1" customHeight="1">
      <c r="A33" s="515" t="s">
        <v>1275</v>
      </c>
      <c r="C33" s="515"/>
      <c r="D33" s="515"/>
      <c r="E33" s="515"/>
      <c r="F33" s="515"/>
      <c r="G33" s="515"/>
      <c r="H33" s="515"/>
      <c r="I33" s="515"/>
      <c r="J33" s="515"/>
      <c r="K33" s="515"/>
      <c r="L33" s="515"/>
      <c r="M33" s="515"/>
      <c r="N33" s="515"/>
      <c r="O33" s="1296" t="s">
        <v>667</v>
      </c>
      <c r="P33" s="1296"/>
      <c r="Q33" s="1434" t="s">
        <v>2095</v>
      </c>
      <c r="R33" s="1434"/>
      <c r="S33" s="1434"/>
      <c r="T33" s="1434"/>
      <c r="U33" s="1434"/>
      <c r="V33" s="1434"/>
      <c r="W33" s="1434"/>
      <c r="X33" s="1434"/>
      <c r="Y33" s="1434"/>
      <c r="Z33" s="1434"/>
      <c r="AA33" s="1434"/>
      <c r="AB33" s="1434"/>
      <c r="AC33" s="1434"/>
      <c r="AD33" s="1434"/>
      <c r="AE33" s="1434"/>
      <c r="AF33" s="1434"/>
      <c r="AG33" s="1434"/>
      <c r="AH33" s="1434"/>
      <c r="AI33" s="1434"/>
      <c r="AJ33" s="1434"/>
      <c r="AK33" s="1434"/>
      <c r="AL33" s="1434"/>
      <c r="AM33" s="1434"/>
      <c r="AN33" s="1434"/>
      <c r="AO33" s="1434"/>
      <c r="AP33" s="1434"/>
      <c r="AQ33" s="1434"/>
      <c r="AR33" s="1434"/>
      <c r="AS33" s="1434"/>
      <c r="AT33" s="1434"/>
      <c r="AU33" s="20"/>
      <c r="AV33" s="20"/>
      <c r="AW33" s="20"/>
      <c r="AX33" s="20"/>
      <c r="AY33" s="20"/>
      <c r="BD33" s="1176" t="s">
        <v>2516</v>
      </c>
      <c r="BE33" s="1178" t="str">
        <f>Application!D220</f>
        <v>Balance of Los Angeles County</v>
      </c>
    </row>
    <row r="34" spans="1:57" ht="12.95" hidden="1" customHeight="1">
      <c r="A34" s="1433" t="s">
        <v>2096</v>
      </c>
      <c r="B34" s="1433"/>
      <c r="C34" s="1433"/>
      <c r="D34" s="1433"/>
      <c r="E34" s="1433"/>
      <c r="F34" s="1433"/>
      <c r="G34" s="1433"/>
      <c r="H34" s="1433"/>
      <c r="I34" s="1433"/>
      <c r="J34" s="1433"/>
      <c r="K34" s="1433"/>
      <c r="L34" s="1433"/>
      <c r="M34" s="1433"/>
      <c r="N34" s="1433"/>
      <c r="O34" s="1433"/>
      <c r="P34" s="1433"/>
      <c r="Q34" s="1433"/>
      <c r="R34" s="1433"/>
      <c r="S34" s="1433"/>
      <c r="T34" s="1433"/>
      <c r="U34" s="1433"/>
      <c r="V34" s="1433"/>
      <c r="W34" s="1433"/>
      <c r="X34" s="1433"/>
      <c r="Y34" s="1433"/>
      <c r="Z34" s="1433"/>
      <c r="AA34" s="1433"/>
      <c r="AB34" s="1433"/>
      <c r="AC34" s="1433"/>
      <c r="AD34" s="1433"/>
      <c r="AE34" s="1433"/>
      <c r="AF34" s="1433"/>
      <c r="AG34" s="1433"/>
      <c r="AH34" s="1433"/>
      <c r="AI34" s="1433"/>
      <c r="AJ34" s="1433"/>
      <c r="AK34" s="1433"/>
      <c r="AL34" s="1433"/>
      <c r="AM34" s="1433"/>
      <c r="AN34" s="1433"/>
      <c r="AO34" s="1433"/>
      <c r="AP34" s="1433"/>
      <c r="AQ34" s="1433"/>
      <c r="AR34" s="1433"/>
      <c r="AS34" s="1433"/>
      <c r="AT34" s="1433"/>
      <c r="AU34" s="20"/>
      <c r="AV34" s="20"/>
      <c r="AW34" s="20"/>
      <c r="AX34" s="20"/>
      <c r="AY34" s="20"/>
      <c r="AZ34" s="20"/>
      <c r="BD34" s="1177" t="s">
        <v>2452</v>
      </c>
      <c r="BE34" s="1178" t="str">
        <f>Application!I185</f>
        <v>3590 Elm Avenue</v>
      </c>
    </row>
    <row r="35" spans="1:57" ht="12.95" hidden="1" customHeight="1">
      <c r="A35" s="1433"/>
      <c r="B35" s="1433"/>
      <c r="C35" s="1433"/>
      <c r="D35" s="1433"/>
      <c r="E35" s="1433"/>
      <c r="F35" s="1433"/>
      <c r="G35" s="1433"/>
      <c r="H35" s="1433"/>
      <c r="I35" s="1433"/>
      <c r="J35" s="1433"/>
      <c r="K35" s="1433"/>
      <c r="L35" s="1433"/>
      <c r="M35" s="1433"/>
      <c r="N35" s="1433"/>
      <c r="O35" s="1433"/>
      <c r="P35" s="1433"/>
      <c r="Q35" s="1433"/>
      <c r="R35" s="1433"/>
      <c r="S35" s="1433"/>
      <c r="T35" s="1433"/>
      <c r="U35" s="1433"/>
      <c r="V35" s="1433"/>
      <c r="W35" s="1433"/>
      <c r="X35" s="1433"/>
      <c r="Y35" s="1433"/>
      <c r="Z35" s="1433"/>
      <c r="AA35" s="1433"/>
      <c r="AB35" s="1433"/>
      <c r="AC35" s="1433"/>
      <c r="AD35" s="1433"/>
      <c r="AE35" s="1433"/>
      <c r="AF35" s="1433"/>
      <c r="AG35" s="1433"/>
      <c r="AH35" s="1433"/>
      <c r="AI35" s="1433"/>
      <c r="AJ35" s="1433"/>
      <c r="AK35" s="1433"/>
      <c r="AL35" s="1433"/>
      <c r="AM35" s="1433"/>
      <c r="AN35" s="1433"/>
      <c r="AO35" s="1433"/>
      <c r="AP35" s="1433"/>
      <c r="AQ35" s="1433"/>
      <c r="AR35" s="1433"/>
      <c r="AS35" s="1433"/>
      <c r="AT35" s="1433"/>
      <c r="AU35" s="20"/>
      <c r="AV35" s="20"/>
      <c r="AW35" s="20"/>
      <c r="AX35" s="20"/>
      <c r="AY35" s="20"/>
      <c r="AZ35" s="20"/>
      <c r="BD35" s="1176" t="s">
        <v>2453</v>
      </c>
      <c r="BE35" s="1178" t="str">
        <f>IF(Application!E187="","",Application!E187)</f>
        <v/>
      </c>
    </row>
    <row r="36" spans="1:57" ht="12.95" hidden="1" customHeight="1">
      <c r="A36" s="1433"/>
      <c r="B36" s="1433"/>
      <c r="C36" s="1433"/>
      <c r="D36" s="1433"/>
      <c r="E36" s="1433"/>
      <c r="F36" s="1433"/>
      <c r="G36" s="1433"/>
      <c r="H36" s="1433"/>
      <c r="I36" s="1433"/>
      <c r="J36" s="1433"/>
      <c r="K36" s="1433"/>
      <c r="L36" s="1433"/>
      <c r="M36" s="1433"/>
      <c r="N36" s="1433"/>
      <c r="O36" s="1433"/>
      <c r="P36" s="1433"/>
      <c r="Q36" s="1433"/>
      <c r="R36" s="1433"/>
      <c r="S36" s="1433"/>
      <c r="T36" s="1433"/>
      <c r="U36" s="1433"/>
      <c r="V36" s="1433"/>
      <c r="W36" s="1433"/>
      <c r="X36" s="1433"/>
      <c r="Y36" s="1433"/>
      <c r="Z36" s="1433"/>
      <c r="AA36" s="1433"/>
      <c r="AB36" s="1433"/>
      <c r="AC36" s="1433"/>
      <c r="AD36" s="1433"/>
      <c r="AE36" s="1433"/>
      <c r="AF36" s="1433"/>
      <c r="AG36" s="1433"/>
      <c r="AH36" s="1433"/>
      <c r="AI36" s="1433"/>
      <c r="AJ36" s="1433"/>
      <c r="AK36" s="1433"/>
      <c r="AL36" s="1433"/>
      <c r="AM36" s="1433"/>
      <c r="AN36" s="1433"/>
      <c r="AO36" s="1433"/>
      <c r="AP36" s="1433"/>
      <c r="AQ36" s="1433"/>
      <c r="AR36" s="1433"/>
      <c r="AS36" s="1433"/>
      <c r="AT36" s="1433"/>
      <c r="AU36" s="20"/>
      <c r="AV36" s="20"/>
      <c r="AW36" s="20"/>
      <c r="AX36" s="20"/>
      <c r="AY36" s="20"/>
      <c r="AZ36" s="20"/>
      <c r="BD36" s="1177" t="s">
        <v>2454</v>
      </c>
      <c r="BE36" s="1178" t="str">
        <f>Application!I189</f>
        <v>Long Beach</v>
      </c>
    </row>
    <row r="37" spans="1:57" ht="12.95" hidden="1" customHeight="1">
      <c r="A37" s="1433"/>
      <c r="B37" s="1433"/>
      <c r="C37" s="1433"/>
      <c r="D37" s="1433"/>
      <c r="E37" s="1433"/>
      <c r="F37" s="1433"/>
      <c r="G37" s="1433"/>
      <c r="H37" s="1433"/>
      <c r="I37" s="1433"/>
      <c r="J37" s="1433"/>
      <c r="K37" s="1433"/>
      <c r="L37" s="1433"/>
      <c r="M37" s="1433"/>
      <c r="N37" s="1433"/>
      <c r="O37" s="1433"/>
      <c r="P37" s="1433"/>
      <c r="Q37" s="1433"/>
      <c r="R37" s="1433"/>
      <c r="S37" s="1433"/>
      <c r="T37" s="1433"/>
      <c r="U37" s="1433"/>
      <c r="V37" s="1433"/>
      <c r="W37" s="1433"/>
      <c r="X37" s="1433"/>
      <c r="Y37" s="1433"/>
      <c r="Z37" s="1433"/>
      <c r="AA37" s="1433"/>
      <c r="AB37" s="1433"/>
      <c r="AC37" s="1433"/>
      <c r="AD37" s="1433"/>
      <c r="AE37" s="1433"/>
      <c r="AF37" s="1433"/>
      <c r="AG37" s="1433"/>
      <c r="AH37" s="1433"/>
      <c r="AI37" s="1433"/>
      <c r="AJ37" s="1433"/>
      <c r="AK37" s="1433"/>
      <c r="AL37" s="1433"/>
      <c r="AM37" s="1433"/>
      <c r="AN37" s="1433"/>
      <c r="AO37" s="1433"/>
      <c r="AP37" s="1433"/>
      <c r="AQ37" s="1433"/>
      <c r="AR37" s="1433"/>
      <c r="AS37" s="1433"/>
      <c r="AT37" s="1433"/>
      <c r="AZ37" s="20"/>
      <c r="BD37" s="1176" t="s">
        <v>2455</v>
      </c>
      <c r="BE37" s="1178" t="str">
        <f>Application!T189</f>
        <v>Los Angeles</v>
      </c>
    </row>
    <row r="38" spans="1:57" ht="12.95" hidden="1" customHeight="1">
      <c r="A38" s="3"/>
      <c r="AZ38" s="20"/>
      <c r="BD38" s="1177" t="s">
        <v>2456</v>
      </c>
      <c r="BE38" s="1178" t="str">
        <f>Application!I190</f>
        <v xml:space="preserve">90807					</v>
      </c>
    </row>
    <row r="39" spans="1:57" ht="12.95" customHeight="1">
      <c r="A39" s="1435" t="s">
        <v>2097</v>
      </c>
      <c r="B39" s="1435"/>
      <c r="C39" s="1435"/>
      <c r="D39" s="1435"/>
      <c r="E39" s="1435"/>
      <c r="F39" s="1435"/>
      <c r="G39" s="1435"/>
      <c r="H39" s="1435"/>
      <c r="I39" s="1435"/>
      <c r="J39" s="1435"/>
      <c r="K39" s="1435"/>
      <c r="L39" s="1435"/>
      <c r="M39" s="1435"/>
      <c r="N39" s="1435"/>
      <c r="O39" s="1435"/>
      <c r="P39" s="1435"/>
      <c r="Q39" s="1435"/>
      <c r="R39" s="1435"/>
      <c r="S39" s="1435"/>
      <c r="T39" s="1435"/>
      <c r="U39" s="1435"/>
      <c r="V39" s="1435"/>
      <c r="W39" s="1435"/>
      <c r="X39" s="1435"/>
      <c r="Y39" s="1435"/>
      <c r="Z39" s="1435"/>
      <c r="AA39" s="1435"/>
      <c r="AB39" s="1435"/>
      <c r="AC39" s="1435"/>
      <c r="AD39" s="1435"/>
      <c r="AE39" s="1435"/>
      <c r="AF39" s="1435"/>
      <c r="AG39" s="1435"/>
      <c r="AH39" s="1435"/>
      <c r="AI39" s="1435"/>
      <c r="AJ39" s="1435"/>
      <c r="AK39" s="1435"/>
      <c r="AL39" s="1435"/>
      <c r="AM39" s="1435"/>
      <c r="AN39" s="1435"/>
      <c r="AO39" s="1435"/>
      <c r="AP39" s="1435"/>
      <c r="AQ39" s="1435"/>
      <c r="AR39" s="1435"/>
      <c r="AS39" s="1435"/>
      <c r="AT39" s="1435"/>
      <c r="AZ39" s="20"/>
      <c r="BD39" s="1176" t="s">
        <v>2457</v>
      </c>
      <c r="BE39" s="1178">
        <f>Application!AG446</f>
        <v>109</v>
      </c>
    </row>
    <row r="40" spans="1:57" ht="12.95" customHeight="1">
      <c r="A40" s="1435"/>
      <c r="B40" s="1435"/>
      <c r="C40" s="1435"/>
      <c r="D40" s="1435"/>
      <c r="E40" s="1435"/>
      <c r="F40" s="1435"/>
      <c r="G40" s="1435"/>
      <c r="H40" s="1435"/>
      <c r="I40" s="1435"/>
      <c r="J40" s="1435"/>
      <c r="K40" s="1435"/>
      <c r="L40" s="1435"/>
      <c r="M40" s="1435"/>
      <c r="N40" s="1435"/>
      <c r="O40" s="1435"/>
      <c r="P40" s="1435"/>
      <c r="Q40" s="1435"/>
      <c r="R40" s="1435"/>
      <c r="S40" s="1435"/>
      <c r="T40" s="1435"/>
      <c r="U40" s="1435"/>
      <c r="V40" s="1435"/>
      <c r="W40" s="1435"/>
      <c r="X40" s="1435"/>
      <c r="Y40" s="1435"/>
      <c r="Z40" s="1435"/>
      <c r="AA40" s="1435"/>
      <c r="AB40" s="1435"/>
      <c r="AC40" s="1435"/>
      <c r="AD40" s="1435"/>
      <c r="AE40" s="1435"/>
      <c r="AF40" s="1435"/>
      <c r="AG40" s="1435"/>
      <c r="AH40" s="1435"/>
      <c r="AI40" s="1435"/>
      <c r="AJ40" s="1435"/>
      <c r="AK40" s="1435"/>
      <c r="AL40" s="1435"/>
      <c r="AM40" s="1435"/>
      <c r="AN40" s="1435"/>
      <c r="AO40" s="1435"/>
      <c r="AP40" s="1435"/>
      <c r="AQ40" s="1435"/>
      <c r="AR40" s="1435"/>
      <c r="AS40" s="1435"/>
      <c r="AT40" s="1435"/>
      <c r="AU40" s="20"/>
      <c r="AV40" s="20"/>
      <c r="AW40" s="20"/>
      <c r="AX40" s="20"/>
      <c r="AY40" s="20"/>
      <c r="AZ40" s="20"/>
      <c r="BD40" s="1177" t="s">
        <v>383</v>
      </c>
      <c r="BE40" s="1178">
        <f>Application!AG449</f>
        <v>108</v>
      </c>
    </row>
    <row r="41" spans="1:57" ht="12.95" customHeight="1">
      <c r="A41" s="1435"/>
      <c r="B41" s="1435"/>
      <c r="C41" s="1435"/>
      <c r="D41" s="1435"/>
      <c r="E41" s="1435"/>
      <c r="F41" s="1435"/>
      <c r="G41" s="1435"/>
      <c r="H41" s="1435"/>
      <c r="I41" s="1435"/>
      <c r="J41" s="1435"/>
      <c r="K41" s="1435"/>
      <c r="L41" s="1435"/>
      <c r="M41" s="1435"/>
      <c r="N41" s="1435"/>
      <c r="O41" s="1435"/>
      <c r="P41" s="1435"/>
      <c r="Q41" s="1435"/>
      <c r="R41" s="1435"/>
      <c r="S41" s="1435"/>
      <c r="T41" s="1435"/>
      <c r="U41" s="1435"/>
      <c r="V41" s="1435"/>
      <c r="W41" s="1435"/>
      <c r="X41" s="1435"/>
      <c r="Y41" s="1435"/>
      <c r="Z41" s="1435"/>
      <c r="AA41" s="1435"/>
      <c r="AB41" s="1435"/>
      <c r="AC41" s="1435"/>
      <c r="AD41" s="1435"/>
      <c r="AE41" s="1435"/>
      <c r="AF41" s="1435"/>
      <c r="AG41" s="1435"/>
      <c r="AH41" s="1435"/>
      <c r="AI41" s="1435"/>
      <c r="AJ41" s="1435"/>
      <c r="AK41" s="1435"/>
      <c r="AL41" s="1435"/>
      <c r="AM41" s="1435"/>
      <c r="AN41" s="1435"/>
      <c r="AO41" s="1435"/>
      <c r="AP41" s="1435"/>
      <c r="AQ41" s="1435"/>
      <c r="AR41" s="1435"/>
      <c r="AS41" s="1435"/>
      <c r="AT41" s="1435"/>
      <c r="AU41" s="20"/>
      <c r="AV41" s="20"/>
      <c r="AW41" s="20"/>
      <c r="AX41" s="20"/>
      <c r="AY41" s="20"/>
      <c r="AZ41" s="20"/>
      <c r="BD41" s="1176" t="s">
        <v>286</v>
      </c>
      <c r="BE41" s="1178">
        <f>Application!AG447</f>
        <v>0</v>
      </c>
    </row>
    <row r="42" spans="1:57" ht="12.95" customHeight="1">
      <c r="A42" s="1435"/>
      <c r="B42" s="1435"/>
      <c r="C42" s="1435"/>
      <c r="D42" s="1435"/>
      <c r="E42" s="1435"/>
      <c r="F42" s="1435"/>
      <c r="G42" s="1435"/>
      <c r="H42" s="1435"/>
      <c r="I42" s="1435"/>
      <c r="J42" s="1435"/>
      <c r="K42" s="1435"/>
      <c r="L42" s="1435"/>
      <c r="M42" s="1435"/>
      <c r="N42" s="1435"/>
      <c r="O42" s="1435"/>
      <c r="P42" s="1435"/>
      <c r="Q42" s="1435"/>
      <c r="R42" s="1435"/>
      <c r="S42" s="1435"/>
      <c r="T42" s="1435"/>
      <c r="U42" s="1435"/>
      <c r="V42" s="1435"/>
      <c r="W42" s="1435"/>
      <c r="X42" s="1435"/>
      <c r="Y42" s="1435"/>
      <c r="Z42" s="1435"/>
      <c r="AA42" s="1435"/>
      <c r="AB42" s="1435"/>
      <c r="AC42" s="1435"/>
      <c r="AD42" s="1435"/>
      <c r="AE42" s="1435"/>
      <c r="AF42" s="1435"/>
      <c r="AG42" s="1435"/>
      <c r="AH42" s="1435"/>
      <c r="AI42" s="1435"/>
      <c r="AJ42" s="1435"/>
      <c r="AK42" s="1435"/>
      <c r="AL42" s="1435"/>
      <c r="AM42" s="1435"/>
      <c r="AN42" s="1435"/>
      <c r="AO42" s="1435"/>
      <c r="AP42" s="1435"/>
      <c r="AQ42" s="1435"/>
      <c r="AR42" s="1435"/>
      <c r="AS42" s="1435"/>
      <c r="AT42" s="1435"/>
      <c r="AZ42" s="20"/>
      <c r="BD42" s="1177" t="s">
        <v>2458</v>
      </c>
      <c r="BE42" s="1180">
        <f>Application!AC761</f>
        <v>0.49999999999999994</v>
      </c>
    </row>
    <row r="43" spans="1:57" ht="12.95" customHeight="1">
      <c r="A43" s="1435"/>
      <c r="B43" s="1435"/>
      <c r="C43" s="1435"/>
      <c r="D43" s="1435"/>
      <c r="E43" s="1435"/>
      <c r="F43" s="1435"/>
      <c r="G43" s="1435"/>
      <c r="H43" s="1435"/>
      <c r="I43" s="1435"/>
      <c r="J43" s="1435"/>
      <c r="K43" s="1435"/>
      <c r="L43" s="1435"/>
      <c r="M43" s="1435"/>
      <c r="N43" s="1435"/>
      <c r="O43" s="1435"/>
      <c r="P43" s="1435"/>
      <c r="Q43" s="1435"/>
      <c r="R43" s="1435"/>
      <c r="S43" s="1435"/>
      <c r="T43" s="1435"/>
      <c r="U43" s="1435"/>
      <c r="V43" s="1435"/>
      <c r="W43" s="1435"/>
      <c r="X43" s="1435"/>
      <c r="Y43" s="1435"/>
      <c r="Z43" s="1435"/>
      <c r="AA43" s="1435"/>
      <c r="AB43" s="1435"/>
      <c r="AC43" s="1435"/>
      <c r="AD43" s="1435"/>
      <c r="AE43" s="1435"/>
      <c r="AF43" s="1435"/>
      <c r="AG43" s="1435"/>
      <c r="AH43" s="1435"/>
      <c r="AI43" s="1435"/>
      <c r="AJ43" s="1435"/>
      <c r="AK43" s="1435"/>
      <c r="AL43" s="1435"/>
      <c r="AM43" s="1435"/>
      <c r="AN43" s="1435"/>
      <c r="AO43" s="1435"/>
      <c r="AP43" s="1435"/>
      <c r="AQ43" s="1435"/>
      <c r="AR43" s="1435"/>
      <c r="AS43" s="1435"/>
      <c r="AT43" s="1435"/>
      <c r="AU43" s="20"/>
      <c r="AV43" s="20"/>
      <c r="AW43" s="20"/>
      <c r="AX43" s="20"/>
      <c r="AY43" s="20"/>
      <c r="AZ43" s="20"/>
      <c r="BD43" s="1176" t="s">
        <v>2459</v>
      </c>
      <c r="BE43" s="1180">
        <f>Application!AH761</f>
        <v>0.50008878247996535</v>
      </c>
    </row>
    <row r="44" spans="1:57" ht="12.95" customHeight="1">
      <c r="A44" s="1435"/>
      <c r="B44" s="1435"/>
      <c r="C44" s="1435"/>
      <c r="D44" s="1435"/>
      <c r="E44" s="1435"/>
      <c r="F44" s="1435"/>
      <c r="G44" s="1435"/>
      <c r="H44" s="1435"/>
      <c r="I44" s="1435"/>
      <c r="J44" s="1435"/>
      <c r="K44" s="1435"/>
      <c r="L44" s="1435"/>
      <c r="M44" s="1435"/>
      <c r="N44" s="1435"/>
      <c r="O44" s="1435"/>
      <c r="P44" s="1435"/>
      <c r="Q44" s="1435"/>
      <c r="R44" s="1435"/>
      <c r="S44" s="1435"/>
      <c r="T44" s="1435"/>
      <c r="U44" s="1435"/>
      <c r="V44" s="1435"/>
      <c r="W44" s="1435"/>
      <c r="X44" s="1435"/>
      <c r="Y44" s="1435"/>
      <c r="Z44" s="1435"/>
      <c r="AA44" s="1435"/>
      <c r="AB44" s="1435"/>
      <c r="AC44" s="1435"/>
      <c r="AD44" s="1435"/>
      <c r="AE44" s="1435"/>
      <c r="AF44" s="1435"/>
      <c r="AG44" s="1435"/>
      <c r="AH44" s="1435"/>
      <c r="AI44" s="1435"/>
      <c r="AJ44" s="1435"/>
      <c r="AK44" s="1435"/>
      <c r="AL44" s="1435"/>
      <c r="AM44" s="1435"/>
      <c r="AN44" s="1435"/>
      <c r="AO44" s="1435"/>
      <c r="AP44" s="1435"/>
      <c r="AQ44" s="1435"/>
      <c r="AR44" s="1435"/>
      <c r="AS44" s="1435"/>
      <c r="AT44" s="1435"/>
      <c r="AU44" s="20"/>
      <c r="AV44" s="20"/>
      <c r="AW44" s="20"/>
      <c r="AX44" s="20"/>
      <c r="AY44" s="20"/>
      <c r="AZ44" s="20"/>
      <c r="BD44" s="1177" t="s">
        <v>2460</v>
      </c>
      <c r="BE44" s="1178">
        <f>Application!AC463</f>
        <v>781672.66972477059</v>
      </c>
    </row>
    <row r="45" spans="1:57" ht="12.95"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2461</v>
      </c>
      <c r="BE45" s="1178">
        <f>Application!AE433</f>
        <v>1</v>
      </c>
    </row>
    <row r="46" spans="1:57" ht="12.95" customHeight="1">
      <c r="A46" s="1301" t="s">
        <v>2098</v>
      </c>
      <c r="B46" s="1301"/>
      <c r="C46" s="1301"/>
      <c r="D46" s="1301"/>
      <c r="E46" s="1301"/>
      <c r="F46" s="1301"/>
      <c r="G46" s="1301"/>
      <c r="H46" s="1301"/>
      <c r="I46" s="1301"/>
      <c r="J46" s="1301"/>
      <c r="K46" s="1301"/>
      <c r="L46" s="1301"/>
      <c r="M46" s="1301"/>
      <c r="N46" s="1301"/>
      <c r="O46" s="1301"/>
      <c r="P46" s="1301"/>
      <c r="Q46" s="1301"/>
      <c r="R46" s="1301"/>
      <c r="S46" s="1301"/>
      <c r="T46" s="1301"/>
      <c r="U46" s="1301"/>
      <c r="V46" s="1301"/>
      <c r="W46" s="1301"/>
      <c r="X46" s="1301"/>
      <c r="Y46" s="1301"/>
      <c r="Z46" s="1301"/>
      <c r="AA46" s="1301"/>
      <c r="AB46" s="1301"/>
      <c r="AC46" s="1301"/>
      <c r="AD46" s="1301"/>
      <c r="AE46" s="1301"/>
      <c r="AF46" s="1301"/>
      <c r="AG46" s="1301"/>
      <c r="AH46" s="1301"/>
      <c r="AI46" s="1301"/>
      <c r="AJ46" s="1301"/>
      <c r="AK46" s="1301"/>
      <c r="AL46" s="1301"/>
      <c r="AM46" s="1301"/>
      <c r="AN46" s="1301"/>
      <c r="AO46" s="1301"/>
      <c r="AP46" s="1301"/>
      <c r="AQ46" s="1301"/>
      <c r="AR46" s="1301"/>
      <c r="AS46" s="1301"/>
      <c r="AT46" s="1301"/>
      <c r="AU46" s="20"/>
      <c r="AV46" s="20"/>
      <c r="AW46" s="20"/>
      <c r="AX46" s="20"/>
      <c r="AY46" s="20"/>
      <c r="AZ46" s="20"/>
      <c r="BD46" s="1177" t="s">
        <v>2462</v>
      </c>
      <c r="BE46" s="1178" t="b">
        <f>Application!T195="Yes"</f>
        <v>1</v>
      </c>
    </row>
    <row r="47" spans="1:57" ht="12.95" customHeight="1">
      <c r="A47" s="1301"/>
      <c r="B47" s="1301"/>
      <c r="C47" s="1301"/>
      <c r="D47" s="1301"/>
      <c r="E47" s="1301"/>
      <c r="F47" s="1301"/>
      <c r="G47" s="1301"/>
      <c r="H47" s="1301"/>
      <c r="I47" s="1301"/>
      <c r="J47" s="1301"/>
      <c r="K47" s="1301"/>
      <c r="L47" s="1301"/>
      <c r="M47" s="1301"/>
      <c r="N47" s="1301"/>
      <c r="O47" s="1301"/>
      <c r="P47" s="1301"/>
      <c r="Q47" s="1301"/>
      <c r="R47" s="1301"/>
      <c r="S47" s="1301"/>
      <c r="T47" s="1301"/>
      <c r="U47" s="1301"/>
      <c r="V47" s="1301"/>
      <c r="W47" s="1301"/>
      <c r="X47" s="1301"/>
      <c r="Y47" s="1301"/>
      <c r="Z47" s="1301"/>
      <c r="AA47" s="1301"/>
      <c r="AB47" s="1301"/>
      <c r="AC47" s="1301"/>
      <c r="AD47" s="1301"/>
      <c r="AE47" s="1301"/>
      <c r="AF47" s="1301"/>
      <c r="AG47" s="1301"/>
      <c r="AH47" s="1301"/>
      <c r="AI47" s="1301"/>
      <c r="AJ47" s="1301"/>
      <c r="AK47" s="1301"/>
      <c r="AL47" s="1301"/>
      <c r="AM47" s="1301"/>
      <c r="AN47" s="1301"/>
      <c r="AO47" s="1301"/>
      <c r="AP47" s="1301"/>
      <c r="AQ47" s="1301"/>
      <c r="AR47" s="1301"/>
      <c r="AS47" s="1301"/>
      <c r="AT47" s="1301"/>
      <c r="AU47" s="20"/>
      <c r="AV47" s="20"/>
      <c r="AW47" s="20"/>
      <c r="AX47" s="20"/>
      <c r="AY47" s="20"/>
      <c r="AZ47" s="20"/>
      <c r="BD47" s="1176" t="s">
        <v>2463</v>
      </c>
      <c r="BE47" s="1178" t="b">
        <f>Application!T196="Yes"</f>
        <v>0</v>
      </c>
    </row>
    <row r="48" spans="1:57" ht="12.95" customHeight="1">
      <c r="A48" s="1301"/>
      <c r="B48" s="1301"/>
      <c r="C48" s="1301"/>
      <c r="D48" s="1301"/>
      <c r="E48" s="1301"/>
      <c r="F48" s="1301"/>
      <c r="G48" s="1301"/>
      <c r="H48" s="1301"/>
      <c r="I48" s="1301"/>
      <c r="J48" s="1301"/>
      <c r="K48" s="1301"/>
      <c r="L48" s="1301"/>
      <c r="M48" s="1301"/>
      <c r="N48" s="1301"/>
      <c r="O48" s="1301"/>
      <c r="P48" s="1301"/>
      <c r="Q48" s="1301"/>
      <c r="R48" s="1301"/>
      <c r="S48" s="1301"/>
      <c r="T48" s="1301"/>
      <c r="U48" s="1301"/>
      <c r="V48" s="1301"/>
      <c r="W48" s="1301"/>
      <c r="X48" s="1301"/>
      <c r="Y48" s="1301"/>
      <c r="Z48" s="1301"/>
      <c r="AA48" s="1301"/>
      <c r="AB48" s="1301"/>
      <c r="AC48" s="1301"/>
      <c r="AD48" s="1301"/>
      <c r="AE48" s="1301"/>
      <c r="AF48" s="1301"/>
      <c r="AG48" s="1301"/>
      <c r="AH48" s="1301"/>
      <c r="AI48" s="1301"/>
      <c r="AJ48" s="1301"/>
      <c r="AK48" s="1301"/>
      <c r="AL48" s="1301"/>
      <c r="AM48" s="1301"/>
      <c r="AN48" s="1301"/>
      <c r="AO48" s="1301"/>
      <c r="AP48" s="1301"/>
      <c r="AQ48" s="1301"/>
      <c r="AR48" s="1301"/>
      <c r="AS48" s="1301"/>
      <c r="AT48" s="1301"/>
      <c r="AU48" s="20"/>
      <c r="AV48" s="20"/>
      <c r="AW48" s="20"/>
      <c r="AX48" s="20"/>
      <c r="AY48" s="20"/>
      <c r="AZ48" s="20"/>
      <c r="BD48" s="1177" t="s">
        <v>2464</v>
      </c>
      <c r="BE48" s="1178" t="str">
        <f>Application!M252</f>
        <v>Linc 3590 LLC</v>
      </c>
    </row>
    <row r="49" spans="1:57" ht="12.95" customHeight="1">
      <c r="A49" s="1301"/>
      <c r="B49" s="1301"/>
      <c r="C49" s="1301"/>
      <c r="D49" s="1301"/>
      <c r="E49" s="1301"/>
      <c r="F49" s="1301"/>
      <c r="G49" s="1301"/>
      <c r="H49" s="1301"/>
      <c r="I49" s="1301"/>
      <c r="J49" s="1301"/>
      <c r="K49" s="1301"/>
      <c r="L49" s="1301"/>
      <c r="M49" s="1301"/>
      <c r="N49" s="1301"/>
      <c r="O49" s="1301"/>
      <c r="P49" s="1301"/>
      <c r="Q49" s="1301"/>
      <c r="R49" s="1301"/>
      <c r="S49" s="1301"/>
      <c r="T49" s="1301"/>
      <c r="U49" s="1301"/>
      <c r="V49" s="1301"/>
      <c r="W49" s="1301"/>
      <c r="X49" s="1301"/>
      <c r="Y49" s="1301"/>
      <c r="Z49" s="1301"/>
      <c r="AA49" s="1301"/>
      <c r="AB49" s="1301"/>
      <c r="AC49" s="1301"/>
      <c r="AD49" s="1301"/>
      <c r="AE49" s="1301"/>
      <c r="AF49" s="1301"/>
      <c r="AG49" s="1301"/>
      <c r="AH49" s="1301"/>
      <c r="AI49" s="1301"/>
      <c r="AJ49" s="1301"/>
      <c r="AK49" s="1301"/>
      <c r="AL49" s="1301"/>
      <c r="AM49" s="1301"/>
      <c r="AN49" s="1301"/>
      <c r="AO49" s="1301"/>
      <c r="AP49" s="1301"/>
      <c r="AQ49" s="1301"/>
      <c r="AR49" s="1301"/>
      <c r="AS49" s="1301"/>
      <c r="AT49" s="1301"/>
      <c r="AU49" s="20"/>
      <c r="AV49" s="20"/>
      <c r="AW49" s="20"/>
      <c r="AX49" s="20"/>
      <c r="AY49" s="20"/>
      <c r="AZ49" s="20"/>
      <c r="BD49" s="1176" t="s">
        <v>2465</v>
      </c>
      <c r="BE49" s="1178" t="str">
        <f>Application!M255</f>
        <v>Jeff Williams</v>
      </c>
    </row>
    <row r="50" spans="1:57" ht="12.95"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2466</v>
      </c>
      <c r="BE50" s="1178" t="str">
        <f>Application!AA258</f>
        <v>Linc Housing Corporation</v>
      </c>
    </row>
    <row r="51" spans="1:57" ht="12.95" customHeight="1">
      <c r="A51" s="1435" t="s">
        <v>2099</v>
      </c>
      <c r="B51" s="1435"/>
      <c r="C51" s="1435"/>
      <c r="D51" s="1435"/>
      <c r="E51" s="1435"/>
      <c r="F51" s="1435"/>
      <c r="G51" s="1435"/>
      <c r="H51" s="1435"/>
      <c r="I51" s="1435"/>
      <c r="J51" s="1435"/>
      <c r="K51" s="1435"/>
      <c r="L51" s="1435"/>
      <c r="M51" s="1435"/>
      <c r="N51" s="1435"/>
      <c r="O51" s="1435"/>
      <c r="P51" s="1435"/>
      <c r="Q51" s="1435"/>
      <c r="R51" s="1435"/>
      <c r="S51" s="1435"/>
      <c r="T51" s="1435"/>
      <c r="U51" s="1435"/>
      <c r="V51" s="1435"/>
      <c r="W51" s="1435"/>
      <c r="X51" s="1435"/>
      <c r="Y51" s="1435"/>
      <c r="Z51" s="1435"/>
      <c r="AA51" s="1435"/>
      <c r="AB51" s="1435"/>
      <c r="AC51" s="1435"/>
      <c r="AD51" s="1435"/>
      <c r="AE51" s="1435"/>
      <c r="AF51" s="1435"/>
      <c r="AG51" s="1435"/>
      <c r="AH51" s="1435"/>
      <c r="AI51" s="1435"/>
      <c r="AJ51" s="1435"/>
      <c r="AK51" s="1435"/>
      <c r="AL51" s="1435"/>
      <c r="AM51" s="1435"/>
      <c r="AN51" s="1435"/>
      <c r="AO51" s="1435"/>
      <c r="AP51" s="1435"/>
      <c r="AQ51" s="1435"/>
      <c r="AR51" s="1435"/>
      <c r="AS51" s="1435"/>
      <c r="AT51" s="1435"/>
      <c r="AU51" s="20"/>
      <c r="AV51" s="20"/>
      <c r="AW51" s="20"/>
      <c r="AX51" s="20"/>
      <c r="AY51" s="20"/>
      <c r="AZ51" s="20"/>
      <c r="BD51" s="1176" t="s">
        <v>2467</v>
      </c>
      <c r="BE51" s="1178" t="str">
        <f>Application!M260</f>
        <v>N/A</v>
      </c>
    </row>
    <row r="52" spans="1:57" ht="12.95" customHeight="1">
      <c r="A52" s="1435"/>
      <c r="B52" s="1435"/>
      <c r="C52" s="1435"/>
      <c r="D52" s="1435"/>
      <c r="E52" s="1435"/>
      <c r="F52" s="1435"/>
      <c r="G52" s="1435"/>
      <c r="H52" s="1435"/>
      <c r="I52" s="1435"/>
      <c r="J52" s="1435"/>
      <c r="K52" s="1435"/>
      <c r="L52" s="1435"/>
      <c r="M52" s="1435"/>
      <c r="N52" s="1435"/>
      <c r="O52" s="1435"/>
      <c r="P52" s="1435"/>
      <c r="Q52" s="1435"/>
      <c r="R52" s="1435"/>
      <c r="S52" s="1435"/>
      <c r="T52" s="1435"/>
      <c r="U52" s="1435"/>
      <c r="V52" s="1435"/>
      <c r="W52" s="1435"/>
      <c r="X52" s="1435"/>
      <c r="Y52" s="1435"/>
      <c r="Z52" s="1435"/>
      <c r="AA52" s="1435"/>
      <c r="AB52" s="1435"/>
      <c r="AC52" s="1435"/>
      <c r="AD52" s="1435"/>
      <c r="AE52" s="1435"/>
      <c r="AF52" s="1435"/>
      <c r="AG52" s="1435"/>
      <c r="AH52" s="1435"/>
      <c r="AI52" s="1435"/>
      <c r="AJ52" s="1435"/>
      <c r="AK52" s="1435"/>
      <c r="AL52" s="1435"/>
      <c r="AM52" s="1435"/>
      <c r="AN52" s="1435"/>
      <c r="AO52" s="1435"/>
      <c r="AP52" s="1435"/>
      <c r="AQ52" s="1435"/>
      <c r="AR52" s="1435"/>
      <c r="AS52" s="1435"/>
      <c r="AT52" s="1435"/>
      <c r="AU52" s="20"/>
      <c r="AV52" s="20"/>
      <c r="AW52" s="20"/>
      <c r="AX52" s="20"/>
      <c r="AY52" s="20"/>
      <c r="AZ52" s="20"/>
      <c r="BD52" s="1177" t="s">
        <v>2468</v>
      </c>
      <c r="BE52" s="1178">
        <f>Application!M263</f>
        <v>0</v>
      </c>
    </row>
    <row r="53" spans="1:57" ht="12.95"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2469</v>
      </c>
      <c r="BE53" s="1178">
        <f>Application!AA266</f>
        <v>0</v>
      </c>
    </row>
    <row r="54" spans="1:57" ht="12.95" customHeight="1">
      <c r="A54" s="1435" t="s">
        <v>2100</v>
      </c>
      <c r="B54" s="1435"/>
      <c r="C54" s="1435"/>
      <c r="D54" s="1435"/>
      <c r="E54" s="1435"/>
      <c r="F54" s="1435"/>
      <c r="G54" s="1435"/>
      <c r="H54" s="1435"/>
      <c r="I54" s="1435"/>
      <c r="J54" s="1435"/>
      <c r="K54" s="1435"/>
      <c r="L54" s="1435"/>
      <c r="M54" s="1435"/>
      <c r="N54" s="1435"/>
      <c r="O54" s="1435"/>
      <c r="P54" s="1435"/>
      <c r="Q54" s="1435"/>
      <c r="R54" s="1435"/>
      <c r="S54" s="1435"/>
      <c r="T54" s="1435"/>
      <c r="U54" s="1435"/>
      <c r="V54" s="1435"/>
      <c r="W54" s="1435"/>
      <c r="X54" s="1435"/>
      <c r="Y54" s="1435"/>
      <c r="Z54" s="1435"/>
      <c r="AA54" s="1435"/>
      <c r="AB54" s="1435"/>
      <c r="AC54" s="1435"/>
      <c r="AD54" s="1435"/>
      <c r="AE54" s="1435"/>
      <c r="AF54" s="1435"/>
      <c r="AG54" s="1435"/>
      <c r="AH54" s="1435"/>
      <c r="AI54" s="1435"/>
      <c r="AJ54" s="1435"/>
      <c r="AK54" s="1435"/>
      <c r="AL54" s="1435"/>
      <c r="AM54" s="1435"/>
      <c r="AN54" s="1435"/>
      <c r="AO54" s="1435"/>
      <c r="AP54" s="1435"/>
      <c r="AQ54" s="1435"/>
      <c r="AR54" s="1435"/>
      <c r="AS54" s="1435"/>
      <c r="AT54" s="1435"/>
      <c r="AU54" s="20"/>
      <c r="AV54" s="20"/>
      <c r="AW54" s="20"/>
      <c r="AX54" s="20"/>
      <c r="AY54" s="20"/>
      <c r="AZ54" s="21"/>
      <c r="BD54" s="1177" t="s">
        <v>2470</v>
      </c>
      <c r="BE54" s="1178" t="str">
        <f>Application!M268</f>
        <v>N/A</v>
      </c>
    </row>
    <row r="55" spans="1:57" ht="12.95" customHeight="1">
      <c r="A55" s="1435"/>
      <c r="B55" s="1435"/>
      <c r="C55" s="1435"/>
      <c r="D55" s="1435"/>
      <c r="E55" s="1435"/>
      <c r="F55" s="1435"/>
      <c r="G55" s="1435"/>
      <c r="H55" s="1435"/>
      <c r="I55" s="1435"/>
      <c r="J55" s="1435"/>
      <c r="K55" s="1435"/>
      <c r="L55" s="1435"/>
      <c r="M55" s="1435"/>
      <c r="N55" s="1435"/>
      <c r="O55" s="1435"/>
      <c r="P55" s="1435"/>
      <c r="Q55" s="1435"/>
      <c r="R55" s="1435"/>
      <c r="S55" s="1435"/>
      <c r="T55" s="1435"/>
      <c r="U55" s="1435"/>
      <c r="V55" s="1435"/>
      <c r="W55" s="1435"/>
      <c r="X55" s="1435"/>
      <c r="Y55" s="1435"/>
      <c r="Z55" s="1435"/>
      <c r="AA55" s="1435"/>
      <c r="AB55" s="1435"/>
      <c r="AC55" s="1435"/>
      <c r="AD55" s="1435"/>
      <c r="AE55" s="1435"/>
      <c r="AF55" s="1435"/>
      <c r="AG55" s="1435"/>
      <c r="AH55" s="1435"/>
      <c r="AI55" s="1435"/>
      <c r="AJ55" s="1435"/>
      <c r="AK55" s="1435"/>
      <c r="AL55" s="1435"/>
      <c r="AM55" s="1435"/>
      <c r="AN55" s="1435"/>
      <c r="AO55" s="1435"/>
      <c r="AP55" s="1435"/>
      <c r="AQ55" s="1435"/>
      <c r="AR55" s="1435"/>
      <c r="AS55" s="1435"/>
      <c r="AT55" s="1435"/>
      <c r="AZ55" s="21"/>
      <c r="BD55" s="1176" t="s">
        <v>2471</v>
      </c>
      <c r="BE55" s="1178">
        <f>Application!M271</f>
        <v>0</v>
      </c>
    </row>
    <row r="56" spans="1:57" ht="12.95" customHeight="1">
      <c r="A56" s="1435"/>
      <c r="B56" s="1435"/>
      <c r="C56" s="1435"/>
      <c r="D56" s="1435"/>
      <c r="E56" s="1435"/>
      <c r="F56" s="1435"/>
      <c r="G56" s="1435"/>
      <c r="H56" s="1435"/>
      <c r="I56" s="1435"/>
      <c r="J56" s="1435"/>
      <c r="K56" s="1435"/>
      <c r="L56" s="1435"/>
      <c r="M56" s="1435"/>
      <c r="N56" s="1435"/>
      <c r="O56" s="1435"/>
      <c r="P56" s="1435"/>
      <c r="Q56" s="1435"/>
      <c r="R56" s="1435"/>
      <c r="S56" s="1435"/>
      <c r="T56" s="1435"/>
      <c r="U56" s="1435"/>
      <c r="V56" s="1435"/>
      <c r="W56" s="1435"/>
      <c r="X56" s="1435"/>
      <c r="Y56" s="1435"/>
      <c r="Z56" s="1435"/>
      <c r="AA56" s="1435"/>
      <c r="AB56" s="1435"/>
      <c r="AC56" s="1435"/>
      <c r="AD56" s="1435"/>
      <c r="AE56" s="1435"/>
      <c r="AF56" s="1435"/>
      <c r="AG56" s="1435"/>
      <c r="AH56" s="1435"/>
      <c r="AI56" s="1435"/>
      <c r="AJ56" s="1435"/>
      <c r="AK56" s="1435"/>
      <c r="AL56" s="1435"/>
      <c r="AM56" s="1435"/>
      <c r="AN56" s="1435"/>
      <c r="AO56" s="1435"/>
      <c r="AP56" s="1435"/>
      <c r="AQ56" s="1435"/>
      <c r="AR56" s="1435"/>
      <c r="AS56" s="1435"/>
      <c r="AT56" s="1435"/>
      <c r="BD56" s="1177" t="s">
        <v>2472</v>
      </c>
      <c r="BE56" s="1178">
        <f>Application!AA274</f>
        <v>0</v>
      </c>
    </row>
    <row r="57" spans="1:57" ht="12.95" customHeight="1">
      <c r="A57" s="1435"/>
      <c r="B57" s="1435"/>
      <c r="C57" s="1435"/>
      <c r="D57" s="1435"/>
      <c r="E57" s="1435"/>
      <c r="F57" s="1435"/>
      <c r="G57" s="1435"/>
      <c r="H57" s="1435"/>
      <c r="I57" s="1435"/>
      <c r="J57" s="1435"/>
      <c r="K57" s="1435"/>
      <c r="L57" s="1435"/>
      <c r="M57" s="1435"/>
      <c r="N57" s="1435"/>
      <c r="O57" s="1435"/>
      <c r="P57" s="1435"/>
      <c r="Q57" s="1435"/>
      <c r="R57" s="1435"/>
      <c r="S57" s="1435"/>
      <c r="T57" s="1435"/>
      <c r="U57" s="1435"/>
      <c r="V57" s="1435"/>
      <c r="W57" s="1435"/>
      <c r="X57" s="1435"/>
      <c r="Y57" s="1435"/>
      <c r="Z57" s="1435"/>
      <c r="AA57" s="1435"/>
      <c r="AB57" s="1435"/>
      <c r="AC57" s="1435"/>
      <c r="AD57" s="1435"/>
      <c r="AE57" s="1435"/>
      <c r="AF57" s="1435"/>
      <c r="AG57" s="1435"/>
      <c r="AH57" s="1435"/>
      <c r="AI57" s="1435"/>
      <c r="AJ57" s="1435"/>
      <c r="AK57" s="1435"/>
      <c r="AL57" s="1435"/>
      <c r="AM57" s="1435"/>
      <c r="AN57" s="1435"/>
      <c r="AO57" s="1435"/>
      <c r="AP57" s="1435"/>
      <c r="AQ57" s="1435"/>
      <c r="AR57" s="1435"/>
      <c r="AS57" s="1435"/>
      <c r="AT57" s="1435"/>
      <c r="BD57" s="1176" t="s">
        <v>2473</v>
      </c>
      <c r="BE57" s="1178" t="str">
        <f>Application!H296</f>
        <v>Linc Housing Corporation</v>
      </c>
    </row>
    <row r="58" spans="1:57" ht="12.95" customHeight="1">
      <c r="A58" s="1435"/>
      <c r="B58" s="1435"/>
      <c r="C58" s="1435"/>
      <c r="D58" s="1435"/>
      <c r="E58" s="1435"/>
      <c r="F58" s="1435"/>
      <c r="G58" s="1435"/>
      <c r="H58" s="1435"/>
      <c r="I58" s="1435"/>
      <c r="J58" s="1435"/>
      <c r="K58" s="1435"/>
      <c r="L58" s="1435"/>
      <c r="M58" s="1435"/>
      <c r="N58" s="1435"/>
      <c r="O58" s="1435"/>
      <c r="P58" s="1435"/>
      <c r="Q58" s="1435"/>
      <c r="R58" s="1435"/>
      <c r="S58" s="1435"/>
      <c r="T58" s="1435"/>
      <c r="U58" s="1435"/>
      <c r="V58" s="1435"/>
      <c r="W58" s="1435"/>
      <c r="X58" s="1435"/>
      <c r="Y58" s="1435"/>
      <c r="Z58" s="1435"/>
      <c r="AA58" s="1435"/>
      <c r="AB58" s="1435"/>
      <c r="AC58" s="1435"/>
      <c r="AD58" s="1435"/>
      <c r="AE58" s="1435"/>
      <c r="AF58" s="1435"/>
      <c r="AG58" s="1435"/>
      <c r="AH58" s="1435"/>
      <c r="AI58" s="1435"/>
      <c r="AJ58" s="1435"/>
      <c r="AK58" s="1435"/>
      <c r="AL58" s="1435"/>
      <c r="AM58" s="1435"/>
      <c r="AN58" s="1435"/>
      <c r="AO58" s="1435"/>
      <c r="AP58" s="1435"/>
      <c r="AQ58" s="1435"/>
      <c r="AR58" s="1435"/>
      <c r="AS58" s="1435"/>
      <c r="AT58" s="1435"/>
      <c r="BD58" s="1177" t="s">
        <v>2474</v>
      </c>
      <c r="BE58" s="1178" t="str">
        <f>Application!H297</f>
        <v>3590 Elm Ave</v>
      </c>
    </row>
    <row r="59" spans="1:57" ht="12.95"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2475</v>
      </c>
      <c r="BE59" s="1178" t="str">
        <f>Application!H298</f>
        <v>Long Beach, CA 90807</v>
      </c>
    </row>
    <row r="60" spans="1:57" ht="12.95" customHeight="1">
      <c r="A60" s="1435" t="s">
        <v>2101</v>
      </c>
      <c r="B60" s="1435"/>
      <c r="C60" s="1435"/>
      <c r="D60" s="1435"/>
      <c r="E60" s="1435"/>
      <c r="F60" s="1435"/>
      <c r="G60" s="1435"/>
      <c r="H60" s="1435"/>
      <c r="I60" s="1435"/>
      <c r="J60" s="1435"/>
      <c r="K60" s="1435"/>
      <c r="L60" s="1435"/>
      <c r="M60" s="1435"/>
      <c r="N60" s="1435"/>
      <c r="O60" s="1435"/>
      <c r="P60" s="1435"/>
      <c r="Q60" s="1435"/>
      <c r="R60" s="1435"/>
      <c r="S60" s="1435"/>
      <c r="T60" s="1435"/>
      <c r="U60" s="1435"/>
      <c r="V60" s="1435"/>
      <c r="W60" s="1435"/>
      <c r="X60" s="1435"/>
      <c r="Y60" s="1435"/>
      <c r="Z60" s="1435"/>
      <c r="AA60" s="1435"/>
      <c r="AB60" s="1435"/>
      <c r="AC60" s="1435"/>
      <c r="AD60" s="1435"/>
      <c r="AE60" s="1435"/>
      <c r="AF60" s="1435"/>
      <c r="AG60" s="1435"/>
      <c r="AH60" s="1435"/>
      <c r="AI60" s="1435"/>
      <c r="AJ60" s="1435"/>
      <c r="AK60" s="1435"/>
      <c r="AL60" s="1435"/>
      <c r="AM60" s="1435"/>
      <c r="AN60" s="1435"/>
      <c r="AO60" s="1435"/>
      <c r="AP60" s="1435"/>
      <c r="AQ60" s="1435"/>
      <c r="AR60" s="1435"/>
      <c r="AS60" s="1435"/>
      <c r="AT60" s="1435"/>
      <c r="AU60" s="20"/>
      <c r="AV60" s="20"/>
      <c r="AW60" s="20"/>
      <c r="AX60" s="20"/>
      <c r="AY60" s="20"/>
      <c r="AZ60" s="20"/>
      <c r="BD60" s="1177" t="s">
        <v>2476</v>
      </c>
      <c r="BE60" s="1178" t="str">
        <f>Application!H299</f>
        <v>Ben Noury</v>
      </c>
    </row>
    <row r="61" spans="1:57" ht="12.95" customHeight="1">
      <c r="A61" s="1435"/>
      <c r="B61" s="1435"/>
      <c r="C61" s="1435"/>
      <c r="D61" s="1435"/>
      <c r="E61" s="1435"/>
      <c r="F61" s="1435"/>
      <c r="G61" s="1435"/>
      <c r="H61" s="1435"/>
      <c r="I61" s="1435"/>
      <c r="J61" s="1435"/>
      <c r="K61" s="1435"/>
      <c r="L61" s="1435"/>
      <c r="M61" s="1435"/>
      <c r="N61" s="1435"/>
      <c r="O61" s="1435"/>
      <c r="P61" s="1435"/>
      <c r="Q61" s="1435"/>
      <c r="R61" s="1435"/>
      <c r="S61" s="1435"/>
      <c r="T61" s="1435"/>
      <c r="U61" s="1435"/>
      <c r="V61" s="1435"/>
      <c r="W61" s="1435"/>
      <c r="X61" s="1435"/>
      <c r="Y61" s="1435"/>
      <c r="Z61" s="1435"/>
      <c r="AA61" s="1435"/>
      <c r="AB61" s="1435"/>
      <c r="AC61" s="1435"/>
      <c r="AD61" s="1435"/>
      <c r="AE61" s="1435"/>
      <c r="AF61" s="1435"/>
      <c r="AG61" s="1435"/>
      <c r="AH61" s="1435"/>
      <c r="AI61" s="1435"/>
      <c r="AJ61" s="1435"/>
      <c r="AK61" s="1435"/>
      <c r="AL61" s="1435"/>
      <c r="AM61" s="1435"/>
      <c r="AN61" s="1435"/>
      <c r="AO61" s="1435"/>
      <c r="AP61" s="1435"/>
      <c r="AQ61" s="1435"/>
      <c r="AR61" s="1435"/>
      <c r="AS61" s="1435"/>
      <c r="AT61" s="1435"/>
      <c r="AU61" s="20"/>
      <c r="AV61" s="20"/>
      <c r="AW61" s="20"/>
      <c r="AX61" s="20"/>
      <c r="AY61" s="20"/>
      <c r="AZ61" s="20"/>
      <c r="BD61" s="1176" t="s">
        <v>2477</v>
      </c>
      <c r="BE61" s="1178" t="str">
        <f>Application!H302</f>
        <v xml:space="preserve">bnoury@linchousing.org																		</v>
      </c>
    </row>
    <row r="62" spans="1:57" ht="12.95"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2478</v>
      </c>
      <c r="BE62" s="1181">
        <f>'Basis &amp; Credits'!AB50</f>
        <v>0.83454842931766238</v>
      </c>
    </row>
    <row r="63" spans="1:57" ht="12.95" customHeight="1">
      <c r="A63" s="91" t="s">
        <v>2102</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1247</v>
      </c>
      <c r="BE63" s="1181">
        <f>'Basis &amp; Credits'!AB72</f>
        <v>0</v>
      </c>
    </row>
    <row r="64" spans="1:57" ht="12.95"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2479</v>
      </c>
      <c r="BE64" s="1178" t="b">
        <f>Application!X180="Yes"</f>
        <v>0</v>
      </c>
    </row>
    <row r="65" spans="1:57" ht="12.95" customHeight="1">
      <c r="A65" s="1436" t="s">
        <v>2103</v>
      </c>
      <c r="B65" s="1436"/>
      <c r="C65" s="1436"/>
      <c r="D65" s="1436"/>
      <c r="E65" s="1436"/>
      <c r="F65" s="1436"/>
      <c r="G65" s="1436"/>
      <c r="H65" s="1436"/>
      <c r="I65" s="1436"/>
      <c r="J65" s="1436"/>
      <c r="K65" s="1436"/>
      <c r="L65" s="1436"/>
      <c r="M65" s="1436"/>
      <c r="N65" s="1436"/>
      <c r="O65" s="1436"/>
      <c r="P65" s="1436"/>
      <c r="Q65" s="1436"/>
      <c r="R65" s="1436"/>
      <c r="S65" s="1436"/>
      <c r="T65" s="1436"/>
      <c r="U65" s="1436"/>
      <c r="V65" s="1436"/>
      <c r="W65" s="1436"/>
      <c r="X65" s="1436"/>
      <c r="Y65" s="1436"/>
      <c r="Z65" s="1436"/>
      <c r="AA65" s="1436"/>
      <c r="AB65" s="1436"/>
      <c r="AC65" s="1436"/>
      <c r="AD65" s="1436"/>
      <c r="AE65" s="1436"/>
      <c r="AF65" s="1436"/>
      <c r="AG65" s="1436"/>
      <c r="AH65" s="1436"/>
      <c r="AI65" s="1436"/>
      <c r="AJ65" s="1436"/>
      <c r="AK65" s="1436"/>
      <c r="AL65" s="1436"/>
      <c r="AM65" s="1436"/>
      <c r="AN65" s="1436"/>
      <c r="AO65" s="1436"/>
      <c r="AP65" s="1436"/>
      <c r="AQ65" s="1436"/>
      <c r="AR65" s="1436"/>
      <c r="AS65" s="1436"/>
      <c r="AT65" s="1436"/>
      <c r="AU65" s="21"/>
      <c r="AV65" s="21"/>
      <c r="AW65" s="21"/>
      <c r="AX65" s="21"/>
      <c r="AY65" s="21"/>
      <c r="AZ65" s="20"/>
      <c r="BD65" s="1176" t="s">
        <v>2513</v>
      </c>
      <c r="BE65" s="1178" t="str">
        <f>Z205</f>
        <v>(select)</v>
      </c>
    </row>
    <row r="66" spans="1:57" ht="12.95" customHeight="1">
      <c r="A66" s="1436"/>
      <c r="B66" s="1436"/>
      <c r="C66" s="1436"/>
      <c r="D66" s="1436"/>
      <c r="E66" s="1436"/>
      <c r="F66" s="1436"/>
      <c r="G66" s="1436"/>
      <c r="H66" s="1436"/>
      <c r="I66" s="1436"/>
      <c r="J66" s="1436"/>
      <c r="K66" s="1436"/>
      <c r="L66" s="1436"/>
      <c r="M66" s="1436"/>
      <c r="N66" s="1436"/>
      <c r="O66" s="1436"/>
      <c r="P66" s="1436"/>
      <c r="Q66" s="1436"/>
      <c r="R66" s="1436"/>
      <c r="S66" s="1436"/>
      <c r="T66" s="1436"/>
      <c r="U66" s="1436"/>
      <c r="V66" s="1436"/>
      <c r="W66" s="1436"/>
      <c r="X66" s="1436"/>
      <c r="Y66" s="1436"/>
      <c r="Z66" s="1436"/>
      <c r="AA66" s="1436"/>
      <c r="AB66" s="1436"/>
      <c r="AC66" s="1436"/>
      <c r="AD66" s="1436"/>
      <c r="AE66" s="1436"/>
      <c r="AF66" s="1436"/>
      <c r="AG66" s="1436"/>
      <c r="AH66" s="1436"/>
      <c r="AI66" s="1436"/>
      <c r="AJ66" s="1436"/>
      <c r="AK66" s="1436"/>
      <c r="AL66" s="1436"/>
      <c r="AM66" s="1436"/>
      <c r="AN66" s="1436"/>
      <c r="AO66" s="1436"/>
      <c r="AP66" s="1436"/>
      <c r="AQ66" s="1436"/>
      <c r="AR66" s="1436"/>
      <c r="AS66" s="1436"/>
      <c r="AT66" s="1436"/>
      <c r="AU66" s="21"/>
      <c r="AV66" s="21"/>
      <c r="AW66" s="21"/>
      <c r="AX66" s="21"/>
      <c r="AY66" s="21"/>
      <c r="AZ66" s="20"/>
      <c r="BD66" s="1177" t="s">
        <v>2480</v>
      </c>
      <c r="BE66" s="1178" t="b">
        <f>Application!Z205="State Farmworker Credit"</f>
        <v>0</v>
      </c>
    </row>
    <row r="67" spans="1:57" ht="12.95" customHeight="1">
      <c r="A67" s="1436"/>
      <c r="B67" s="1436"/>
      <c r="C67" s="1436"/>
      <c r="D67" s="1436"/>
      <c r="E67" s="1436"/>
      <c r="F67" s="1436"/>
      <c r="G67" s="1436"/>
      <c r="H67" s="1436"/>
      <c r="I67" s="1436"/>
      <c r="J67" s="1436"/>
      <c r="K67" s="1436"/>
      <c r="L67" s="1436"/>
      <c r="M67" s="1436"/>
      <c r="N67" s="1436"/>
      <c r="O67" s="1436"/>
      <c r="P67" s="1436"/>
      <c r="Q67" s="1436"/>
      <c r="R67" s="1436"/>
      <c r="S67" s="1436"/>
      <c r="T67" s="1436"/>
      <c r="U67" s="1436"/>
      <c r="V67" s="1436"/>
      <c r="W67" s="1436"/>
      <c r="X67" s="1436"/>
      <c r="Y67" s="1436"/>
      <c r="Z67" s="1436"/>
      <c r="AA67" s="1436"/>
      <c r="AB67" s="1436"/>
      <c r="AC67" s="1436"/>
      <c r="AD67" s="1436"/>
      <c r="AE67" s="1436"/>
      <c r="AF67" s="1436"/>
      <c r="AG67" s="1436"/>
      <c r="AH67" s="1436"/>
      <c r="AI67" s="1436"/>
      <c r="AJ67" s="1436"/>
      <c r="AK67" s="1436"/>
      <c r="AL67" s="1436"/>
      <c r="AM67" s="1436"/>
      <c r="AN67" s="1436"/>
      <c r="AO67" s="1436"/>
      <c r="AP67" s="1436"/>
      <c r="AQ67" s="1436"/>
      <c r="AR67" s="1436"/>
      <c r="AS67" s="1436"/>
      <c r="AT67" s="1436"/>
      <c r="AZ67" s="20"/>
      <c r="BD67" s="1176" t="s">
        <v>2481</v>
      </c>
      <c r="BE67" s="1178" t="b">
        <f>Application!O33="Yes"</f>
        <v>0</v>
      </c>
    </row>
    <row r="68" spans="1:57" ht="12.95"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2482</v>
      </c>
      <c r="BE68" s="1178">
        <f>'Sources and Uses Budget'!D105</f>
        <v>0</v>
      </c>
    </row>
    <row r="69" spans="1:57" ht="12.95" customHeight="1">
      <c r="A69" s="1436" t="s">
        <v>2104</v>
      </c>
      <c r="B69" s="1436"/>
      <c r="C69" s="1436"/>
      <c r="D69" s="1436"/>
      <c r="E69" s="1436"/>
      <c r="F69" s="1436"/>
      <c r="G69" s="1436"/>
      <c r="H69" s="1436"/>
      <c r="I69" s="1436"/>
      <c r="J69" s="1436"/>
      <c r="K69" s="1436"/>
      <c r="L69" s="1436"/>
      <c r="M69" s="1436"/>
      <c r="N69" s="1436"/>
      <c r="O69" s="1436"/>
      <c r="P69" s="1436"/>
      <c r="Q69" s="1436"/>
      <c r="R69" s="1436"/>
      <c r="S69" s="1436"/>
      <c r="T69" s="1436"/>
      <c r="U69" s="1436"/>
      <c r="V69" s="1436"/>
      <c r="W69" s="1436"/>
      <c r="X69" s="1436"/>
      <c r="Y69" s="1436"/>
      <c r="Z69" s="1436"/>
      <c r="AA69" s="1436"/>
      <c r="AB69" s="1436"/>
      <c r="AC69" s="1436"/>
      <c r="AD69" s="1436"/>
      <c r="AE69" s="1436"/>
      <c r="AF69" s="1436"/>
      <c r="AG69" s="1436"/>
      <c r="AH69" s="1436"/>
      <c r="AI69" s="1436"/>
      <c r="AJ69" s="1436"/>
      <c r="AK69" s="1436"/>
      <c r="AL69" s="1436"/>
      <c r="AM69" s="1436"/>
      <c r="AN69" s="1436"/>
      <c r="AO69" s="1436"/>
      <c r="AP69" s="1436"/>
      <c r="AQ69" s="1436"/>
      <c r="AR69" s="1436"/>
      <c r="AS69" s="1436"/>
      <c r="AT69" s="1436"/>
      <c r="AZ69" s="20"/>
      <c r="BD69" s="1176" t="s">
        <v>2483</v>
      </c>
      <c r="BE69" s="1178" t="str">
        <f>Application!W708</f>
        <v>California Municipal Finance Authority</v>
      </c>
    </row>
    <row r="70" spans="1:57" ht="12.95" customHeight="1">
      <c r="A70" s="1436"/>
      <c r="B70" s="1436"/>
      <c r="C70" s="1436"/>
      <c r="D70" s="1436"/>
      <c r="E70" s="1436"/>
      <c r="F70" s="1436"/>
      <c r="G70" s="1436"/>
      <c r="H70" s="1436"/>
      <c r="I70" s="1436"/>
      <c r="J70" s="1436"/>
      <c r="K70" s="1436"/>
      <c r="L70" s="1436"/>
      <c r="M70" s="1436"/>
      <c r="N70" s="1436"/>
      <c r="O70" s="1436"/>
      <c r="P70" s="1436"/>
      <c r="Q70" s="1436"/>
      <c r="R70" s="1436"/>
      <c r="S70" s="1436"/>
      <c r="T70" s="1436"/>
      <c r="U70" s="1436"/>
      <c r="V70" s="1436"/>
      <c r="W70" s="1436"/>
      <c r="X70" s="1436"/>
      <c r="Y70" s="1436"/>
      <c r="Z70" s="1436"/>
      <c r="AA70" s="1436"/>
      <c r="AB70" s="1436"/>
      <c r="AC70" s="1436"/>
      <c r="AD70" s="1436"/>
      <c r="AE70" s="1436"/>
      <c r="AF70" s="1436"/>
      <c r="AG70" s="1436"/>
      <c r="AH70" s="1436"/>
      <c r="AI70" s="1436"/>
      <c r="AJ70" s="1436"/>
      <c r="AK70" s="1436"/>
      <c r="AL70" s="1436"/>
      <c r="AM70" s="1436"/>
      <c r="AN70" s="1436"/>
      <c r="AO70" s="1436"/>
      <c r="AP70" s="1436"/>
      <c r="AQ70" s="1436"/>
      <c r="AR70" s="1436"/>
      <c r="AS70" s="1436"/>
      <c r="AT70" s="1436"/>
      <c r="AU70" s="20"/>
      <c r="AV70" s="20"/>
      <c r="AW70" s="20"/>
      <c r="AX70" s="20"/>
      <c r="AY70" s="20"/>
      <c r="AZ70" s="20"/>
      <c r="BD70" s="1177" t="s">
        <v>2484</v>
      </c>
      <c r="BE70" s="1178">
        <f ca="1">'Points System'!AF893</f>
        <v>112</v>
      </c>
    </row>
    <row r="71" spans="1:57" ht="12.95"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2605</v>
      </c>
      <c r="BE71" s="1178">
        <f>'Points System'!AF876</f>
        <v>0</v>
      </c>
    </row>
    <row r="72" spans="1:57" ht="12.95" customHeight="1">
      <c r="A72" s="1433" t="s">
        <v>2105</v>
      </c>
      <c r="B72" s="1433"/>
      <c r="C72" s="1433"/>
      <c r="D72" s="1433"/>
      <c r="E72" s="1433"/>
      <c r="F72" s="1433"/>
      <c r="G72" s="1433"/>
      <c r="H72" s="1433"/>
      <c r="I72" s="1433"/>
      <c r="J72" s="1433"/>
      <c r="K72" s="1433"/>
      <c r="L72" s="1433"/>
      <c r="M72" s="1433"/>
      <c r="N72" s="1433"/>
      <c r="O72" s="1433"/>
      <c r="P72" s="1433"/>
      <c r="Q72" s="1433"/>
      <c r="R72" s="1433"/>
      <c r="S72" s="1433"/>
      <c r="T72" s="1433"/>
      <c r="U72" s="1433"/>
      <c r="V72" s="1433"/>
      <c r="W72" s="1433"/>
      <c r="X72" s="1433"/>
      <c r="Y72" s="1433"/>
      <c r="Z72" s="1433"/>
      <c r="AA72" s="1433"/>
      <c r="AB72" s="1433"/>
      <c r="AC72" s="1433"/>
      <c r="AD72" s="1433"/>
      <c r="AE72" s="1433"/>
      <c r="AF72" s="1433"/>
      <c r="AG72" s="1433"/>
      <c r="AH72" s="1433"/>
      <c r="AI72" s="1433"/>
      <c r="AJ72" s="1433"/>
      <c r="AK72" s="1433"/>
      <c r="AL72" s="1433"/>
      <c r="AM72" s="1433"/>
      <c r="AN72" s="1433"/>
      <c r="AO72" s="1433"/>
      <c r="AP72" s="1433"/>
      <c r="AQ72" s="1433"/>
      <c r="AR72" s="1433"/>
      <c r="AS72" s="1433"/>
      <c r="AT72" s="1433"/>
      <c r="AU72" s="20"/>
      <c r="AV72" s="20"/>
      <c r="AW72" s="20"/>
      <c r="AX72" s="20"/>
      <c r="AY72" s="20"/>
      <c r="AZ72" s="20"/>
      <c r="BD72" s="1177" t="s">
        <v>2485</v>
      </c>
      <c r="BE72" s="1178">
        <f>'Points System'!AF877</f>
        <v>10</v>
      </c>
    </row>
    <row r="73" spans="1:57" ht="12.95" customHeight="1">
      <c r="A73" s="1433"/>
      <c r="B73" s="1433"/>
      <c r="C73" s="1433"/>
      <c r="D73" s="1433"/>
      <c r="E73" s="1433"/>
      <c r="F73" s="1433"/>
      <c r="G73" s="1433"/>
      <c r="H73" s="1433"/>
      <c r="I73" s="1433"/>
      <c r="J73" s="1433"/>
      <c r="K73" s="1433"/>
      <c r="L73" s="1433"/>
      <c r="M73" s="1433"/>
      <c r="N73" s="1433"/>
      <c r="O73" s="1433"/>
      <c r="P73" s="1433"/>
      <c r="Q73" s="1433"/>
      <c r="R73" s="1433"/>
      <c r="S73" s="1433"/>
      <c r="T73" s="1433"/>
      <c r="U73" s="1433"/>
      <c r="V73" s="1433"/>
      <c r="W73" s="1433"/>
      <c r="X73" s="1433"/>
      <c r="Y73" s="1433"/>
      <c r="Z73" s="1433"/>
      <c r="AA73" s="1433"/>
      <c r="AB73" s="1433"/>
      <c r="AC73" s="1433"/>
      <c r="AD73" s="1433"/>
      <c r="AE73" s="1433"/>
      <c r="AF73" s="1433"/>
      <c r="AG73" s="1433"/>
      <c r="AH73" s="1433"/>
      <c r="AI73" s="1433"/>
      <c r="AJ73" s="1433"/>
      <c r="AK73" s="1433"/>
      <c r="AL73" s="1433"/>
      <c r="AM73" s="1433"/>
      <c r="AN73" s="1433"/>
      <c r="AO73" s="1433"/>
      <c r="AP73" s="1433"/>
      <c r="AQ73" s="1433"/>
      <c r="AR73" s="1433"/>
      <c r="AS73" s="1433"/>
      <c r="AT73" s="1433"/>
      <c r="AU73" s="20"/>
      <c r="AV73" s="20"/>
      <c r="AW73" s="20"/>
      <c r="AX73" s="20"/>
      <c r="AY73" s="20"/>
      <c r="AZ73" s="20"/>
      <c r="BD73" s="1176" t="s">
        <v>2486</v>
      </c>
      <c r="BE73" s="1178">
        <f ca="1">'Points System'!AF878</f>
        <v>20</v>
      </c>
    </row>
    <row r="74" spans="1:57" ht="12.95"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2487</v>
      </c>
      <c r="BE74" s="1178">
        <f>'Points System'!AF879</f>
        <v>10</v>
      </c>
    </row>
    <row r="75" spans="1:57" ht="12.95" customHeight="1">
      <c r="A75" s="1756" t="s">
        <v>2106</v>
      </c>
      <c r="B75" s="1756"/>
      <c r="C75" s="1756"/>
      <c r="D75" s="1756"/>
      <c r="E75" s="1756"/>
      <c r="F75" s="1756"/>
      <c r="G75" s="1756"/>
      <c r="H75" s="1756"/>
      <c r="I75" s="1756"/>
      <c r="J75" s="1756"/>
      <c r="K75" s="1756"/>
      <c r="L75" s="1756"/>
      <c r="M75" s="1756"/>
      <c r="N75" s="1756"/>
      <c r="O75" s="1756"/>
      <c r="P75" s="1756"/>
      <c r="Q75" s="1756"/>
      <c r="R75" s="1756"/>
      <c r="S75" s="1756"/>
      <c r="T75" s="1756"/>
      <c r="U75" s="1756"/>
      <c r="V75" s="1756"/>
      <c r="W75" s="1756"/>
      <c r="X75" s="1756"/>
      <c r="Y75" s="1756"/>
      <c r="Z75" s="1756"/>
      <c r="AA75" s="1756"/>
      <c r="AB75" s="1756"/>
      <c r="AC75" s="1756"/>
      <c r="AD75" s="1756"/>
      <c r="AE75" s="1756"/>
      <c r="AF75" s="1756"/>
      <c r="AG75" s="1756"/>
      <c r="AH75" s="1756"/>
      <c r="AI75" s="1756"/>
      <c r="AJ75" s="1756"/>
      <c r="AK75" s="1756"/>
      <c r="AL75" s="1756"/>
      <c r="AM75" s="1756"/>
      <c r="AN75" s="1756"/>
      <c r="AO75" s="1756"/>
      <c r="AP75" s="1756"/>
      <c r="AQ75" s="1756"/>
      <c r="AR75" s="1756"/>
      <c r="AS75" s="1756"/>
      <c r="AT75" s="1756"/>
      <c r="AU75" s="20"/>
      <c r="AV75" s="20"/>
      <c r="AW75" s="20"/>
      <c r="AX75" s="20"/>
      <c r="AY75" s="20"/>
      <c r="AZ75" s="20"/>
      <c r="BD75" s="1176" t="s">
        <v>2488</v>
      </c>
      <c r="BE75" s="1178">
        <f>'Points System'!AF880</f>
        <v>10</v>
      </c>
    </row>
    <row r="76" spans="1:57" ht="12.95" customHeight="1">
      <c r="A76" s="1756"/>
      <c r="B76" s="1756"/>
      <c r="C76" s="1756"/>
      <c r="D76" s="1756"/>
      <c r="E76" s="1756"/>
      <c r="F76" s="1756"/>
      <c r="G76" s="1756"/>
      <c r="H76" s="1756"/>
      <c r="I76" s="1756"/>
      <c r="J76" s="1756"/>
      <c r="K76" s="1756"/>
      <c r="L76" s="1756"/>
      <c r="M76" s="1756"/>
      <c r="N76" s="1756"/>
      <c r="O76" s="1756"/>
      <c r="P76" s="1756"/>
      <c r="Q76" s="1756"/>
      <c r="R76" s="1756"/>
      <c r="S76" s="1756"/>
      <c r="T76" s="1756"/>
      <c r="U76" s="1756"/>
      <c r="V76" s="1756"/>
      <c r="W76" s="1756"/>
      <c r="X76" s="1756"/>
      <c r="Y76" s="1756"/>
      <c r="Z76" s="1756"/>
      <c r="AA76" s="1756"/>
      <c r="AB76" s="1756"/>
      <c r="AC76" s="1756"/>
      <c r="AD76" s="1756"/>
      <c r="AE76" s="1756"/>
      <c r="AF76" s="1756"/>
      <c r="AG76" s="1756"/>
      <c r="AH76" s="1756"/>
      <c r="AI76" s="1756"/>
      <c r="AJ76" s="1756"/>
      <c r="AK76" s="1756"/>
      <c r="AL76" s="1756"/>
      <c r="AM76" s="1756"/>
      <c r="AN76" s="1756"/>
      <c r="AO76" s="1756"/>
      <c r="AP76" s="1756"/>
      <c r="AQ76" s="1756"/>
      <c r="AR76" s="1756"/>
      <c r="AS76" s="1756"/>
      <c r="AT76" s="1756"/>
      <c r="AU76" s="20"/>
      <c r="AV76" s="20"/>
      <c r="AW76" s="20"/>
      <c r="AX76" s="20"/>
      <c r="AY76" s="20"/>
      <c r="AZ76" s="17"/>
      <c r="BD76" s="1177" t="s">
        <v>2489</v>
      </c>
      <c r="BE76" s="1178">
        <f>'Points System'!AF883</f>
        <v>10</v>
      </c>
    </row>
    <row r="77" spans="1:57" ht="12.95" customHeight="1">
      <c r="A77" s="1756"/>
      <c r="B77" s="1756"/>
      <c r="C77" s="1756"/>
      <c r="D77" s="1756"/>
      <c r="E77" s="1756"/>
      <c r="F77" s="1756"/>
      <c r="G77" s="1756"/>
      <c r="H77" s="1756"/>
      <c r="I77" s="1756"/>
      <c r="J77" s="1756"/>
      <c r="K77" s="1756"/>
      <c r="L77" s="1756"/>
      <c r="M77" s="1756"/>
      <c r="N77" s="1756"/>
      <c r="O77" s="1756"/>
      <c r="P77" s="1756"/>
      <c r="Q77" s="1756"/>
      <c r="R77" s="1756"/>
      <c r="S77" s="1756"/>
      <c r="T77" s="1756"/>
      <c r="U77" s="1756"/>
      <c r="V77" s="1756"/>
      <c r="W77" s="1756"/>
      <c r="X77" s="1756"/>
      <c r="Y77" s="1756"/>
      <c r="Z77" s="1756"/>
      <c r="AA77" s="1756"/>
      <c r="AB77" s="1756"/>
      <c r="AC77" s="1756"/>
      <c r="AD77" s="1756"/>
      <c r="AE77" s="1756"/>
      <c r="AF77" s="1756"/>
      <c r="AG77" s="1756"/>
      <c r="AH77" s="1756"/>
      <c r="AI77" s="1756"/>
      <c r="AJ77" s="1756"/>
      <c r="AK77" s="1756"/>
      <c r="AL77" s="1756"/>
      <c r="AM77" s="1756"/>
      <c r="AN77" s="1756"/>
      <c r="AO77" s="1756"/>
      <c r="AP77" s="1756"/>
      <c r="AQ77" s="1756"/>
      <c r="AR77" s="1756"/>
      <c r="AS77" s="1756"/>
      <c r="AT77" s="1756"/>
      <c r="AU77" s="20"/>
      <c r="AV77" s="20"/>
      <c r="AW77" s="20"/>
      <c r="AX77" s="20"/>
      <c r="AY77" s="20"/>
      <c r="AZ77" s="17"/>
      <c r="BD77" s="1176" t="s">
        <v>2490</v>
      </c>
      <c r="BE77" s="1178">
        <f>'Points System'!AF884</f>
        <v>0</v>
      </c>
    </row>
    <row r="78" spans="1:57" ht="12.95"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2491</v>
      </c>
      <c r="BE78" s="1178">
        <f>'Points System'!AF886</f>
        <v>10</v>
      </c>
    </row>
    <row r="79" spans="1:57" ht="12.95" customHeight="1">
      <c r="A79" s="1436" t="s">
        <v>2107</v>
      </c>
      <c r="B79" s="1436"/>
      <c r="C79" s="1436"/>
      <c r="D79" s="1436"/>
      <c r="E79" s="1436"/>
      <c r="F79" s="1436"/>
      <c r="G79" s="1436"/>
      <c r="H79" s="1436"/>
      <c r="I79" s="1436"/>
      <c r="J79" s="1436"/>
      <c r="K79" s="1436"/>
      <c r="L79" s="1436"/>
      <c r="M79" s="1436"/>
      <c r="N79" s="1436"/>
      <c r="O79" s="1436"/>
      <c r="P79" s="1436"/>
      <c r="Q79" s="1436"/>
      <c r="R79" s="1436"/>
      <c r="S79" s="1436"/>
      <c r="T79" s="1436"/>
      <c r="U79" s="1436"/>
      <c r="V79" s="1436"/>
      <c r="W79" s="1436"/>
      <c r="X79" s="1436"/>
      <c r="Y79" s="1436"/>
      <c r="Z79" s="1436"/>
      <c r="AA79" s="1436"/>
      <c r="AB79" s="1436"/>
      <c r="AC79" s="1436"/>
      <c r="AD79" s="1436"/>
      <c r="AE79" s="1436"/>
      <c r="AF79" s="1436"/>
      <c r="AG79" s="1436"/>
      <c r="AH79" s="1436"/>
      <c r="AI79" s="1436"/>
      <c r="AJ79" s="1436"/>
      <c r="AK79" s="1436"/>
      <c r="AL79" s="1436"/>
      <c r="AM79" s="1436"/>
      <c r="AN79" s="1436"/>
      <c r="AO79" s="1436"/>
      <c r="AP79" s="1436"/>
      <c r="AQ79" s="1436"/>
      <c r="AR79" s="1436"/>
      <c r="AS79" s="1436"/>
      <c r="AT79" s="1436"/>
      <c r="AU79" s="20"/>
      <c r="AV79" s="20"/>
      <c r="AW79" s="20"/>
      <c r="AX79" s="20"/>
      <c r="AY79" s="20"/>
      <c r="AZ79" s="20"/>
      <c r="BD79" s="1176" t="s">
        <v>2606</v>
      </c>
      <c r="BE79" s="1178">
        <f>'Points System'!AF887</f>
        <v>10</v>
      </c>
    </row>
    <row r="80" spans="1:57" ht="12.95" customHeight="1">
      <c r="A80" s="1436"/>
      <c r="B80" s="1436"/>
      <c r="C80" s="1436"/>
      <c r="D80" s="1436"/>
      <c r="E80" s="1436"/>
      <c r="F80" s="1436"/>
      <c r="G80" s="1436"/>
      <c r="H80" s="1436"/>
      <c r="I80" s="1436"/>
      <c r="J80" s="1436"/>
      <c r="K80" s="1436"/>
      <c r="L80" s="1436"/>
      <c r="M80" s="1436"/>
      <c r="N80" s="1436"/>
      <c r="O80" s="1436"/>
      <c r="P80" s="1436"/>
      <c r="Q80" s="1436"/>
      <c r="R80" s="1436"/>
      <c r="S80" s="1436"/>
      <c r="T80" s="1436"/>
      <c r="U80" s="1436"/>
      <c r="V80" s="1436"/>
      <c r="W80" s="1436"/>
      <c r="X80" s="1436"/>
      <c r="Y80" s="1436"/>
      <c r="Z80" s="1436"/>
      <c r="AA80" s="1436"/>
      <c r="AB80" s="1436"/>
      <c r="AC80" s="1436"/>
      <c r="AD80" s="1436"/>
      <c r="AE80" s="1436"/>
      <c r="AF80" s="1436"/>
      <c r="AG80" s="1436"/>
      <c r="AH80" s="1436"/>
      <c r="AI80" s="1436"/>
      <c r="AJ80" s="1436"/>
      <c r="AK80" s="1436"/>
      <c r="AL80" s="1436"/>
      <c r="AM80" s="1436"/>
      <c r="AN80" s="1436"/>
      <c r="AO80" s="1436"/>
      <c r="AP80" s="1436"/>
      <c r="AQ80" s="1436"/>
      <c r="AR80" s="1436"/>
      <c r="AS80" s="1436"/>
      <c r="AT80" s="1436"/>
      <c r="AU80" s="20"/>
      <c r="AV80" s="20"/>
      <c r="AW80" s="20"/>
      <c r="AX80" s="20"/>
      <c r="AY80" s="20"/>
      <c r="AZ80" s="20"/>
      <c r="BD80" s="1177" t="s">
        <v>2492</v>
      </c>
      <c r="BE80" s="1178">
        <f>'Points System'!AF889</f>
        <v>10</v>
      </c>
    </row>
    <row r="81" spans="1:57" ht="12.95" customHeight="1">
      <c r="A81" s="1436"/>
      <c r="B81" s="1436"/>
      <c r="C81" s="1436"/>
      <c r="D81" s="1436"/>
      <c r="E81" s="1436"/>
      <c r="F81" s="1436"/>
      <c r="G81" s="1436"/>
      <c r="H81" s="1436"/>
      <c r="I81" s="1436"/>
      <c r="J81" s="1436"/>
      <c r="K81" s="1436"/>
      <c r="L81" s="1436"/>
      <c r="M81" s="1436"/>
      <c r="N81" s="1436"/>
      <c r="O81" s="1436"/>
      <c r="P81" s="1436"/>
      <c r="Q81" s="1436"/>
      <c r="R81" s="1436"/>
      <c r="S81" s="1436"/>
      <c r="T81" s="1436"/>
      <c r="U81" s="1436"/>
      <c r="V81" s="1436"/>
      <c r="W81" s="1436"/>
      <c r="X81" s="1436"/>
      <c r="Y81" s="1436"/>
      <c r="Z81" s="1436"/>
      <c r="AA81" s="1436"/>
      <c r="AB81" s="1436"/>
      <c r="AC81" s="1436"/>
      <c r="AD81" s="1436"/>
      <c r="AE81" s="1436"/>
      <c r="AF81" s="1436"/>
      <c r="AG81" s="1436"/>
      <c r="AH81" s="1436"/>
      <c r="AI81" s="1436"/>
      <c r="AJ81" s="1436"/>
      <c r="AK81" s="1436"/>
      <c r="AL81" s="1436"/>
      <c r="AM81" s="1436"/>
      <c r="AN81" s="1436"/>
      <c r="AO81" s="1436"/>
      <c r="AP81" s="1436"/>
      <c r="AQ81" s="1436"/>
      <c r="AR81" s="1436"/>
      <c r="AS81" s="1436"/>
      <c r="AT81" s="1436"/>
      <c r="AU81" s="20"/>
      <c r="AV81" s="20"/>
      <c r="AW81" s="20"/>
      <c r="AX81" s="20"/>
      <c r="AY81" s="20"/>
      <c r="AZ81" s="20"/>
      <c r="BD81" s="1176" t="s">
        <v>2493</v>
      </c>
      <c r="BE81" s="1178">
        <f>'Points System'!AF890</f>
        <v>12</v>
      </c>
    </row>
    <row r="82" spans="1:57" ht="12.95"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2494</v>
      </c>
      <c r="BE82" s="1178">
        <f>'Points System'!AF891</f>
        <v>10</v>
      </c>
    </row>
    <row r="83" spans="1:57" ht="12.95" customHeight="1">
      <c r="A83" s="1435" t="s">
        <v>2108</v>
      </c>
      <c r="B83" s="1435"/>
      <c r="C83" s="1435"/>
      <c r="D83" s="1435"/>
      <c r="E83" s="1435"/>
      <c r="F83" s="1435"/>
      <c r="G83" s="1435"/>
      <c r="H83" s="1435"/>
      <c r="I83" s="1435"/>
      <c r="J83" s="1435"/>
      <c r="K83" s="1435"/>
      <c r="L83" s="1435"/>
      <c r="M83" s="1435"/>
      <c r="N83" s="1435"/>
      <c r="O83" s="1435"/>
      <c r="P83" s="1435"/>
      <c r="Q83" s="1435"/>
      <c r="R83" s="1435"/>
      <c r="S83" s="1435"/>
      <c r="T83" s="1435"/>
      <c r="U83" s="1435"/>
      <c r="V83" s="1435"/>
      <c r="W83" s="1435"/>
      <c r="X83" s="1435"/>
      <c r="Y83" s="1435"/>
      <c r="Z83" s="1435"/>
      <c r="AA83" s="1435"/>
      <c r="AB83" s="1435"/>
      <c r="AC83" s="1435"/>
      <c r="AD83" s="1435"/>
      <c r="AE83" s="1435"/>
      <c r="AF83" s="1435"/>
      <c r="AG83" s="1435"/>
      <c r="AH83" s="1435"/>
      <c r="AI83" s="1435"/>
      <c r="AJ83" s="1435"/>
      <c r="AK83" s="1435"/>
      <c r="AL83" s="1435"/>
      <c r="AM83" s="1435"/>
      <c r="AN83" s="1435"/>
      <c r="AO83" s="1435"/>
      <c r="AP83" s="1435"/>
      <c r="AQ83" s="1435"/>
      <c r="AR83" s="1435"/>
      <c r="AS83" s="1435"/>
      <c r="AT83" s="1435"/>
      <c r="AU83" s="20"/>
      <c r="AV83" s="20"/>
      <c r="AW83" s="20"/>
      <c r="AX83" s="20"/>
      <c r="AY83" s="20"/>
      <c r="AZ83" s="20"/>
      <c r="BD83" s="1176" t="s">
        <v>2495</v>
      </c>
      <c r="BE83" s="1182">
        <f>'Tie Breaker'!H5</f>
        <v>2.0231605944038118</v>
      </c>
    </row>
    <row r="84" spans="1:57" ht="12.95" customHeight="1">
      <c r="A84" s="1435"/>
      <c r="B84" s="1435"/>
      <c r="C84" s="1435"/>
      <c r="D84" s="1435"/>
      <c r="E84" s="1435"/>
      <c r="F84" s="1435"/>
      <c r="G84" s="1435"/>
      <c r="H84" s="1435"/>
      <c r="I84" s="1435"/>
      <c r="J84" s="1435"/>
      <c r="K84" s="1435"/>
      <c r="L84" s="1435"/>
      <c r="M84" s="1435"/>
      <c r="N84" s="1435"/>
      <c r="O84" s="1435"/>
      <c r="P84" s="1435"/>
      <c r="Q84" s="1435"/>
      <c r="R84" s="1435"/>
      <c r="S84" s="1435"/>
      <c r="T84" s="1435"/>
      <c r="U84" s="1435"/>
      <c r="V84" s="1435"/>
      <c r="W84" s="1435"/>
      <c r="X84" s="1435"/>
      <c r="Y84" s="1435"/>
      <c r="Z84" s="1435"/>
      <c r="AA84" s="1435"/>
      <c r="AB84" s="1435"/>
      <c r="AC84" s="1435"/>
      <c r="AD84" s="1435"/>
      <c r="AE84" s="1435"/>
      <c r="AF84" s="1435"/>
      <c r="AG84" s="1435"/>
      <c r="AH84" s="1435"/>
      <c r="AI84" s="1435"/>
      <c r="AJ84" s="1435"/>
      <c r="AK84" s="1435"/>
      <c r="AL84" s="1435"/>
      <c r="AM84" s="1435"/>
      <c r="AN84" s="1435"/>
      <c r="AO84" s="1435"/>
      <c r="AP84" s="1435"/>
      <c r="AQ84" s="1435"/>
      <c r="AR84" s="1435"/>
      <c r="AS84" s="1435"/>
      <c r="AT84" s="1435"/>
      <c r="AU84" s="20"/>
      <c r="AV84" s="20"/>
      <c r="AW84" s="20"/>
      <c r="AX84" s="20"/>
      <c r="AY84" s="20"/>
      <c r="AZ84" s="20"/>
      <c r="BD84" s="1177" t="s">
        <v>2496</v>
      </c>
      <c r="BE84" s="1178" t="str">
        <f>Application!O153</f>
        <v>City of Long Beach</v>
      </c>
    </row>
    <row r="85" spans="1:57" ht="12.95"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2497</v>
      </c>
      <c r="BE85" s="1178" t="str">
        <f>Application!O154</f>
        <v>Meggan Sorensen</v>
      </c>
    </row>
    <row r="86" spans="1:57" ht="12.95" customHeight="1">
      <c r="A86" s="1435" t="s">
        <v>2109</v>
      </c>
      <c r="B86" s="1435"/>
      <c r="C86" s="1435"/>
      <c r="D86" s="1435"/>
      <c r="E86" s="1435"/>
      <c r="F86" s="1435"/>
      <c r="G86" s="1435"/>
      <c r="H86" s="1435"/>
      <c r="I86" s="1435"/>
      <c r="J86" s="1435"/>
      <c r="K86" s="1435"/>
      <c r="L86" s="1435"/>
      <c r="M86" s="1435"/>
      <c r="N86" s="1435"/>
      <c r="O86" s="1435"/>
      <c r="P86" s="1435"/>
      <c r="Q86" s="1435"/>
      <c r="R86" s="1435"/>
      <c r="S86" s="1435"/>
      <c r="T86" s="1435"/>
      <c r="U86" s="1435"/>
      <c r="V86" s="1435"/>
      <c r="W86" s="1435"/>
      <c r="X86" s="1435"/>
      <c r="Y86" s="1435"/>
      <c r="Z86" s="1435"/>
      <c r="AA86" s="1435"/>
      <c r="AB86" s="1435"/>
      <c r="AC86" s="1435"/>
      <c r="AD86" s="1435"/>
      <c r="AE86" s="1435"/>
      <c r="AF86" s="1435"/>
      <c r="AG86" s="1435"/>
      <c r="AH86" s="1435"/>
      <c r="AI86" s="1435"/>
      <c r="AJ86" s="1435"/>
      <c r="AK86" s="1435"/>
      <c r="AL86" s="1435"/>
      <c r="AM86" s="1435"/>
      <c r="AN86" s="1435"/>
      <c r="AO86" s="1435"/>
      <c r="AP86" s="1435"/>
      <c r="AQ86" s="1435"/>
      <c r="AR86" s="1435"/>
      <c r="AS86" s="1435"/>
      <c r="AT86" s="1435"/>
      <c r="AU86" s="20"/>
      <c r="AV86" s="20"/>
      <c r="AW86" s="20"/>
      <c r="AX86" s="20"/>
      <c r="AY86" s="20"/>
      <c r="AZ86" s="20"/>
      <c r="BD86" s="1177" t="s">
        <v>2498</v>
      </c>
      <c r="BE86" s="1178" t="str">
        <f>Application!O155</f>
        <v>Bureau Manager</v>
      </c>
    </row>
    <row r="87" spans="1:57" ht="12.95" customHeight="1">
      <c r="A87" s="1435"/>
      <c r="B87" s="1435"/>
      <c r="C87" s="1435"/>
      <c r="D87" s="1435"/>
      <c r="E87" s="1435"/>
      <c r="F87" s="1435"/>
      <c r="G87" s="1435"/>
      <c r="H87" s="1435"/>
      <c r="I87" s="1435"/>
      <c r="J87" s="1435"/>
      <c r="K87" s="1435"/>
      <c r="L87" s="1435"/>
      <c r="M87" s="1435"/>
      <c r="N87" s="1435"/>
      <c r="O87" s="1435"/>
      <c r="P87" s="1435"/>
      <c r="Q87" s="1435"/>
      <c r="R87" s="1435"/>
      <c r="S87" s="1435"/>
      <c r="T87" s="1435"/>
      <c r="U87" s="1435"/>
      <c r="V87" s="1435"/>
      <c r="W87" s="1435"/>
      <c r="X87" s="1435"/>
      <c r="Y87" s="1435"/>
      <c r="Z87" s="1435"/>
      <c r="AA87" s="1435"/>
      <c r="AB87" s="1435"/>
      <c r="AC87" s="1435"/>
      <c r="AD87" s="1435"/>
      <c r="AE87" s="1435"/>
      <c r="AF87" s="1435"/>
      <c r="AG87" s="1435"/>
      <c r="AH87" s="1435"/>
      <c r="AI87" s="1435"/>
      <c r="AJ87" s="1435"/>
      <c r="AK87" s="1435"/>
      <c r="AL87" s="1435"/>
      <c r="AM87" s="1435"/>
      <c r="AN87" s="1435"/>
      <c r="AO87" s="1435"/>
      <c r="AP87" s="1435"/>
      <c r="AQ87" s="1435"/>
      <c r="AR87" s="1435"/>
      <c r="AS87" s="1435"/>
      <c r="AT87" s="1435"/>
      <c r="AU87" s="20"/>
      <c r="AV87" s="20"/>
      <c r="AW87" s="20"/>
      <c r="AX87" s="20"/>
      <c r="AY87" s="20"/>
      <c r="AZ87" s="20"/>
      <c r="BD87" s="1176" t="s">
        <v>2499</v>
      </c>
      <c r="BE87" s="1178" t="str">
        <f>Application!O156</f>
        <v>411 W. Ocean Blvd., 3rd Floor</v>
      </c>
    </row>
    <row r="88" spans="1:57" ht="12.95"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2500</v>
      </c>
      <c r="BE88" s="1178" t="str">
        <f>Application!O157</f>
        <v>Long Beach</v>
      </c>
    </row>
    <row r="89" spans="1:57" ht="12.95" customHeight="1">
      <c r="A89" s="1755" t="s">
        <v>2110</v>
      </c>
      <c r="B89" s="1755"/>
      <c r="C89" s="1755"/>
      <c r="D89" s="1755"/>
      <c r="E89" s="1755"/>
      <c r="F89" s="1755"/>
      <c r="G89" s="1755"/>
      <c r="H89" s="1755"/>
      <c r="I89" s="1755"/>
      <c r="J89" s="1755"/>
      <c r="K89" s="1755"/>
      <c r="L89" s="1755"/>
      <c r="M89" s="1755"/>
      <c r="N89" s="1755"/>
      <c r="O89" s="1755"/>
      <c r="P89" s="1755"/>
      <c r="Q89" s="1755"/>
      <c r="R89" s="1755"/>
      <c r="S89" s="1755"/>
      <c r="T89" s="1755"/>
      <c r="U89" s="1755"/>
      <c r="V89" s="1755"/>
      <c r="W89" s="1755"/>
      <c r="X89" s="1755"/>
      <c r="Y89" s="1755"/>
      <c r="Z89" s="1755"/>
      <c r="AA89" s="1755"/>
      <c r="AB89" s="1755"/>
      <c r="AC89" s="1755"/>
      <c r="AD89" s="1755"/>
      <c r="AE89" s="1755"/>
      <c r="AF89" s="1755"/>
      <c r="AG89" s="1755"/>
      <c r="AH89" s="1755"/>
      <c r="AI89" s="1755"/>
      <c r="AJ89" s="1755"/>
      <c r="AK89" s="1755"/>
      <c r="AL89" s="1755"/>
      <c r="AM89" s="1755"/>
      <c r="AN89" s="1755"/>
      <c r="AO89" s="1755"/>
      <c r="AP89" s="1755"/>
      <c r="AQ89" s="1755"/>
      <c r="AR89" s="1755"/>
      <c r="AS89" s="1755"/>
      <c r="AT89" s="1755"/>
      <c r="AU89" s="17"/>
      <c r="AV89" s="17"/>
      <c r="AW89" s="17"/>
      <c r="AX89" s="17"/>
      <c r="AY89" s="17"/>
      <c r="AZ89" s="20"/>
      <c r="BD89" s="1176" t="s">
        <v>2501</v>
      </c>
      <c r="BE89" s="1178">
        <f>Application!O158</f>
        <v>90802</v>
      </c>
    </row>
    <row r="90" spans="1:57" ht="12.95" customHeight="1">
      <c r="A90" s="1755"/>
      <c r="B90" s="1755"/>
      <c r="C90" s="1755"/>
      <c r="D90" s="1755"/>
      <c r="E90" s="1755"/>
      <c r="F90" s="1755"/>
      <c r="G90" s="1755"/>
      <c r="H90" s="1755"/>
      <c r="I90" s="1755"/>
      <c r="J90" s="1755"/>
      <c r="K90" s="1755"/>
      <c r="L90" s="1755"/>
      <c r="M90" s="1755"/>
      <c r="N90" s="1755"/>
      <c r="O90" s="1755"/>
      <c r="P90" s="1755"/>
      <c r="Q90" s="1755"/>
      <c r="R90" s="1755"/>
      <c r="S90" s="1755"/>
      <c r="T90" s="1755"/>
      <c r="U90" s="1755"/>
      <c r="V90" s="1755"/>
      <c r="W90" s="1755"/>
      <c r="X90" s="1755"/>
      <c r="Y90" s="1755"/>
      <c r="Z90" s="1755"/>
      <c r="AA90" s="1755"/>
      <c r="AB90" s="1755"/>
      <c r="AC90" s="1755"/>
      <c r="AD90" s="1755"/>
      <c r="AE90" s="1755"/>
      <c r="AF90" s="1755"/>
      <c r="AG90" s="1755"/>
      <c r="AH90" s="1755"/>
      <c r="AI90" s="1755"/>
      <c r="AJ90" s="1755"/>
      <c r="AK90" s="1755"/>
      <c r="AL90" s="1755"/>
      <c r="AM90" s="1755"/>
      <c r="AN90" s="1755"/>
      <c r="AO90" s="1755"/>
      <c r="AP90" s="1755"/>
      <c r="AQ90" s="1755"/>
      <c r="AR90" s="1755"/>
      <c r="AS90" s="1755"/>
      <c r="AT90" s="1755"/>
      <c r="AU90" s="17"/>
      <c r="AV90" s="17"/>
      <c r="AW90" s="17"/>
      <c r="AX90" s="17"/>
      <c r="AY90" s="17"/>
      <c r="AZ90" s="20"/>
      <c r="BD90" s="1177" t="s">
        <v>2502</v>
      </c>
      <c r="BE90" s="1178" t="str">
        <f>Application!H16</f>
        <v xml:space="preserve">Linc Housing Corporation (as Sole Member and Manager of Linc 3590 LLC, the Managing General Partner of Linc 3590, LP)																												</v>
      </c>
    </row>
    <row r="91" spans="1:57" ht="12.95"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2503</v>
      </c>
      <c r="BE91" s="1178" t="str">
        <f>Application!M242</f>
        <v>3590 Elm Avenue</v>
      </c>
    </row>
    <row r="92" spans="1:57" ht="12.95" customHeight="1">
      <c r="A92" s="1756" t="s">
        <v>2111</v>
      </c>
      <c r="B92" s="1756"/>
      <c r="C92" s="1756"/>
      <c r="D92" s="1756"/>
      <c r="E92" s="1756"/>
      <c r="F92" s="1756"/>
      <c r="G92" s="1756"/>
      <c r="H92" s="1756"/>
      <c r="I92" s="1756"/>
      <c r="J92" s="1756"/>
      <c r="K92" s="1756"/>
      <c r="L92" s="1756"/>
      <c r="M92" s="1756"/>
      <c r="N92" s="1756"/>
      <c r="O92" s="1756"/>
      <c r="P92" s="1756"/>
      <c r="Q92" s="1756"/>
      <c r="R92" s="1756"/>
      <c r="S92" s="1756"/>
      <c r="T92" s="1756"/>
      <c r="U92" s="1756"/>
      <c r="V92" s="1756"/>
      <c r="W92" s="1756"/>
      <c r="X92" s="1756"/>
      <c r="Y92" s="1756"/>
      <c r="Z92" s="1756"/>
      <c r="AA92" s="1756"/>
      <c r="AB92" s="1756"/>
      <c r="AC92" s="1756"/>
      <c r="AD92" s="1756"/>
      <c r="AE92" s="1756"/>
      <c r="AF92" s="1756"/>
      <c r="AG92" s="1756"/>
      <c r="AH92" s="1756"/>
      <c r="AI92" s="1756"/>
      <c r="AJ92" s="1756"/>
      <c r="AK92" s="1756"/>
      <c r="AL92" s="1756"/>
      <c r="AM92" s="1756"/>
      <c r="AN92" s="1756"/>
      <c r="AO92" s="1756"/>
      <c r="AP92" s="1756"/>
      <c r="AQ92" s="1756"/>
      <c r="AR92" s="1756"/>
      <c r="AS92" s="1756"/>
      <c r="AT92" s="1756"/>
      <c r="AU92" s="20"/>
      <c r="AV92" s="20"/>
      <c r="AW92" s="20"/>
      <c r="AX92" s="20"/>
      <c r="AY92" s="20"/>
      <c r="AZ92" s="20"/>
      <c r="BD92" s="1177" t="s">
        <v>2504</v>
      </c>
      <c r="BE92" s="1178" t="str">
        <f>Application!M243</f>
        <v>Long Beach</v>
      </c>
    </row>
    <row r="93" spans="1:57" ht="12.95" customHeight="1">
      <c r="A93" s="1756"/>
      <c r="B93" s="1756"/>
      <c r="C93" s="1756"/>
      <c r="D93" s="1756"/>
      <c r="E93" s="1756"/>
      <c r="F93" s="1756"/>
      <c r="G93" s="1756"/>
      <c r="H93" s="1756"/>
      <c r="I93" s="1756"/>
      <c r="J93" s="1756"/>
      <c r="K93" s="1756"/>
      <c r="L93" s="1756"/>
      <c r="M93" s="1756"/>
      <c r="N93" s="1756"/>
      <c r="O93" s="1756"/>
      <c r="P93" s="1756"/>
      <c r="Q93" s="1756"/>
      <c r="R93" s="1756"/>
      <c r="S93" s="1756"/>
      <c r="T93" s="1756"/>
      <c r="U93" s="1756"/>
      <c r="V93" s="1756"/>
      <c r="W93" s="1756"/>
      <c r="X93" s="1756"/>
      <c r="Y93" s="1756"/>
      <c r="Z93" s="1756"/>
      <c r="AA93" s="1756"/>
      <c r="AB93" s="1756"/>
      <c r="AC93" s="1756"/>
      <c r="AD93" s="1756"/>
      <c r="AE93" s="1756"/>
      <c r="AF93" s="1756"/>
      <c r="AG93" s="1756"/>
      <c r="AH93" s="1756"/>
      <c r="AI93" s="1756"/>
      <c r="AJ93" s="1756"/>
      <c r="AK93" s="1756"/>
      <c r="AL93" s="1756"/>
      <c r="AM93" s="1756"/>
      <c r="AN93" s="1756"/>
      <c r="AO93" s="1756"/>
      <c r="AP93" s="1756"/>
      <c r="AQ93" s="1756"/>
      <c r="AR93" s="1756"/>
      <c r="AS93" s="1756"/>
      <c r="AT93" s="1756"/>
      <c r="AU93" s="20"/>
      <c r="AV93" s="20"/>
      <c r="AW93" s="20"/>
      <c r="AX93" s="20"/>
      <c r="AY93" s="20"/>
      <c r="AZ93" s="20"/>
      <c r="BD93" s="1176" t="s">
        <v>2505</v>
      </c>
      <c r="BE93" s="1178" t="str">
        <f>Application!W243</f>
        <v>CA</v>
      </c>
    </row>
    <row r="94" spans="1:57" ht="12.95" customHeight="1">
      <c r="A94" s="1756"/>
      <c r="B94" s="1756"/>
      <c r="C94" s="1756"/>
      <c r="D94" s="1756"/>
      <c r="E94" s="1756"/>
      <c r="F94" s="1756"/>
      <c r="G94" s="1756"/>
      <c r="H94" s="1756"/>
      <c r="I94" s="1756"/>
      <c r="J94" s="1756"/>
      <c r="K94" s="1756"/>
      <c r="L94" s="1756"/>
      <c r="M94" s="1756"/>
      <c r="N94" s="1756"/>
      <c r="O94" s="1756"/>
      <c r="P94" s="1756"/>
      <c r="Q94" s="1756"/>
      <c r="R94" s="1756"/>
      <c r="S94" s="1756"/>
      <c r="T94" s="1756"/>
      <c r="U94" s="1756"/>
      <c r="V94" s="1756"/>
      <c r="W94" s="1756"/>
      <c r="X94" s="1756"/>
      <c r="Y94" s="1756"/>
      <c r="Z94" s="1756"/>
      <c r="AA94" s="1756"/>
      <c r="AB94" s="1756"/>
      <c r="AC94" s="1756"/>
      <c r="AD94" s="1756"/>
      <c r="AE94" s="1756"/>
      <c r="AF94" s="1756"/>
      <c r="AG94" s="1756"/>
      <c r="AH94" s="1756"/>
      <c r="AI94" s="1756"/>
      <c r="AJ94" s="1756"/>
      <c r="AK94" s="1756"/>
      <c r="AL94" s="1756"/>
      <c r="AM94" s="1756"/>
      <c r="AN94" s="1756"/>
      <c r="AO94" s="1756"/>
      <c r="AP94" s="1756"/>
      <c r="AQ94" s="1756"/>
      <c r="AR94" s="1756"/>
      <c r="AS94" s="1756"/>
      <c r="AT94" s="1756"/>
      <c r="AU94" s="20"/>
      <c r="AV94" s="20"/>
      <c r="AW94" s="20"/>
      <c r="AX94" s="20"/>
      <c r="AY94" s="20"/>
      <c r="AZ94" s="20"/>
      <c r="BD94" s="1177" t="s">
        <v>2506</v>
      </c>
      <c r="BE94" s="1178">
        <f>Application!AC243</f>
        <v>90807</v>
      </c>
    </row>
    <row r="95" spans="1:57" ht="12.95" customHeight="1">
      <c r="A95" s="1756"/>
      <c r="B95" s="1756"/>
      <c r="C95" s="1756"/>
      <c r="D95" s="1756"/>
      <c r="E95" s="1756"/>
      <c r="F95" s="1756"/>
      <c r="G95" s="1756"/>
      <c r="H95" s="1756"/>
      <c r="I95" s="1756"/>
      <c r="J95" s="1756"/>
      <c r="K95" s="1756"/>
      <c r="L95" s="1756"/>
      <c r="M95" s="1756"/>
      <c r="N95" s="1756"/>
      <c r="O95" s="1756"/>
      <c r="P95" s="1756"/>
      <c r="Q95" s="1756"/>
      <c r="R95" s="1756"/>
      <c r="S95" s="1756"/>
      <c r="T95" s="1756"/>
      <c r="U95" s="1756"/>
      <c r="V95" s="1756"/>
      <c r="W95" s="1756"/>
      <c r="X95" s="1756"/>
      <c r="Y95" s="1756"/>
      <c r="Z95" s="1756"/>
      <c r="AA95" s="1756"/>
      <c r="AB95" s="1756"/>
      <c r="AC95" s="1756"/>
      <c r="AD95" s="1756"/>
      <c r="AE95" s="1756"/>
      <c r="AF95" s="1756"/>
      <c r="AG95" s="1756"/>
      <c r="AH95" s="1756"/>
      <c r="AI95" s="1756"/>
      <c r="AJ95" s="1756"/>
      <c r="AK95" s="1756"/>
      <c r="AL95" s="1756"/>
      <c r="AM95" s="1756"/>
      <c r="AN95" s="1756"/>
      <c r="AO95" s="1756"/>
      <c r="AP95" s="1756"/>
      <c r="AQ95" s="1756"/>
      <c r="AR95" s="1756"/>
      <c r="AS95" s="1756"/>
      <c r="AT95" s="1756"/>
      <c r="AU95" s="20"/>
      <c r="AV95" s="20"/>
      <c r="AW95" s="20"/>
      <c r="AX95" s="20"/>
      <c r="AY95" s="20"/>
      <c r="AZ95" s="20"/>
      <c r="BD95" s="1176" t="s">
        <v>2507</v>
      </c>
      <c r="BE95" s="1178" t="str">
        <f>Application!M244</f>
        <v>Jeff Williams</v>
      </c>
    </row>
    <row r="96" spans="1:57" ht="12.95" customHeight="1">
      <c r="A96" s="1756"/>
      <c r="B96" s="1756"/>
      <c r="C96" s="1756"/>
      <c r="D96" s="1756"/>
      <c r="E96" s="1756"/>
      <c r="F96" s="1756"/>
      <c r="G96" s="1756"/>
      <c r="H96" s="1756"/>
      <c r="I96" s="1756"/>
      <c r="J96" s="1756"/>
      <c r="K96" s="1756"/>
      <c r="L96" s="1756"/>
      <c r="M96" s="1756"/>
      <c r="N96" s="1756"/>
      <c r="O96" s="1756"/>
      <c r="P96" s="1756"/>
      <c r="Q96" s="1756"/>
      <c r="R96" s="1756"/>
      <c r="S96" s="1756"/>
      <c r="T96" s="1756"/>
      <c r="U96" s="1756"/>
      <c r="V96" s="1756"/>
      <c r="W96" s="1756"/>
      <c r="X96" s="1756"/>
      <c r="Y96" s="1756"/>
      <c r="Z96" s="1756"/>
      <c r="AA96" s="1756"/>
      <c r="AB96" s="1756"/>
      <c r="AC96" s="1756"/>
      <c r="AD96" s="1756"/>
      <c r="AE96" s="1756"/>
      <c r="AF96" s="1756"/>
      <c r="AG96" s="1756"/>
      <c r="AH96" s="1756"/>
      <c r="AI96" s="1756"/>
      <c r="AJ96" s="1756"/>
      <c r="AK96" s="1756"/>
      <c r="AL96" s="1756"/>
      <c r="AM96" s="1756"/>
      <c r="AN96" s="1756"/>
      <c r="AO96" s="1756"/>
      <c r="AP96" s="1756"/>
      <c r="AQ96" s="1756"/>
      <c r="AR96" s="1756"/>
      <c r="AS96" s="1756"/>
      <c r="AT96" s="1756"/>
      <c r="AU96" s="20"/>
      <c r="AV96" s="20"/>
      <c r="AW96" s="20"/>
      <c r="AX96" s="20"/>
      <c r="AY96" s="20"/>
      <c r="AZ96" s="20"/>
      <c r="BD96" s="1177" t="s">
        <v>2508</v>
      </c>
      <c r="BE96" s="1178" t="str">
        <f>Application!M246</f>
        <v>jswilliams@linchousing.org</v>
      </c>
    </row>
    <row r="97" spans="1:57" ht="12.95" customHeight="1">
      <c r="A97" s="1756"/>
      <c r="B97" s="1756"/>
      <c r="C97" s="1756"/>
      <c r="D97" s="1756"/>
      <c r="E97" s="1756"/>
      <c r="F97" s="1756"/>
      <c r="G97" s="1756"/>
      <c r="H97" s="1756"/>
      <c r="I97" s="1756"/>
      <c r="J97" s="1756"/>
      <c r="K97" s="1756"/>
      <c r="L97" s="1756"/>
      <c r="M97" s="1756"/>
      <c r="N97" s="1756"/>
      <c r="O97" s="1756"/>
      <c r="P97" s="1756"/>
      <c r="Q97" s="1756"/>
      <c r="R97" s="1756"/>
      <c r="S97" s="1756"/>
      <c r="T97" s="1756"/>
      <c r="U97" s="1756"/>
      <c r="V97" s="1756"/>
      <c r="W97" s="1756"/>
      <c r="X97" s="1756"/>
      <c r="Y97" s="1756"/>
      <c r="Z97" s="1756"/>
      <c r="AA97" s="1756"/>
      <c r="AB97" s="1756"/>
      <c r="AC97" s="1756"/>
      <c r="AD97" s="1756"/>
      <c r="AE97" s="1756"/>
      <c r="AF97" s="1756"/>
      <c r="AG97" s="1756"/>
      <c r="AH97" s="1756"/>
      <c r="AI97" s="1756"/>
      <c r="AJ97" s="1756"/>
      <c r="AK97" s="1756"/>
      <c r="AL97" s="1756"/>
      <c r="AM97" s="1756"/>
      <c r="AN97" s="1756"/>
      <c r="AO97" s="1756"/>
      <c r="AP97" s="1756"/>
      <c r="AQ97" s="1756"/>
      <c r="AR97" s="1756"/>
      <c r="AS97" s="1756"/>
      <c r="AT97" s="1756"/>
      <c r="AU97" s="20"/>
      <c r="AV97" s="20"/>
      <c r="AW97" s="20"/>
      <c r="AX97" s="20"/>
      <c r="AY97" s="20"/>
      <c r="AZ97" s="20"/>
      <c r="BD97" s="1176" t="s">
        <v>2509</v>
      </c>
      <c r="BE97" s="1178" t="str">
        <f>Application!M257</f>
        <v xml:space="preserve">jswilliams@linchousing.org																		</v>
      </c>
    </row>
    <row r="98" spans="1:57" ht="12.95" customHeight="1">
      <c r="A98" s="1756"/>
      <c r="B98" s="1756"/>
      <c r="C98" s="1756"/>
      <c r="D98" s="1756"/>
      <c r="E98" s="1756"/>
      <c r="F98" s="1756"/>
      <c r="G98" s="1756"/>
      <c r="H98" s="1756"/>
      <c r="I98" s="1756"/>
      <c r="J98" s="1756"/>
      <c r="K98" s="1756"/>
      <c r="L98" s="1756"/>
      <c r="M98" s="1756"/>
      <c r="N98" s="1756"/>
      <c r="O98" s="1756"/>
      <c r="P98" s="1756"/>
      <c r="Q98" s="1756"/>
      <c r="R98" s="1756"/>
      <c r="S98" s="1756"/>
      <c r="T98" s="1756"/>
      <c r="U98" s="1756"/>
      <c r="V98" s="1756"/>
      <c r="W98" s="1756"/>
      <c r="X98" s="1756"/>
      <c r="Y98" s="1756"/>
      <c r="Z98" s="1756"/>
      <c r="AA98" s="1756"/>
      <c r="AB98" s="1756"/>
      <c r="AC98" s="1756"/>
      <c r="AD98" s="1756"/>
      <c r="AE98" s="1756"/>
      <c r="AF98" s="1756"/>
      <c r="AG98" s="1756"/>
      <c r="AH98" s="1756"/>
      <c r="AI98" s="1756"/>
      <c r="AJ98" s="1756"/>
      <c r="AK98" s="1756"/>
      <c r="AL98" s="1756"/>
      <c r="AM98" s="1756"/>
      <c r="AN98" s="1756"/>
      <c r="AO98" s="1756"/>
      <c r="AP98" s="1756"/>
      <c r="AQ98" s="1756"/>
      <c r="AR98" s="1756"/>
      <c r="AS98" s="1756"/>
      <c r="AT98" s="1756"/>
      <c r="AU98" s="20"/>
      <c r="AV98" s="20"/>
      <c r="AW98" s="20"/>
      <c r="AX98" s="20"/>
      <c r="AY98" s="20"/>
      <c r="AZ98" s="20"/>
      <c r="BD98" s="1177" t="s">
        <v>2510</v>
      </c>
      <c r="BE98" s="1178">
        <f>Application!M265</f>
        <v>0</v>
      </c>
    </row>
    <row r="99" spans="1:57" ht="12.95"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2511</v>
      </c>
      <c r="BE99" s="1178">
        <f>Application!M273</f>
        <v>0</v>
      </c>
    </row>
    <row r="100" spans="1:57" ht="12.95" customHeight="1">
      <c r="A100" s="1757" t="s">
        <v>2112</v>
      </c>
      <c r="B100" s="1757"/>
      <c r="C100" s="1757"/>
      <c r="D100" s="1757"/>
      <c r="E100" s="1757"/>
      <c r="F100" s="1757"/>
      <c r="G100" s="1757"/>
      <c r="H100" s="1757"/>
      <c r="I100" s="1757"/>
      <c r="J100" s="1757"/>
      <c r="K100" s="1757"/>
      <c r="L100" s="1757"/>
      <c r="M100" s="1757"/>
      <c r="N100" s="1757"/>
      <c r="O100" s="1757"/>
      <c r="P100" s="1757"/>
      <c r="Q100" s="1757"/>
      <c r="R100" s="1757"/>
      <c r="S100" s="1757"/>
      <c r="T100" s="1757"/>
      <c r="U100" s="1757"/>
      <c r="V100" s="1757"/>
      <c r="W100" s="1757"/>
      <c r="X100" s="1757"/>
      <c r="Y100" s="1757"/>
      <c r="Z100" s="1757"/>
      <c r="AA100" s="1757"/>
      <c r="AB100" s="1757"/>
      <c r="AC100" s="1757"/>
      <c r="AD100" s="1757"/>
      <c r="AE100" s="1757"/>
      <c r="AF100" s="1757"/>
      <c r="AG100" s="1757"/>
      <c r="AH100" s="1757"/>
      <c r="AI100" s="1757"/>
      <c r="AJ100" s="1757"/>
      <c r="AK100" s="1757"/>
      <c r="AL100" s="1757"/>
      <c r="AM100" s="1757"/>
      <c r="AN100" s="1757"/>
      <c r="AO100" s="1757"/>
      <c r="AP100" s="1757"/>
      <c r="AQ100" s="1757"/>
      <c r="AR100" s="1757"/>
      <c r="AS100" s="1757"/>
      <c r="AT100" s="1757"/>
      <c r="AU100" s="20"/>
      <c r="AV100" s="20"/>
      <c r="AW100" s="20"/>
      <c r="AX100" s="20"/>
      <c r="AY100" s="20"/>
      <c r="AZ100" s="20"/>
      <c r="BD100" s="1177" t="s">
        <v>2512</v>
      </c>
      <c r="BE100" s="1178" t="str">
        <f>Application!L288</f>
        <v xml:space="preserve">bnoury@linchousing.org																		</v>
      </c>
    </row>
    <row r="101" spans="1:57" ht="12.95" customHeight="1">
      <c r="A101" s="1757"/>
      <c r="B101" s="1757"/>
      <c r="C101" s="1757"/>
      <c r="D101" s="1757"/>
      <c r="E101" s="1757"/>
      <c r="F101" s="1757"/>
      <c r="G101" s="1757"/>
      <c r="H101" s="1757"/>
      <c r="I101" s="1757"/>
      <c r="J101" s="1757"/>
      <c r="K101" s="1757"/>
      <c r="L101" s="1757"/>
      <c r="M101" s="1757"/>
      <c r="N101" s="1757"/>
      <c r="O101" s="1757"/>
      <c r="P101" s="1757"/>
      <c r="Q101" s="1757"/>
      <c r="R101" s="1757"/>
      <c r="S101" s="1757"/>
      <c r="T101" s="1757"/>
      <c r="U101" s="1757"/>
      <c r="V101" s="1757"/>
      <c r="W101" s="1757"/>
      <c r="X101" s="1757"/>
      <c r="Y101" s="1757"/>
      <c r="Z101" s="1757"/>
      <c r="AA101" s="1757"/>
      <c r="AB101" s="1757"/>
      <c r="AC101" s="1757"/>
      <c r="AD101" s="1757"/>
      <c r="AE101" s="1757"/>
      <c r="AF101" s="1757"/>
      <c r="AG101" s="1757"/>
      <c r="AH101" s="1757"/>
      <c r="AI101" s="1757"/>
      <c r="AJ101" s="1757"/>
      <c r="AK101" s="1757"/>
      <c r="AL101" s="1757"/>
      <c r="AM101" s="1757"/>
      <c r="AN101" s="1757"/>
      <c r="AO101" s="1757"/>
      <c r="AP101" s="1757"/>
      <c r="AQ101" s="1757"/>
      <c r="AR101" s="1757"/>
      <c r="AS101" s="1757"/>
      <c r="AT101" s="1757"/>
      <c r="AU101" s="20"/>
      <c r="AV101" s="20"/>
      <c r="AW101" s="20"/>
      <c r="AX101" s="20"/>
      <c r="AY101" s="20"/>
      <c r="AZ101" s="20"/>
      <c r="BD101" s="3" t="s">
        <v>2517</v>
      </c>
      <c r="BE101">
        <f>'Sources and Uses Budget'!C105</f>
        <v>85202321</v>
      </c>
    </row>
    <row r="102" spans="1:57" ht="12.95" customHeight="1">
      <c r="A102" s="1757"/>
      <c r="B102" s="1757"/>
      <c r="C102" s="1757"/>
      <c r="D102" s="1757"/>
      <c r="E102" s="1757"/>
      <c r="F102" s="1757"/>
      <c r="G102" s="1757"/>
      <c r="H102" s="1757"/>
      <c r="I102" s="1757"/>
      <c r="J102" s="1757"/>
      <c r="K102" s="1757"/>
      <c r="L102" s="1757"/>
      <c r="M102" s="1757"/>
      <c r="N102" s="1757"/>
      <c r="O102" s="1757"/>
      <c r="P102" s="1757"/>
      <c r="Q102" s="1757"/>
      <c r="R102" s="1757"/>
      <c r="S102" s="1757"/>
      <c r="T102" s="1757"/>
      <c r="U102" s="1757"/>
      <c r="V102" s="1757"/>
      <c r="W102" s="1757"/>
      <c r="X102" s="1757"/>
      <c r="Y102" s="1757"/>
      <c r="Z102" s="1757"/>
      <c r="AA102" s="1757"/>
      <c r="AB102" s="1757"/>
      <c r="AC102" s="1757"/>
      <c r="AD102" s="1757"/>
      <c r="AE102" s="1757"/>
      <c r="AF102" s="1757"/>
      <c r="AG102" s="1757"/>
      <c r="AH102" s="1757"/>
      <c r="AI102" s="1757"/>
      <c r="AJ102" s="1757"/>
      <c r="AK102" s="1757"/>
      <c r="AL102" s="1757"/>
      <c r="AM102" s="1757"/>
      <c r="AN102" s="1757"/>
      <c r="AO102" s="1757"/>
      <c r="AP102" s="1757"/>
      <c r="AQ102" s="1757"/>
      <c r="AR102" s="1757"/>
      <c r="AS102" s="1757"/>
      <c r="AT102" s="1757"/>
      <c r="AU102" s="20"/>
      <c r="AV102" s="20"/>
      <c r="AW102" s="20"/>
      <c r="AX102" s="20"/>
      <c r="AY102" s="20"/>
      <c r="AZ102" s="20"/>
      <c r="BD102" s="3" t="s">
        <v>2518</v>
      </c>
      <c r="BE102" t="b">
        <f>T197="Yes"</f>
        <v>0</v>
      </c>
    </row>
    <row r="103" spans="1:57" ht="12.95" customHeight="1">
      <c r="A103" s="1757"/>
      <c r="B103" s="1757"/>
      <c r="C103" s="1757"/>
      <c r="D103" s="1757"/>
      <c r="E103" s="1757"/>
      <c r="F103" s="1757"/>
      <c r="G103" s="1757"/>
      <c r="H103" s="1757"/>
      <c r="I103" s="1757"/>
      <c r="J103" s="1757"/>
      <c r="K103" s="1757"/>
      <c r="L103" s="1757"/>
      <c r="M103" s="1757"/>
      <c r="N103" s="1757"/>
      <c r="O103" s="1757"/>
      <c r="P103" s="1757"/>
      <c r="Q103" s="1757"/>
      <c r="R103" s="1757"/>
      <c r="S103" s="1757"/>
      <c r="T103" s="1757"/>
      <c r="U103" s="1757"/>
      <c r="V103" s="1757"/>
      <c r="W103" s="1757"/>
      <c r="X103" s="1757"/>
      <c r="Y103" s="1757"/>
      <c r="Z103" s="1757"/>
      <c r="AA103" s="1757"/>
      <c r="AB103" s="1757"/>
      <c r="AC103" s="1757"/>
      <c r="AD103" s="1757"/>
      <c r="AE103" s="1757"/>
      <c r="AF103" s="1757"/>
      <c r="AG103" s="1757"/>
      <c r="AH103" s="1757"/>
      <c r="AI103" s="1757"/>
      <c r="AJ103" s="1757"/>
      <c r="AK103" s="1757"/>
      <c r="AL103" s="1757"/>
      <c r="AM103" s="1757"/>
      <c r="AN103" s="1757"/>
      <c r="AO103" s="1757"/>
      <c r="AP103" s="1757"/>
      <c r="AQ103" s="1757"/>
      <c r="AR103" s="1757"/>
      <c r="AS103" s="1757"/>
      <c r="AT103" s="1757"/>
      <c r="AU103" s="20"/>
      <c r="AV103" s="20"/>
      <c r="AW103" s="20"/>
      <c r="AX103" s="20"/>
      <c r="AY103" s="20"/>
      <c r="BD103" t="s">
        <v>2122</v>
      </c>
      <c r="BE103" s="1178" t="b">
        <f>T199="Yes"</f>
        <v>0</v>
      </c>
    </row>
    <row r="104" spans="1:57" ht="12.95"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2526</v>
      </c>
      <c r="BE104" s="1178" t="b">
        <f>T200="Yes"</f>
        <v>0</v>
      </c>
    </row>
    <row r="105" spans="1:57" ht="12.95" customHeight="1">
      <c r="A105" s="1757" t="s">
        <v>2113</v>
      </c>
      <c r="B105" s="1757"/>
      <c r="C105" s="1757"/>
      <c r="D105" s="1757"/>
      <c r="E105" s="1757"/>
      <c r="F105" s="1757"/>
      <c r="G105" s="1757"/>
      <c r="H105" s="1757"/>
      <c r="I105" s="1757"/>
      <c r="J105" s="1757"/>
      <c r="K105" s="1757"/>
      <c r="L105" s="1757"/>
      <c r="M105" s="1757"/>
      <c r="N105" s="1757"/>
      <c r="O105" s="1757"/>
      <c r="P105" s="1757"/>
      <c r="Q105" s="1757"/>
      <c r="R105" s="1757"/>
      <c r="S105" s="1757"/>
      <c r="T105" s="1757"/>
      <c r="U105" s="1757"/>
      <c r="V105" s="1757"/>
      <c r="W105" s="1757"/>
      <c r="X105" s="1757"/>
      <c r="Y105" s="1757"/>
      <c r="Z105" s="1757"/>
      <c r="AA105" s="1757"/>
      <c r="AB105" s="1757"/>
      <c r="AC105" s="1757"/>
      <c r="AD105" s="1757"/>
      <c r="AE105" s="1757"/>
      <c r="AF105" s="1757"/>
      <c r="AG105" s="1757"/>
      <c r="AH105" s="1757"/>
      <c r="AI105" s="1757"/>
      <c r="AJ105" s="1757"/>
      <c r="AK105" s="1757"/>
      <c r="AL105" s="1757"/>
      <c r="AM105" s="1757"/>
      <c r="AN105" s="1757"/>
      <c r="AO105" s="1757"/>
      <c r="AP105" s="1757"/>
      <c r="AQ105" s="1757"/>
      <c r="AR105" s="1757"/>
      <c r="AS105" s="1757"/>
      <c r="AT105" s="1757"/>
      <c r="AU105" s="20"/>
      <c r="AV105" s="20"/>
      <c r="AW105" s="20"/>
      <c r="AX105" s="20"/>
      <c r="AY105" s="20"/>
      <c r="BD105" s="3" t="s">
        <v>2531</v>
      </c>
      <c r="BE105" s="1178" t="b">
        <f t="shared" ref="BE105:BE110" si="0">V224="Yes"</f>
        <v>0</v>
      </c>
    </row>
    <row r="106" spans="1:57" ht="12.95" customHeight="1">
      <c r="A106" s="1757"/>
      <c r="B106" s="1757"/>
      <c r="C106" s="1757"/>
      <c r="D106" s="1757"/>
      <c r="E106" s="1757"/>
      <c r="F106" s="1757"/>
      <c r="G106" s="1757"/>
      <c r="H106" s="1757"/>
      <c r="I106" s="1757"/>
      <c r="J106" s="1757"/>
      <c r="K106" s="1757"/>
      <c r="L106" s="1757"/>
      <c r="M106" s="1757"/>
      <c r="N106" s="1757"/>
      <c r="O106" s="1757"/>
      <c r="P106" s="1757"/>
      <c r="Q106" s="1757"/>
      <c r="R106" s="1757"/>
      <c r="S106" s="1757"/>
      <c r="T106" s="1757"/>
      <c r="U106" s="1757"/>
      <c r="V106" s="1757"/>
      <c r="W106" s="1757"/>
      <c r="X106" s="1757"/>
      <c r="Y106" s="1757"/>
      <c r="Z106" s="1757"/>
      <c r="AA106" s="1757"/>
      <c r="AB106" s="1757"/>
      <c r="AC106" s="1757"/>
      <c r="AD106" s="1757"/>
      <c r="AE106" s="1757"/>
      <c r="AF106" s="1757"/>
      <c r="AG106" s="1757"/>
      <c r="AH106" s="1757"/>
      <c r="AI106" s="1757"/>
      <c r="AJ106" s="1757"/>
      <c r="AK106" s="1757"/>
      <c r="AL106" s="1757"/>
      <c r="AM106" s="1757"/>
      <c r="AN106" s="1757"/>
      <c r="AO106" s="1757"/>
      <c r="AP106" s="1757"/>
      <c r="AQ106" s="1757"/>
      <c r="AR106" s="1757"/>
      <c r="AS106" s="1757"/>
      <c r="AT106" s="1757"/>
      <c r="AU106" s="20"/>
      <c r="AV106" s="20"/>
      <c r="AW106" s="20"/>
      <c r="AX106" s="20"/>
      <c r="AY106" s="20"/>
      <c r="BD106" s="3" t="s">
        <v>2532</v>
      </c>
      <c r="BE106" s="1178" t="b">
        <f t="shared" si="0"/>
        <v>0</v>
      </c>
    </row>
    <row r="107" spans="1:57" ht="12.95"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2533</v>
      </c>
      <c r="BE107" s="1178" t="b">
        <f t="shared" si="0"/>
        <v>0</v>
      </c>
    </row>
    <row r="108" spans="1:57" ht="12.95" customHeight="1">
      <c r="A108" s="513" t="s">
        <v>2114</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2534</v>
      </c>
      <c r="BE108" s="1178" t="b">
        <f t="shared" si="0"/>
        <v>0</v>
      </c>
    </row>
    <row r="109" spans="1:57" ht="12.95"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2535</v>
      </c>
      <c r="BE109" s="1178" t="b">
        <f t="shared" si="0"/>
        <v>1</v>
      </c>
    </row>
    <row r="110" spans="1:57" ht="12.95"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2536</v>
      </c>
      <c r="BE110" s="1178" t="b">
        <f t="shared" si="0"/>
        <v>0</v>
      </c>
    </row>
    <row r="111" spans="1:57" ht="12.95"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2.95"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2.95" customHeight="1">
      <c r="A113" s="289"/>
      <c r="C113" s="3" t="s">
        <v>180</v>
      </c>
      <c r="G113" s="1758">
        <v>7</v>
      </c>
      <c r="H113" s="1758"/>
      <c r="I113" s="3" t="s">
        <v>181</v>
      </c>
      <c r="L113" s="1758" t="s">
        <v>2778</v>
      </c>
      <c r="M113" s="1758"/>
      <c r="N113" s="1758"/>
      <c r="O113" s="1758"/>
      <c r="P113" s="1765" t="s">
        <v>2598</v>
      </c>
      <c r="Q113" s="1765"/>
      <c r="R113" s="1765"/>
      <c r="S113" s="1765"/>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2.95"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2.95" customHeight="1">
      <c r="A115" s="91"/>
      <c r="C115" s="1769" t="s">
        <v>2663</v>
      </c>
      <c r="D115" s="1769"/>
      <c r="E115" s="1769"/>
      <c r="F115" s="1769"/>
      <c r="G115" s="1769"/>
      <c r="H115" s="1769"/>
      <c r="I115" s="1769"/>
      <c r="J115" s="1769"/>
      <c r="K115" s="1769"/>
      <c r="L115" s="202" t="s">
        <v>625</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2.95"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2.95" customHeight="1">
      <c r="A117" s="91"/>
      <c r="B117" s="22"/>
      <c r="C117" s="22"/>
      <c r="X117" s="3" t="s">
        <v>626</v>
      </c>
      <c r="Y117" s="1758"/>
      <c r="Z117" s="1758"/>
      <c r="AA117" s="1758"/>
      <c r="AB117" s="1758"/>
      <c r="AC117" s="1758"/>
      <c r="AD117" s="1758"/>
      <c r="AE117" s="1758"/>
      <c r="AF117" s="1758"/>
      <c r="AG117" s="1758"/>
      <c r="AH117" s="1758"/>
      <c r="AI117" s="1758"/>
      <c r="AJ117" s="1758"/>
      <c r="AK117" s="1758"/>
    </row>
    <row r="118" spans="1:117" ht="12.95" customHeight="1">
      <c r="X118" s="3"/>
      <c r="Y118" s="3"/>
      <c r="Z118" s="3" t="s">
        <v>627</v>
      </c>
      <c r="AA118" s="3"/>
      <c r="AB118" s="3"/>
      <c r="AC118" s="3"/>
      <c r="AD118" s="3"/>
      <c r="AE118" s="3"/>
      <c r="AF118" s="3"/>
      <c r="AG118" s="3"/>
      <c r="AH118" s="3"/>
      <c r="AI118" s="3"/>
      <c r="AJ118" s="3"/>
      <c r="AK118" s="3"/>
    </row>
    <row r="119" spans="1:117" ht="12.95"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5" customHeight="1">
      <c r="A120" s="91"/>
      <c r="B120" s="3"/>
      <c r="P120" s="3"/>
      <c r="Q120" s="3"/>
      <c r="R120" s="3"/>
      <c r="S120" s="3"/>
      <c r="T120" s="3"/>
      <c r="U120" s="3"/>
      <c r="V120" s="3"/>
      <c r="W120" s="3"/>
      <c r="X120" s="3"/>
      <c r="Y120" s="1758" t="s">
        <v>2842</v>
      </c>
      <c r="Z120" s="1758"/>
      <c r="AA120" s="1758"/>
      <c r="AB120" s="1758"/>
      <c r="AC120" s="1758"/>
      <c r="AD120" s="1758"/>
      <c r="AE120" s="1758"/>
      <c r="AF120" s="1758"/>
      <c r="AG120" s="1758"/>
      <c r="AH120" s="1758"/>
      <c r="AI120" s="1758"/>
      <c r="AJ120" s="1758"/>
      <c r="AK120" s="1758"/>
      <c r="AL120" s="3"/>
      <c r="AM120" s="3"/>
      <c r="AN120" s="3"/>
      <c r="AO120" s="3"/>
      <c r="AP120" s="3"/>
      <c r="AQ120" s="3"/>
      <c r="AR120" s="3"/>
      <c r="AS120" s="3"/>
      <c r="AT120" s="3"/>
      <c r="AU120" s="3"/>
      <c r="AV120" s="3"/>
      <c r="AW120" s="3"/>
      <c r="AX120" s="3"/>
      <c r="AY120" s="3"/>
    </row>
    <row r="121" spans="1:117" ht="12.95" customHeight="1">
      <c r="A121" s="3"/>
      <c r="B121" s="3"/>
      <c r="P121" s="3"/>
      <c r="Q121" s="3"/>
      <c r="R121" s="3"/>
      <c r="S121" s="3"/>
      <c r="T121" s="3"/>
      <c r="U121" s="3"/>
      <c r="V121" s="3"/>
      <c r="W121" s="3"/>
      <c r="X121" s="3"/>
      <c r="Y121" s="3"/>
      <c r="Z121" s="3" t="s">
        <v>628</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5" customHeight="1">
      <c r="A122" s="3"/>
      <c r="B122" s="3"/>
      <c r="T122" s="3"/>
      <c r="U122" s="3"/>
      <c r="V122" s="3"/>
      <c r="W122" s="3"/>
      <c r="AL122" s="3"/>
      <c r="AM122" s="3"/>
      <c r="AN122" s="3"/>
      <c r="AO122" s="3"/>
      <c r="AP122" s="3"/>
      <c r="AQ122" s="3"/>
      <c r="AR122" s="3"/>
      <c r="AS122" s="3"/>
      <c r="AT122" s="3"/>
      <c r="AU122" s="3"/>
      <c r="AV122" s="3"/>
      <c r="AW122" s="3"/>
      <c r="AX122" s="3"/>
      <c r="AY122" s="3"/>
      <c r="CQ122" s="14" t="s">
        <v>630</v>
      </c>
      <c r="CR122" s="14"/>
      <c r="CS122" s="14"/>
      <c r="CT122" s="14"/>
      <c r="CU122" s="1650" t="s">
        <v>467</v>
      </c>
      <c r="CV122" s="1651"/>
      <c r="CW122" s="14"/>
      <c r="CX122" s="14" t="s">
        <v>632</v>
      </c>
      <c r="CY122" s="14"/>
      <c r="CZ122" s="14"/>
      <c r="DA122" s="14"/>
      <c r="DB122" s="14"/>
      <c r="DC122" s="14"/>
      <c r="DD122" s="14"/>
      <c r="DE122" s="14"/>
      <c r="DF122" s="14"/>
      <c r="DG122" s="1647" t="str">
        <f>T189</f>
        <v>Los Angeles</v>
      </c>
      <c r="DH122" s="1648"/>
      <c r="DI122" s="1648"/>
      <c r="DJ122" s="1648"/>
      <c r="DK122" s="1648"/>
      <c r="DL122" s="1648"/>
      <c r="DM122" s="1649"/>
    </row>
    <row r="123" spans="1:117" ht="12.95" customHeight="1">
      <c r="A123" s="3"/>
      <c r="B123" s="3"/>
      <c r="T123" s="3"/>
      <c r="U123" s="3"/>
      <c r="V123" s="3"/>
      <c r="W123" s="3"/>
      <c r="X123" s="3"/>
      <c r="Y123" s="1758" t="s">
        <v>2843</v>
      </c>
      <c r="Z123" s="1758"/>
      <c r="AA123" s="1758"/>
      <c r="AB123" s="1758"/>
      <c r="AC123" s="1758"/>
      <c r="AD123" s="1758"/>
      <c r="AE123" s="1758"/>
      <c r="AF123" s="1758"/>
      <c r="AG123" s="1758"/>
      <c r="AH123" s="1758"/>
      <c r="AI123" s="1758"/>
      <c r="AJ123" s="1758"/>
      <c r="AK123" s="1758"/>
      <c r="AL123" s="3"/>
      <c r="AM123" s="3"/>
      <c r="AN123" s="3"/>
      <c r="AO123" s="3"/>
      <c r="AP123" s="3"/>
      <c r="AQ123" s="3"/>
      <c r="AR123" s="3"/>
      <c r="AS123" s="3"/>
      <c r="AT123" s="3"/>
      <c r="AU123" s="3"/>
      <c r="AV123" s="3"/>
      <c r="AW123" s="3"/>
      <c r="AX123" s="3"/>
      <c r="AY123" s="3"/>
      <c r="DJ123" s="3"/>
      <c r="DK123" s="3"/>
      <c r="DL123" s="3"/>
      <c r="DM123" s="3"/>
    </row>
    <row r="124" spans="1:117" ht="12.95" customHeight="1">
      <c r="A124" s="3"/>
      <c r="B124" s="3"/>
      <c r="T124" s="3"/>
      <c r="U124" s="3"/>
      <c r="V124" s="3"/>
      <c r="W124" s="3"/>
      <c r="X124" s="3"/>
      <c r="Y124" s="3"/>
      <c r="Z124" s="3" t="s">
        <v>629</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467</v>
      </c>
      <c r="CV124" s="14"/>
      <c r="CW124" s="14"/>
      <c r="CX124" s="14"/>
      <c r="CY124" s="14"/>
      <c r="CZ124" s="14"/>
      <c r="DA124" s="14"/>
      <c r="DB124" s="14"/>
      <c r="DE124" s="32"/>
      <c r="DF124" s="32"/>
      <c r="DG124" s="32"/>
      <c r="DH124" s="32"/>
      <c r="DI124" s="32"/>
      <c r="DJ124" s="14"/>
      <c r="DK124" s="14"/>
      <c r="DL124" s="14"/>
      <c r="DM124" s="14"/>
    </row>
    <row r="125" spans="1:117" ht="12.95"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466</v>
      </c>
      <c r="CV125" s="4"/>
      <c r="CW125" s="14"/>
      <c r="CX125" s="14"/>
      <c r="CY125" s="14"/>
      <c r="CZ125" s="14"/>
      <c r="DA125" s="14"/>
      <c r="DB125" s="14"/>
      <c r="DE125" s="4"/>
      <c r="DF125" s="4"/>
      <c r="DG125" s="4"/>
      <c r="DH125" s="4"/>
      <c r="DI125" s="4"/>
      <c r="DJ125" s="4"/>
      <c r="DK125" s="4"/>
      <c r="DL125" s="4"/>
      <c r="DM125" s="4"/>
    </row>
    <row r="126" spans="1:117" ht="12.95"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2.9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467</v>
      </c>
      <c r="DD127" s="4"/>
      <c r="DE127" s="4"/>
      <c r="DF127" s="4"/>
      <c r="DG127" s="4"/>
      <c r="DH127" s="4"/>
      <c r="DI127" s="4"/>
      <c r="DJ127" s="4"/>
      <c r="DK127" s="4"/>
      <c r="DL127" s="4"/>
      <c r="DM127" s="4"/>
    </row>
    <row r="128" spans="1:117" ht="12.95" customHeight="1">
      <c r="A128" s="350"/>
      <c r="AL128" s="350"/>
      <c r="AM128" s="350"/>
      <c r="AN128" s="350"/>
      <c r="AO128" s="350"/>
      <c r="AP128" s="350"/>
      <c r="AQ128" s="350"/>
      <c r="AR128" s="350"/>
      <c r="AS128" s="350"/>
      <c r="AT128" s="350"/>
      <c r="AU128" s="350"/>
      <c r="AV128" s="350"/>
      <c r="AW128" s="350"/>
      <c r="AX128" s="350"/>
      <c r="AY128" s="350"/>
    </row>
    <row r="129" spans="1:51" ht="12.95"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2.95"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2.95" customHeight="1">
      <c r="A131" s="3"/>
      <c r="AL131" s="3"/>
      <c r="AM131" s="3"/>
      <c r="AN131" s="3"/>
      <c r="AO131" s="3"/>
      <c r="AP131" s="3"/>
      <c r="AQ131" s="3"/>
      <c r="AR131" s="3"/>
      <c r="AS131" s="3"/>
      <c r="AT131" s="3"/>
      <c r="AU131" s="3"/>
      <c r="AV131" s="3"/>
      <c r="AW131" s="3"/>
      <c r="AX131" s="3"/>
      <c r="AY131" s="3"/>
    </row>
    <row r="132" spans="1:51" ht="12.95"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2.95" customHeight="1">
      <c r="A133" s="3"/>
      <c r="W133" s="3"/>
      <c r="AL133" s="3"/>
      <c r="AM133" s="3"/>
      <c r="AN133" s="3"/>
      <c r="AO133" s="3"/>
      <c r="AP133" s="3"/>
      <c r="AQ133" s="3"/>
      <c r="AR133" s="3"/>
      <c r="AS133" s="3"/>
      <c r="AT133" s="3"/>
      <c r="AU133" s="3"/>
      <c r="AV133" s="3"/>
      <c r="AW133" s="3"/>
      <c r="AX133" s="3"/>
      <c r="AY133" s="3"/>
    </row>
    <row r="134" spans="1:51" ht="12.9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5" customHeight="1">
      <c r="A135" s="3"/>
      <c r="M135" s="3"/>
      <c r="N135" s="3"/>
      <c r="O135" s="3"/>
      <c r="AK135" s="3"/>
      <c r="AL135" s="3"/>
      <c r="AM135" s="3"/>
      <c r="AN135" s="3"/>
      <c r="AO135" s="3"/>
      <c r="AP135" s="3"/>
      <c r="AQ135" s="3"/>
      <c r="AR135" s="3"/>
      <c r="AS135" s="3"/>
      <c r="AT135" s="3"/>
      <c r="AU135" s="3"/>
      <c r="AV135" s="3"/>
      <c r="AW135" s="3"/>
      <c r="AX135" s="3"/>
      <c r="AY135" s="3"/>
    </row>
    <row r="136" spans="1:51" ht="12.9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5"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2.95"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2.95"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2.95"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2.95"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2.95"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2.95"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2.95"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2.95"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306</v>
      </c>
    </row>
    <row r="149" spans="1:108" ht="12.9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873</v>
      </c>
    </row>
    <row r="150" spans="1:108" ht="12.95" customHeight="1">
      <c r="A150" s="3"/>
      <c r="B150" s="3"/>
      <c r="D150" s="3"/>
      <c r="E150" s="3"/>
      <c r="F150" s="1299"/>
      <c r="G150" s="1299"/>
      <c r="H150" s="1299"/>
      <c r="I150" s="1299"/>
      <c r="J150" s="1299"/>
      <c r="K150" s="1299"/>
      <c r="L150" s="1299"/>
      <c r="M150" s="1299"/>
      <c r="N150" s="1299"/>
      <c r="O150" s="1299"/>
      <c r="P150" s="1299"/>
      <c r="Q150" s="1299"/>
      <c r="R150" s="1299"/>
      <c r="S150" s="1299"/>
      <c r="T150" s="1299"/>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2.9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2388</v>
      </c>
    </row>
    <row r="152" spans="1:108" ht="12.95" customHeight="1">
      <c r="BM152">
        <v>4</v>
      </c>
      <c r="BN152" s="3" t="s">
        <v>2387</v>
      </c>
    </row>
    <row r="153" spans="1:108" ht="12.95" customHeight="1">
      <c r="D153" t="s">
        <v>643</v>
      </c>
      <c r="O153" s="1396" t="s">
        <v>2690</v>
      </c>
      <c r="P153" s="1437"/>
      <c r="Q153" s="1437"/>
      <c r="R153" s="1437"/>
      <c r="S153" s="1437"/>
      <c r="T153" s="1437"/>
      <c r="U153" s="1437"/>
      <c r="V153" s="1437"/>
      <c r="W153" s="1437"/>
      <c r="X153" s="1437"/>
      <c r="Y153" s="1437"/>
      <c r="Z153" s="1437"/>
      <c r="AA153" s="1437"/>
      <c r="AB153" s="1437"/>
      <c r="AC153" s="1437"/>
      <c r="AD153" s="1437"/>
      <c r="AE153" s="1437"/>
      <c r="AF153" s="1437"/>
      <c r="AG153" s="1437"/>
      <c r="AH153" s="1437"/>
      <c r="BM153">
        <v>5</v>
      </c>
      <c r="BN153" s="3" t="s">
        <v>2389</v>
      </c>
      <c r="CR153" s="31" t="s">
        <v>2627</v>
      </c>
      <c r="CS153" s="32"/>
      <c r="CT153" s="32"/>
      <c r="CU153" s="32"/>
      <c r="CV153" s="32"/>
      <c r="CW153" s="32"/>
      <c r="CX153" s="14"/>
      <c r="CY153" s="31" t="s">
        <v>2628</v>
      </c>
      <c r="CZ153" s="14"/>
      <c r="DA153" s="14"/>
      <c r="DB153" s="14"/>
      <c r="DC153" s="14"/>
      <c r="DD153" s="14"/>
    </row>
    <row r="154" spans="1:108" ht="12.95" customHeight="1">
      <c r="D154" s="303" t="s">
        <v>438</v>
      </c>
      <c r="O154" s="1426" t="s">
        <v>2716</v>
      </c>
      <c r="P154" s="1426"/>
      <c r="Q154" s="1426"/>
      <c r="R154" s="1426"/>
      <c r="S154" s="1426"/>
      <c r="T154" s="1426"/>
      <c r="U154" s="1426"/>
      <c r="V154" s="1426"/>
      <c r="W154" s="1426"/>
      <c r="X154" s="1426"/>
      <c r="Y154" s="1426"/>
      <c r="Z154" s="1426"/>
      <c r="AA154" s="1426"/>
      <c r="AB154" s="1426"/>
      <c r="AC154" s="1426"/>
      <c r="AD154" s="1426"/>
      <c r="AE154" s="1426"/>
      <c r="AF154" s="1426"/>
      <c r="AG154" s="1426"/>
      <c r="AH154" s="1426"/>
      <c r="BM154">
        <v>6</v>
      </c>
      <c r="BN154" s="3" t="s">
        <v>2390</v>
      </c>
      <c r="CR154" s="31"/>
      <c r="CS154" s="32"/>
      <c r="CT154" s="32"/>
      <c r="CU154" s="32"/>
      <c r="CV154" s="32"/>
      <c r="CW154" s="32"/>
      <c r="CX154" s="14"/>
      <c r="CY154" s="31"/>
      <c r="CZ154" s="14"/>
      <c r="DA154" s="14"/>
      <c r="DB154" s="14"/>
      <c r="DC154" s="14"/>
      <c r="DD154" s="14"/>
    </row>
    <row r="155" spans="1:108" ht="12.95" customHeight="1">
      <c r="D155" s="8" t="s">
        <v>439</v>
      </c>
      <c r="F155" s="8"/>
      <c r="G155" s="8"/>
      <c r="H155" s="8"/>
      <c r="I155" s="8"/>
      <c r="J155" s="8"/>
      <c r="K155" s="8"/>
      <c r="L155" s="8"/>
      <c r="M155" s="8"/>
      <c r="N155" s="8"/>
      <c r="O155" s="1773" t="s">
        <v>2846</v>
      </c>
      <c r="P155" s="1774"/>
      <c r="Q155" s="1774"/>
      <c r="R155" s="1774"/>
      <c r="S155" s="1774"/>
      <c r="T155" s="1774"/>
      <c r="U155" s="1774"/>
      <c r="V155" s="1774"/>
      <c r="W155" s="1774"/>
      <c r="X155" s="1774"/>
      <c r="Y155" s="1774"/>
      <c r="Z155" s="1774"/>
      <c r="AA155" s="1774"/>
      <c r="AB155" s="1774"/>
      <c r="AC155" s="1774"/>
      <c r="AD155" s="1774"/>
      <c r="AE155" s="1774"/>
      <c r="AF155" s="1774"/>
      <c r="AG155" s="1774"/>
      <c r="AH155" s="1774"/>
      <c r="BM155">
        <v>7</v>
      </c>
      <c r="BN155" s="3" t="s">
        <v>589</v>
      </c>
      <c r="CR155" s="31"/>
      <c r="CS155" s="32"/>
      <c r="CT155" s="32"/>
      <c r="CU155" s="32"/>
      <c r="CV155" s="32"/>
      <c r="CW155" s="32"/>
      <c r="CX155" s="14"/>
      <c r="CY155" s="31"/>
      <c r="CZ155" s="14"/>
      <c r="DA155" s="14"/>
      <c r="DB155" s="14"/>
      <c r="DC155" s="14"/>
      <c r="DD155" s="14"/>
    </row>
    <row r="156" spans="1:108" ht="12.95" customHeight="1">
      <c r="D156" t="s">
        <v>312</v>
      </c>
      <c r="O156" s="1397" t="s">
        <v>2717</v>
      </c>
      <c r="P156" s="1397"/>
      <c r="Q156" s="1397"/>
      <c r="R156" s="1397"/>
      <c r="S156" s="1397"/>
      <c r="T156" s="1397"/>
      <c r="U156" s="1397"/>
      <c r="V156" s="1397"/>
      <c r="W156" s="1397"/>
      <c r="X156" s="1397"/>
      <c r="Y156" s="1397"/>
      <c r="Z156" s="1397"/>
      <c r="AA156" s="1397"/>
      <c r="AB156" s="1397"/>
      <c r="AC156" s="1397"/>
      <c r="AD156" s="1397"/>
      <c r="AE156" s="1397"/>
      <c r="AF156" s="1397"/>
      <c r="AG156" s="1397"/>
      <c r="AH156" s="1397"/>
      <c r="BT156" t="s">
        <v>306</v>
      </c>
      <c r="CB156" s="195" t="s">
        <v>2634</v>
      </c>
      <c r="CC156" s="196"/>
      <c r="CD156" s="196"/>
      <c r="CE156" s="196"/>
      <c r="CF156" s="196"/>
      <c r="CG156" s="196"/>
      <c r="CH156" s="196"/>
      <c r="CI156" s="3"/>
      <c r="CJ156" s="195" t="s">
        <v>2635</v>
      </c>
      <c r="CK156" s="3"/>
      <c r="CL156" s="3"/>
      <c r="CM156" s="3"/>
      <c r="CN156" s="3"/>
      <c r="CR156" s="31"/>
      <c r="CS156" s="32"/>
      <c r="CT156" s="32"/>
      <c r="CU156" s="32"/>
      <c r="CV156" s="32"/>
      <c r="CW156" s="32"/>
      <c r="CX156" s="14"/>
      <c r="CY156" s="31"/>
      <c r="CZ156" s="14"/>
      <c r="DA156" s="14"/>
      <c r="DB156" s="14"/>
      <c r="DC156" s="14"/>
      <c r="DD156" s="14"/>
    </row>
    <row r="157" spans="1:108" ht="12.95" customHeight="1">
      <c r="D157" t="s">
        <v>313</v>
      </c>
      <c r="O157" s="1437" t="s">
        <v>2663</v>
      </c>
      <c r="P157" s="1437"/>
      <c r="Q157" s="1437"/>
      <c r="R157" s="1437"/>
      <c r="S157" s="1437"/>
      <c r="T157" s="1437"/>
      <c r="U157" s="1437"/>
      <c r="V157" s="1437"/>
      <c r="W157" s="1437"/>
      <c r="X157" s="1437"/>
      <c r="Y157" s="8"/>
      <c r="Z157" s="8"/>
      <c r="AA157" s="8"/>
      <c r="AB157" s="8"/>
      <c r="AC157" s="8"/>
      <c r="AD157" s="8"/>
      <c r="AE157" s="8"/>
      <c r="AF157" s="8"/>
      <c r="BN157" s="23" t="s">
        <v>634</v>
      </c>
      <c r="BS157">
        <v>2</v>
      </c>
      <c r="BT157" t="s">
        <v>474</v>
      </c>
      <c r="CB157" s="286" t="s">
        <v>645</v>
      </c>
      <c r="CC157" s="196"/>
      <c r="CD157" s="196"/>
      <c r="CE157" s="196"/>
      <c r="CF157" s="196"/>
      <c r="CG157" s="196"/>
      <c r="CH157" s="196"/>
      <c r="CI157" s="3"/>
      <c r="CJ157" s="286" t="s">
        <v>1898</v>
      </c>
      <c r="CK157" s="3"/>
      <c r="CL157" s="3"/>
      <c r="CM157" s="3"/>
      <c r="CN157" s="3"/>
      <c r="CR157" s="14"/>
      <c r="CS157" s="32"/>
      <c r="CT157" s="32"/>
      <c r="CU157" s="32"/>
      <c r="CV157" s="32"/>
      <c r="CW157" s="32"/>
      <c r="CX157" s="14"/>
      <c r="CY157" s="14"/>
      <c r="CZ157" s="14"/>
      <c r="DA157" s="14"/>
      <c r="DB157" s="14"/>
      <c r="DC157" s="14"/>
      <c r="DD157" s="14"/>
    </row>
    <row r="158" spans="1:108" ht="12.95" customHeight="1">
      <c r="D158" t="s">
        <v>314</v>
      </c>
      <c r="O158" s="1761">
        <v>90802</v>
      </c>
      <c r="P158" s="1761"/>
      <c r="Q158" s="1761"/>
      <c r="R158" s="1761"/>
      <c r="S158" s="9"/>
      <c r="T158" s="9"/>
      <c r="U158" s="9"/>
      <c r="V158" s="9"/>
      <c r="W158" s="9"/>
      <c r="X158" s="9"/>
      <c r="Y158" s="9"/>
      <c r="Z158" s="9"/>
      <c r="AA158" s="9"/>
      <c r="AB158" s="9"/>
      <c r="AC158" s="9"/>
      <c r="AD158" s="9"/>
      <c r="AE158" s="9"/>
      <c r="AF158" s="9"/>
      <c r="BN158" s="23" t="s">
        <v>635</v>
      </c>
      <c r="BS158">
        <v>7</v>
      </c>
      <c r="BT158" t="s">
        <v>475</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2.95" customHeight="1" thickBot="1">
      <c r="D159" t="s">
        <v>315</v>
      </c>
      <c r="O159" s="1750" t="s">
        <v>2718</v>
      </c>
      <c r="P159" s="1750"/>
      <c r="Q159" s="1750"/>
      <c r="R159" s="1750"/>
      <c r="S159" s="1750"/>
      <c r="T159" s="1750"/>
      <c r="V159" s="97" t="s">
        <v>270</v>
      </c>
      <c r="W159" s="1762"/>
      <c r="X159" s="1762"/>
      <c r="Y159" s="10"/>
      <c r="Z159" s="10"/>
      <c r="AA159" s="10"/>
      <c r="AB159" s="10"/>
      <c r="AC159" s="10"/>
      <c r="AD159" s="10"/>
      <c r="AE159" s="10"/>
      <c r="AF159" s="10"/>
      <c r="BN159" s="23" t="s">
        <v>338</v>
      </c>
      <c r="BS159">
        <v>7</v>
      </c>
      <c r="BT159" t="s">
        <v>476</v>
      </c>
      <c r="CB159" s="343" t="s">
        <v>646</v>
      </c>
      <c r="CC159" s="344" t="s">
        <v>323</v>
      </c>
      <c r="CD159" s="344" t="s">
        <v>324</v>
      </c>
      <c r="CE159" s="344" t="s">
        <v>163</v>
      </c>
      <c r="CF159" s="344" t="s">
        <v>164</v>
      </c>
      <c r="CG159" s="344" t="s">
        <v>165</v>
      </c>
      <c r="CH159" s="344" t="s">
        <v>30</v>
      </c>
      <c r="CI159" s="3"/>
      <c r="CJ159" s="344" t="s">
        <v>323</v>
      </c>
      <c r="CK159" s="344" t="s">
        <v>324</v>
      </c>
      <c r="CL159" s="344" t="s">
        <v>163</v>
      </c>
      <c r="CM159" s="344" t="s">
        <v>164</v>
      </c>
      <c r="CN159" s="344" t="s">
        <v>165</v>
      </c>
      <c r="CR159" s="14"/>
      <c r="CS159" s="71" t="s">
        <v>631</v>
      </c>
      <c r="CT159" s="72" t="s">
        <v>324</v>
      </c>
      <c r="CU159" s="72" t="s">
        <v>163</v>
      </c>
      <c r="CV159" s="72" t="s">
        <v>164</v>
      </c>
      <c r="CW159" s="72" t="s">
        <v>458</v>
      </c>
      <c r="CX159" s="14"/>
      <c r="CY159" s="14"/>
      <c r="CZ159" s="71" t="s">
        <v>631</v>
      </c>
      <c r="DA159" s="72" t="s">
        <v>324</v>
      </c>
      <c r="DB159" s="72" t="s">
        <v>163</v>
      </c>
      <c r="DC159" s="72" t="s">
        <v>164</v>
      </c>
      <c r="DD159" s="72" t="s">
        <v>458</v>
      </c>
    </row>
    <row r="160" spans="1:108" ht="12.95" customHeight="1">
      <c r="D160" t="s">
        <v>316</v>
      </c>
      <c r="O160" s="1750" t="s">
        <v>589</v>
      </c>
      <c r="P160" s="1750"/>
      <c r="Q160" s="1750"/>
      <c r="R160" s="1750"/>
      <c r="S160" s="1750"/>
      <c r="T160" s="1750"/>
      <c r="U160" s="10"/>
      <c r="V160" s="10"/>
      <c r="W160" s="10"/>
      <c r="X160" s="10"/>
      <c r="Y160" s="10"/>
      <c r="Z160" s="10"/>
      <c r="AA160" s="10"/>
      <c r="AB160" s="10"/>
      <c r="AC160" s="10"/>
      <c r="AD160" s="10"/>
      <c r="AE160" s="10"/>
      <c r="AF160" s="10"/>
      <c r="BN160" s="23" t="s">
        <v>658</v>
      </c>
      <c r="BS160">
        <v>6</v>
      </c>
      <c r="BT160" t="s">
        <v>477</v>
      </c>
      <c r="CB160" s="345" t="s">
        <v>474</v>
      </c>
      <c r="CC160" s="453">
        <v>2970</v>
      </c>
      <c r="CD160" s="454">
        <v>3182</v>
      </c>
      <c r="CE160" s="455">
        <v>3820</v>
      </c>
      <c r="CF160" s="454">
        <v>4412</v>
      </c>
      <c r="CG160" s="455">
        <v>4922</v>
      </c>
      <c r="CH160" s="456">
        <v>5432</v>
      </c>
      <c r="CI160" s="3" t="s">
        <v>474</v>
      </c>
      <c r="CJ160" s="852">
        <v>2142</v>
      </c>
      <c r="CK160" s="852">
        <v>2385</v>
      </c>
      <c r="CL160" s="852">
        <v>2912</v>
      </c>
      <c r="CM160" s="852">
        <v>3724</v>
      </c>
      <c r="CN160" s="852">
        <v>4413</v>
      </c>
      <c r="CR160" s="23" t="s">
        <v>634</v>
      </c>
      <c r="CS160" s="320">
        <v>491221</v>
      </c>
      <c r="CT160" s="320">
        <v>566373</v>
      </c>
      <c r="CU160" s="320">
        <v>683200</v>
      </c>
      <c r="CV160" s="320">
        <v>874496</v>
      </c>
      <c r="CW160" s="320">
        <v>974243</v>
      </c>
      <c r="CX160" s="14"/>
      <c r="CY160" s="23" t="s">
        <v>634</v>
      </c>
      <c r="CZ160" s="320">
        <v>491221</v>
      </c>
      <c r="DA160" s="320">
        <v>566373</v>
      </c>
      <c r="DB160" s="320">
        <v>683200</v>
      </c>
      <c r="DC160" s="320">
        <v>874496</v>
      </c>
      <c r="DD160" s="320">
        <v>974243</v>
      </c>
    </row>
    <row r="161" spans="1:108" ht="12.95" customHeight="1">
      <c r="D161" t="s">
        <v>317</v>
      </c>
      <c r="O161" s="1747" t="s">
        <v>2719</v>
      </c>
      <c r="P161" s="1747"/>
      <c r="Q161" s="1747"/>
      <c r="R161" s="1747"/>
      <c r="S161" s="1747"/>
      <c r="T161" s="1747"/>
      <c r="U161" s="1747"/>
      <c r="V161" s="1747"/>
      <c r="W161" s="1747"/>
      <c r="X161" s="1747"/>
      <c r="Y161" s="1747"/>
      <c r="Z161" s="1747"/>
      <c r="AA161" s="1747"/>
      <c r="AB161" s="1747"/>
      <c r="AC161" s="1747"/>
      <c r="AD161" s="1747"/>
      <c r="AE161" s="1747"/>
      <c r="AF161" s="1747"/>
      <c r="AG161" s="1747"/>
      <c r="AH161" s="1747"/>
      <c r="BJ161" t="s">
        <v>667</v>
      </c>
      <c r="BN161" s="23" t="s">
        <v>659</v>
      </c>
      <c r="BS161">
        <v>7</v>
      </c>
      <c r="BT161" t="s">
        <v>478</v>
      </c>
      <c r="CB161" s="346" t="s">
        <v>475</v>
      </c>
      <c r="CC161" s="457">
        <v>2184</v>
      </c>
      <c r="CD161" s="458">
        <v>2340</v>
      </c>
      <c r="CE161" s="457">
        <v>2810</v>
      </c>
      <c r="CF161" s="458">
        <v>3244</v>
      </c>
      <c r="CG161" s="458">
        <v>3620</v>
      </c>
      <c r="CH161" s="459">
        <v>3994</v>
      </c>
      <c r="CI161" s="3" t="s">
        <v>475</v>
      </c>
      <c r="CJ161" s="852">
        <v>1068</v>
      </c>
      <c r="CK161" s="852">
        <v>1165</v>
      </c>
      <c r="CL161" s="852">
        <v>1529</v>
      </c>
      <c r="CM161" s="852">
        <v>2126</v>
      </c>
      <c r="CN161" s="852">
        <v>2527</v>
      </c>
      <c r="CR161" s="23" t="s">
        <v>635</v>
      </c>
      <c r="CS161" s="318">
        <v>402640</v>
      </c>
      <c r="CT161" s="318">
        <v>464240</v>
      </c>
      <c r="CU161" s="318">
        <v>560000</v>
      </c>
      <c r="CV161" s="318">
        <v>716800</v>
      </c>
      <c r="CW161" s="318">
        <v>798560</v>
      </c>
      <c r="CX161" s="14"/>
      <c r="CY161" s="23" t="s">
        <v>635</v>
      </c>
      <c r="CZ161" s="318">
        <v>402640</v>
      </c>
      <c r="DA161" s="318">
        <v>464240</v>
      </c>
      <c r="DB161" s="318">
        <v>560000</v>
      </c>
      <c r="DC161" s="318">
        <v>716800</v>
      </c>
      <c r="DD161" s="318">
        <v>798560</v>
      </c>
    </row>
    <row r="162" spans="1:108" ht="12.95"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543</v>
      </c>
      <c r="BN162" s="23" t="s">
        <v>660</v>
      </c>
      <c r="BS162">
        <v>7</v>
      </c>
      <c r="BT162" t="s">
        <v>479</v>
      </c>
      <c r="CB162" s="346" t="s">
        <v>476</v>
      </c>
      <c r="CC162" s="460">
        <v>1934</v>
      </c>
      <c r="CD162" s="461">
        <v>2072</v>
      </c>
      <c r="CE162" s="460">
        <v>2486</v>
      </c>
      <c r="CF162" s="461">
        <v>2872</v>
      </c>
      <c r="CG162" s="461">
        <v>3204</v>
      </c>
      <c r="CH162" s="462">
        <v>3536</v>
      </c>
      <c r="CI162" s="3" t="s">
        <v>476</v>
      </c>
      <c r="CJ162" s="852">
        <v>1387</v>
      </c>
      <c r="CK162" s="852">
        <v>1396</v>
      </c>
      <c r="CL162" s="852">
        <v>1698</v>
      </c>
      <c r="CM162" s="852">
        <v>2220</v>
      </c>
      <c r="CN162" s="852">
        <v>2714</v>
      </c>
      <c r="CR162" s="23" t="s">
        <v>338</v>
      </c>
      <c r="CS162" s="320">
        <v>402640</v>
      </c>
      <c r="CT162" s="320">
        <v>464240</v>
      </c>
      <c r="CU162" s="320">
        <v>560000</v>
      </c>
      <c r="CV162" s="320">
        <v>716800</v>
      </c>
      <c r="CW162" s="320">
        <v>798560</v>
      </c>
      <c r="CX162" s="14"/>
      <c r="CY162" s="23" t="s">
        <v>338</v>
      </c>
      <c r="CZ162" s="320">
        <v>402640</v>
      </c>
      <c r="DA162" s="320">
        <v>464240</v>
      </c>
      <c r="DB162" s="320">
        <v>560000</v>
      </c>
      <c r="DC162" s="320">
        <v>716800</v>
      </c>
      <c r="DD162" s="320">
        <v>798560</v>
      </c>
    </row>
    <row r="163" spans="1:108" ht="12.95" customHeight="1">
      <c r="C163" s="27" t="s">
        <v>82</v>
      </c>
      <c r="D163" s="3" t="s">
        <v>2044</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661</v>
      </c>
      <c r="BS163">
        <v>2</v>
      </c>
      <c r="BT163" t="s">
        <v>480</v>
      </c>
      <c r="CB163" s="346" t="s">
        <v>477</v>
      </c>
      <c r="CC163" s="460">
        <v>1700</v>
      </c>
      <c r="CD163" s="461">
        <v>1820</v>
      </c>
      <c r="CE163" s="460">
        <v>2184</v>
      </c>
      <c r="CF163" s="461">
        <v>2524</v>
      </c>
      <c r="CG163" s="461">
        <v>2816</v>
      </c>
      <c r="CH163" s="462">
        <v>3108</v>
      </c>
      <c r="CI163" s="3" t="s">
        <v>477</v>
      </c>
      <c r="CJ163" s="852">
        <v>1155</v>
      </c>
      <c r="CK163" s="852">
        <v>1270</v>
      </c>
      <c r="CL163" s="852">
        <v>1625</v>
      </c>
      <c r="CM163" s="852">
        <v>2260</v>
      </c>
      <c r="CN163" s="852">
        <v>2726</v>
      </c>
      <c r="CR163" s="23" t="s">
        <v>658</v>
      </c>
      <c r="CS163" s="318">
        <v>369278</v>
      </c>
      <c r="CT163" s="318">
        <v>425774</v>
      </c>
      <c r="CU163" s="318">
        <v>513600</v>
      </c>
      <c r="CV163" s="318">
        <v>657408</v>
      </c>
      <c r="CW163" s="318">
        <v>732394</v>
      </c>
      <c r="CX163" s="14"/>
      <c r="CY163" s="23" t="s">
        <v>658</v>
      </c>
      <c r="CZ163" s="318">
        <v>369278</v>
      </c>
      <c r="DA163" s="318">
        <v>425774</v>
      </c>
      <c r="DB163" s="318">
        <v>513600</v>
      </c>
      <c r="DC163" s="318">
        <v>657408</v>
      </c>
      <c r="DD163" s="318">
        <v>732394</v>
      </c>
    </row>
    <row r="164" spans="1:108" ht="12.95" customHeight="1">
      <c r="C164" s="27"/>
      <c r="D164" s="1770" t="s">
        <v>2163</v>
      </c>
      <c r="E164" s="1770"/>
      <c r="F164" s="1770"/>
      <c r="G164" s="1770"/>
      <c r="H164" s="1770"/>
      <c r="I164" s="1770"/>
      <c r="J164" s="1770"/>
      <c r="K164" s="1770"/>
      <c r="L164" s="1770"/>
      <c r="M164" s="1770"/>
      <c r="N164" s="1770"/>
      <c r="O164" s="1770"/>
      <c r="P164" s="1770"/>
      <c r="Q164" s="1770"/>
      <c r="R164" s="1770"/>
      <c r="S164" s="1770"/>
      <c r="T164" s="1770"/>
      <c r="U164" s="1770"/>
      <c r="V164" s="1770"/>
      <c r="W164" s="1770"/>
      <c r="X164" s="1770"/>
      <c r="Y164" s="1770"/>
      <c r="Z164" s="1770"/>
      <c r="AA164" s="1770"/>
      <c r="AB164" s="1770"/>
      <c r="AC164" s="1770"/>
      <c r="AD164" s="1770"/>
      <c r="AE164" s="1770"/>
      <c r="AF164" s="1770"/>
      <c r="AG164" s="1770"/>
      <c r="AH164" s="1770"/>
      <c r="BN164" s="23" t="s">
        <v>662</v>
      </c>
      <c r="BS164">
        <v>7</v>
      </c>
      <c r="BT164" t="s">
        <v>481</v>
      </c>
      <c r="CB164" s="346" t="s">
        <v>478</v>
      </c>
      <c r="CC164" s="460">
        <v>1796</v>
      </c>
      <c r="CD164" s="461">
        <v>1924</v>
      </c>
      <c r="CE164" s="460">
        <v>2310</v>
      </c>
      <c r="CF164" s="461">
        <v>2668</v>
      </c>
      <c r="CG164" s="461">
        <v>2976</v>
      </c>
      <c r="CH164" s="462">
        <v>3284</v>
      </c>
      <c r="CI164" s="3" t="s">
        <v>478</v>
      </c>
      <c r="CJ164" s="852">
        <v>1078</v>
      </c>
      <c r="CK164" s="852">
        <v>1175</v>
      </c>
      <c r="CL164" s="852">
        <v>1542</v>
      </c>
      <c r="CM164" s="852">
        <v>2145</v>
      </c>
      <c r="CN164" s="852">
        <v>2316</v>
      </c>
      <c r="CR164" s="23" t="s">
        <v>659</v>
      </c>
      <c r="CS164" s="320">
        <v>402640</v>
      </c>
      <c r="CT164" s="320">
        <v>464240</v>
      </c>
      <c r="CU164" s="320">
        <v>560000</v>
      </c>
      <c r="CV164" s="320">
        <v>716800</v>
      </c>
      <c r="CW164" s="320">
        <v>798560</v>
      </c>
      <c r="CX164" s="14"/>
      <c r="CY164" s="23" t="s">
        <v>659</v>
      </c>
      <c r="CZ164" s="320">
        <v>402640</v>
      </c>
      <c r="DA164" s="320">
        <v>464240</v>
      </c>
      <c r="DB164" s="320">
        <v>560000</v>
      </c>
      <c r="DC164" s="320">
        <v>716800</v>
      </c>
      <c r="DD164" s="320">
        <v>798560</v>
      </c>
    </row>
    <row r="165" spans="1:108" ht="12.95"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663</v>
      </c>
      <c r="BS165">
        <v>6</v>
      </c>
      <c r="BT165" t="s">
        <v>482</v>
      </c>
      <c r="CB165" s="346" t="s">
        <v>479</v>
      </c>
      <c r="CC165" s="460">
        <v>1700</v>
      </c>
      <c r="CD165" s="461">
        <v>1820</v>
      </c>
      <c r="CE165" s="460">
        <v>2184</v>
      </c>
      <c r="CF165" s="461">
        <v>2524</v>
      </c>
      <c r="CG165" s="461">
        <v>2816</v>
      </c>
      <c r="CH165" s="462">
        <v>3108</v>
      </c>
      <c r="CI165" s="3" t="s">
        <v>479</v>
      </c>
      <c r="CJ165" s="852">
        <v>989</v>
      </c>
      <c r="CK165" s="852">
        <v>995</v>
      </c>
      <c r="CL165" s="852">
        <v>1306</v>
      </c>
      <c r="CM165" s="852">
        <v>1723</v>
      </c>
      <c r="CN165" s="852">
        <v>1729</v>
      </c>
      <c r="CR165" s="23" t="s">
        <v>660</v>
      </c>
      <c r="CS165" s="318">
        <v>402640</v>
      </c>
      <c r="CT165" s="318">
        <v>464240</v>
      </c>
      <c r="CU165" s="318">
        <v>560000</v>
      </c>
      <c r="CV165" s="318">
        <v>716800</v>
      </c>
      <c r="CW165" s="318">
        <v>798560</v>
      </c>
      <c r="CX165" s="14"/>
      <c r="CY165" s="23" t="s">
        <v>660</v>
      </c>
      <c r="CZ165" s="318">
        <v>402640</v>
      </c>
      <c r="DA165" s="318">
        <v>464240</v>
      </c>
      <c r="DB165" s="318">
        <v>560000</v>
      </c>
      <c r="DC165" s="318">
        <v>716800</v>
      </c>
      <c r="DD165" s="318">
        <v>798560</v>
      </c>
    </row>
    <row r="166" spans="1:108" ht="12.95"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665</v>
      </c>
      <c r="BS166">
        <v>5</v>
      </c>
      <c r="BT166" t="s">
        <v>483</v>
      </c>
      <c r="CB166" s="346" t="s">
        <v>480</v>
      </c>
      <c r="CC166" s="460">
        <v>2970</v>
      </c>
      <c r="CD166" s="461">
        <v>3182</v>
      </c>
      <c r="CE166" s="460">
        <v>3820</v>
      </c>
      <c r="CF166" s="461">
        <v>4412</v>
      </c>
      <c r="CG166" s="461">
        <v>4922</v>
      </c>
      <c r="CH166" s="462">
        <v>5432</v>
      </c>
      <c r="CI166" s="3" t="s">
        <v>480</v>
      </c>
      <c r="CJ166" s="852">
        <v>2142</v>
      </c>
      <c r="CK166" s="852">
        <v>2385</v>
      </c>
      <c r="CL166" s="852">
        <v>2912</v>
      </c>
      <c r="CM166" s="852">
        <v>3724</v>
      </c>
      <c r="CN166" s="852">
        <v>4413</v>
      </c>
      <c r="CR166" s="23" t="s">
        <v>661</v>
      </c>
      <c r="CS166" s="320">
        <v>491221</v>
      </c>
      <c r="CT166" s="320">
        <v>566373</v>
      </c>
      <c r="CU166" s="320">
        <v>683200</v>
      </c>
      <c r="CV166" s="320">
        <v>874496</v>
      </c>
      <c r="CW166" s="320">
        <v>974243</v>
      </c>
      <c r="CX166" s="14"/>
      <c r="CY166" s="23" t="s">
        <v>661</v>
      </c>
      <c r="CZ166" s="320">
        <v>491221</v>
      </c>
      <c r="DA166" s="320">
        <v>566373</v>
      </c>
      <c r="DB166" s="320">
        <v>683200</v>
      </c>
      <c r="DC166" s="320">
        <v>874496</v>
      </c>
      <c r="DD166" s="320">
        <v>974243</v>
      </c>
    </row>
    <row r="167" spans="1:108" ht="12.95"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668</v>
      </c>
      <c r="BS167">
        <v>7</v>
      </c>
      <c r="BT167" t="s">
        <v>484</v>
      </c>
      <c r="CB167" s="346" t="s">
        <v>481</v>
      </c>
      <c r="CC167" s="460">
        <v>1700</v>
      </c>
      <c r="CD167" s="461">
        <v>1820</v>
      </c>
      <c r="CE167" s="460">
        <v>2184</v>
      </c>
      <c r="CF167" s="461">
        <v>2524</v>
      </c>
      <c r="CG167" s="461">
        <v>2816</v>
      </c>
      <c r="CH167" s="462">
        <v>3108</v>
      </c>
      <c r="CI167" s="3" t="s">
        <v>481</v>
      </c>
      <c r="CJ167" s="852">
        <v>957</v>
      </c>
      <c r="CK167" s="852">
        <v>1222</v>
      </c>
      <c r="CL167" s="852">
        <v>1370</v>
      </c>
      <c r="CM167" s="852">
        <v>1905</v>
      </c>
      <c r="CN167" s="852">
        <v>2277</v>
      </c>
      <c r="CR167" s="23" t="s">
        <v>662</v>
      </c>
      <c r="CS167" s="318">
        <v>402640</v>
      </c>
      <c r="CT167" s="318">
        <v>464240</v>
      </c>
      <c r="CU167" s="318">
        <v>560000</v>
      </c>
      <c r="CV167" s="318">
        <v>716800</v>
      </c>
      <c r="CW167" s="318">
        <v>798560</v>
      </c>
      <c r="CX167" s="14"/>
      <c r="CY167" s="23" t="s">
        <v>662</v>
      </c>
      <c r="CZ167" s="318">
        <v>402640</v>
      </c>
      <c r="DA167" s="318">
        <v>464240</v>
      </c>
      <c r="DB167" s="318">
        <v>560000</v>
      </c>
      <c r="DC167" s="318">
        <v>716800</v>
      </c>
      <c r="DD167" s="318">
        <v>798560</v>
      </c>
    </row>
    <row r="168" spans="1:108" ht="12.95"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669</v>
      </c>
      <c r="BS168">
        <v>7</v>
      </c>
      <c r="BT168" t="s">
        <v>485</v>
      </c>
      <c r="CB168" s="346" t="s">
        <v>482</v>
      </c>
      <c r="CC168" s="460">
        <v>2300</v>
      </c>
      <c r="CD168" s="461">
        <v>2464</v>
      </c>
      <c r="CE168" s="460">
        <v>2956</v>
      </c>
      <c r="CF168" s="461">
        <v>3416</v>
      </c>
      <c r="CG168" s="461">
        <v>3812</v>
      </c>
      <c r="CH168" s="462">
        <v>4206</v>
      </c>
      <c r="CI168" s="3" t="s">
        <v>482</v>
      </c>
      <c r="CJ168" s="852">
        <v>1748</v>
      </c>
      <c r="CK168" s="852">
        <v>1832</v>
      </c>
      <c r="CL168" s="852">
        <v>2255</v>
      </c>
      <c r="CM168" s="852">
        <v>3002</v>
      </c>
      <c r="CN168" s="852">
        <v>3460</v>
      </c>
      <c r="CR168" s="23" t="s">
        <v>663</v>
      </c>
      <c r="CS168" s="320">
        <v>360075</v>
      </c>
      <c r="CT168" s="320">
        <v>415163</v>
      </c>
      <c r="CU168" s="320">
        <v>500800</v>
      </c>
      <c r="CV168" s="320">
        <v>641024</v>
      </c>
      <c r="CW168" s="320">
        <v>714141</v>
      </c>
      <c r="CX168" s="14"/>
      <c r="CY168" s="23" t="s">
        <v>663</v>
      </c>
      <c r="CZ168" s="320">
        <v>360075</v>
      </c>
      <c r="DA168" s="320">
        <v>415163</v>
      </c>
      <c r="DB168" s="320">
        <v>500800</v>
      </c>
      <c r="DC168" s="320">
        <v>641024</v>
      </c>
      <c r="DD168" s="320">
        <v>714141</v>
      </c>
    </row>
    <row r="169" spans="1:108" ht="12.95" customHeight="1">
      <c r="A169" s="1441" t="s">
        <v>537</v>
      </c>
      <c r="B169" s="1441"/>
      <c r="C169" s="1441"/>
      <c r="D169" s="1441"/>
      <c r="E169" s="1441"/>
      <c r="F169" s="1441"/>
      <c r="G169" s="1441"/>
      <c r="H169" s="1441"/>
      <c r="I169" s="1441"/>
      <c r="J169" s="1441"/>
      <c r="K169" s="1441"/>
      <c r="L169" s="1441"/>
      <c r="M169" s="1441"/>
      <c r="N169" s="1441"/>
      <c r="O169" s="1441"/>
      <c r="P169" s="1441"/>
      <c r="Q169" s="1441"/>
      <c r="R169" s="1441"/>
      <c r="S169" s="1441"/>
      <c r="T169" s="1441"/>
      <c r="U169" s="1441"/>
      <c r="V169" s="1441"/>
      <c r="W169" s="1441"/>
      <c r="X169" s="1441"/>
      <c r="Y169" s="1441"/>
      <c r="Z169" s="1441"/>
      <c r="AA169" s="1441"/>
      <c r="AB169" s="1441"/>
      <c r="AC169" s="1441"/>
      <c r="AD169" s="1441"/>
      <c r="AE169" s="1441"/>
      <c r="AF169" s="1441"/>
      <c r="AG169" s="1441"/>
      <c r="AH169" s="1441"/>
      <c r="AI169" s="1441"/>
      <c r="AJ169" s="1441"/>
      <c r="AK169" s="1441"/>
      <c r="AL169" s="1441"/>
      <c r="AM169" s="1441"/>
      <c r="AN169" s="1441"/>
      <c r="AO169" s="1441"/>
      <c r="AP169" s="1441"/>
      <c r="AQ169" s="1441"/>
      <c r="AR169" s="1441"/>
      <c r="AS169" s="1441"/>
      <c r="AT169" s="1441"/>
      <c r="AU169" s="95"/>
      <c r="AV169" s="95"/>
      <c r="AW169" s="95"/>
      <c r="AX169" s="95"/>
      <c r="AY169" s="95"/>
      <c r="BN169" s="23" t="s">
        <v>671</v>
      </c>
      <c r="BS169">
        <v>5</v>
      </c>
      <c r="BT169" t="s">
        <v>486</v>
      </c>
      <c r="CB169" s="346" t="s">
        <v>483</v>
      </c>
      <c r="CC169" s="460">
        <v>1700</v>
      </c>
      <c r="CD169" s="461">
        <v>1820</v>
      </c>
      <c r="CE169" s="460">
        <v>2184</v>
      </c>
      <c r="CF169" s="461">
        <v>2524</v>
      </c>
      <c r="CG169" s="461">
        <v>2816</v>
      </c>
      <c r="CH169" s="462">
        <v>3108</v>
      </c>
      <c r="CI169" s="3" t="s">
        <v>483</v>
      </c>
      <c r="CJ169" s="852">
        <v>1347</v>
      </c>
      <c r="CK169" s="852">
        <v>1355</v>
      </c>
      <c r="CL169" s="852">
        <v>1664</v>
      </c>
      <c r="CM169" s="852">
        <v>2314</v>
      </c>
      <c r="CN169" s="852">
        <v>2660</v>
      </c>
      <c r="CR169" s="23" t="s">
        <v>665</v>
      </c>
      <c r="CS169" s="318">
        <v>323262</v>
      </c>
      <c r="CT169" s="318">
        <v>372718</v>
      </c>
      <c r="CU169" s="318">
        <v>449600</v>
      </c>
      <c r="CV169" s="318">
        <v>575488</v>
      </c>
      <c r="CW169" s="318">
        <v>641130</v>
      </c>
      <c r="CX169" s="14"/>
      <c r="CY169" s="23" t="s">
        <v>665</v>
      </c>
      <c r="CZ169" s="318">
        <v>323262</v>
      </c>
      <c r="DA169" s="318">
        <v>372718</v>
      </c>
      <c r="DB169" s="318">
        <v>449600</v>
      </c>
      <c r="DC169" s="318">
        <v>575488</v>
      </c>
      <c r="DD169" s="318">
        <v>641130</v>
      </c>
    </row>
    <row r="170" spans="1:108" ht="12.95" customHeight="1">
      <c r="A170" s="1441"/>
      <c r="B170" s="1441"/>
      <c r="C170" s="1441"/>
      <c r="D170" s="1441"/>
      <c r="E170" s="1441"/>
      <c r="F170" s="1441"/>
      <c r="G170" s="1441"/>
      <c r="H170" s="1441"/>
      <c r="I170" s="1441"/>
      <c r="J170" s="1441"/>
      <c r="K170" s="1441"/>
      <c r="L170" s="1441"/>
      <c r="M170" s="1441"/>
      <c r="N170" s="1441"/>
      <c r="O170" s="1441"/>
      <c r="P170" s="1441"/>
      <c r="Q170" s="1441"/>
      <c r="R170" s="1441"/>
      <c r="S170" s="1441"/>
      <c r="T170" s="1441"/>
      <c r="U170" s="1441"/>
      <c r="V170" s="1441"/>
      <c r="W170" s="1441"/>
      <c r="X170" s="1441"/>
      <c r="Y170" s="1441"/>
      <c r="Z170" s="1441"/>
      <c r="AA170" s="1441"/>
      <c r="AB170" s="1441"/>
      <c r="AC170" s="1441"/>
      <c r="AD170" s="1441"/>
      <c r="AE170" s="1441"/>
      <c r="AF170" s="1441"/>
      <c r="AG170" s="1441"/>
      <c r="AH170" s="1441"/>
      <c r="AI170" s="1441"/>
      <c r="AJ170" s="1441"/>
      <c r="AK170" s="1441"/>
      <c r="AL170" s="1441"/>
      <c r="AM170" s="1441"/>
      <c r="AN170" s="1441"/>
      <c r="AO170" s="1441"/>
      <c r="AP170" s="1441"/>
      <c r="AQ170" s="1441"/>
      <c r="AR170" s="1441"/>
      <c r="AS170" s="1441"/>
      <c r="AT170" s="1441"/>
      <c r="AU170" s="95"/>
      <c r="AV170" s="95"/>
      <c r="AW170" s="95"/>
      <c r="AX170" s="95"/>
      <c r="AY170" s="95"/>
      <c r="BN170" s="23" t="s">
        <v>672</v>
      </c>
      <c r="BS170">
        <v>7</v>
      </c>
      <c r="BT170" t="s">
        <v>487</v>
      </c>
      <c r="CB170" s="346" t="s">
        <v>484</v>
      </c>
      <c r="CC170" s="460">
        <v>1700</v>
      </c>
      <c r="CD170" s="461">
        <v>1820</v>
      </c>
      <c r="CE170" s="460">
        <v>2184</v>
      </c>
      <c r="CF170" s="461">
        <v>2524</v>
      </c>
      <c r="CG170" s="461">
        <v>2816</v>
      </c>
      <c r="CH170" s="462">
        <v>3108</v>
      </c>
      <c r="CI170" s="3" t="s">
        <v>484</v>
      </c>
      <c r="CJ170" s="852">
        <v>939</v>
      </c>
      <c r="CK170" s="852">
        <v>1038</v>
      </c>
      <c r="CL170" s="852">
        <v>1362</v>
      </c>
      <c r="CM170" s="852">
        <v>1807</v>
      </c>
      <c r="CN170" s="852">
        <v>2179</v>
      </c>
      <c r="CR170" s="23" t="s">
        <v>668</v>
      </c>
      <c r="CS170" s="320">
        <v>402640</v>
      </c>
      <c r="CT170" s="320">
        <v>464240</v>
      </c>
      <c r="CU170" s="320">
        <v>560000</v>
      </c>
      <c r="CV170" s="320">
        <v>716800</v>
      </c>
      <c r="CW170" s="320">
        <v>798560</v>
      </c>
      <c r="CX170" s="14"/>
      <c r="CY170" s="23" t="s">
        <v>668</v>
      </c>
      <c r="CZ170" s="320">
        <v>402640</v>
      </c>
      <c r="DA170" s="320">
        <v>464240</v>
      </c>
      <c r="DB170" s="320">
        <v>560000</v>
      </c>
      <c r="DC170" s="320">
        <v>716800</v>
      </c>
      <c r="DD170" s="320">
        <v>798560</v>
      </c>
    </row>
    <row r="171" spans="1:108" ht="12.95" customHeight="1">
      <c r="BN171" s="23" t="s">
        <v>210</v>
      </c>
      <c r="BS171">
        <v>5</v>
      </c>
      <c r="BT171" t="s">
        <v>488</v>
      </c>
      <c r="CB171" s="346" t="s">
        <v>485</v>
      </c>
      <c r="CC171" s="460">
        <v>1700</v>
      </c>
      <c r="CD171" s="461">
        <v>1820</v>
      </c>
      <c r="CE171" s="460">
        <v>2184</v>
      </c>
      <c r="CF171" s="461">
        <v>2524</v>
      </c>
      <c r="CG171" s="461">
        <v>2816</v>
      </c>
      <c r="CH171" s="462">
        <v>3108</v>
      </c>
      <c r="CI171" s="3" t="s">
        <v>485</v>
      </c>
      <c r="CJ171" s="852">
        <v>1112</v>
      </c>
      <c r="CK171" s="852">
        <v>1186</v>
      </c>
      <c r="CL171" s="852">
        <v>1550</v>
      </c>
      <c r="CM171" s="852">
        <v>2156</v>
      </c>
      <c r="CN171" s="852">
        <v>2600</v>
      </c>
      <c r="CR171" s="23" t="s">
        <v>669</v>
      </c>
      <c r="CS171" s="318">
        <v>402640</v>
      </c>
      <c r="CT171" s="318">
        <v>464240</v>
      </c>
      <c r="CU171" s="318">
        <v>560000</v>
      </c>
      <c r="CV171" s="318">
        <v>716800</v>
      </c>
      <c r="CW171" s="318">
        <v>798560</v>
      </c>
      <c r="CX171" s="14"/>
      <c r="CY171" s="23" t="s">
        <v>669</v>
      </c>
      <c r="CZ171" s="318">
        <v>402640</v>
      </c>
      <c r="DA171" s="318">
        <v>464240</v>
      </c>
      <c r="DB171" s="318">
        <v>560000</v>
      </c>
      <c r="DC171" s="318">
        <v>716800</v>
      </c>
      <c r="DD171" s="318">
        <v>798560</v>
      </c>
    </row>
    <row r="172" spans="1:108" ht="12.95" customHeight="1">
      <c r="A172" s="2" t="s">
        <v>318</v>
      </c>
      <c r="C172" s="2" t="s">
        <v>319</v>
      </c>
      <c r="BN172" s="23" t="s">
        <v>212</v>
      </c>
      <c r="BS172">
        <v>5</v>
      </c>
      <c r="BT172" t="s">
        <v>489</v>
      </c>
      <c r="CB172" s="346" t="s">
        <v>486</v>
      </c>
      <c r="CC172" s="460">
        <v>1700</v>
      </c>
      <c r="CD172" s="461">
        <v>1820</v>
      </c>
      <c r="CE172" s="460">
        <v>2184</v>
      </c>
      <c r="CF172" s="461">
        <v>2524</v>
      </c>
      <c r="CG172" s="461">
        <v>2816</v>
      </c>
      <c r="CH172" s="462">
        <v>3108</v>
      </c>
      <c r="CI172" s="3" t="s">
        <v>486</v>
      </c>
      <c r="CJ172" s="852">
        <v>939</v>
      </c>
      <c r="CK172" s="852">
        <v>1038</v>
      </c>
      <c r="CL172" s="852">
        <v>1362</v>
      </c>
      <c r="CM172" s="852">
        <v>1845</v>
      </c>
      <c r="CN172" s="852">
        <v>2285</v>
      </c>
      <c r="CR172" s="23" t="s">
        <v>671</v>
      </c>
      <c r="CS172" s="320">
        <v>381933</v>
      </c>
      <c r="CT172" s="320">
        <v>440365</v>
      </c>
      <c r="CU172" s="320">
        <v>531200</v>
      </c>
      <c r="CV172" s="320">
        <v>679936</v>
      </c>
      <c r="CW172" s="320">
        <v>757491</v>
      </c>
      <c r="CX172" s="14"/>
      <c r="CY172" s="23" t="s">
        <v>671</v>
      </c>
      <c r="CZ172" s="320">
        <v>381933</v>
      </c>
      <c r="DA172" s="320">
        <v>440365</v>
      </c>
      <c r="DB172" s="320">
        <v>531200</v>
      </c>
      <c r="DC172" s="320">
        <v>679936</v>
      </c>
      <c r="DD172" s="320">
        <v>757491</v>
      </c>
    </row>
    <row r="173" spans="1:108" ht="12.95" customHeight="1">
      <c r="C173" s="24"/>
      <c r="D173" t="s">
        <v>320</v>
      </c>
      <c r="J173" s="1772" t="s">
        <v>370</v>
      </c>
      <c r="K173" s="1772"/>
      <c r="L173" s="1772"/>
      <c r="M173" s="1772"/>
      <c r="N173" s="1772"/>
      <c r="O173" s="1772"/>
      <c r="P173" s="1772"/>
      <c r="Q173" s="1772"/>
      <c r="R173" s="1772"/>
      <c r="S173" s="1772"/>
      <c r="U173" s="25"/>
      <c r="X173" s="25"/>
      <c r="BB173" s="3" t="s">
        <v>306</v>
      </c>
      <c r="BN173" s="23" t="s">
        <v>213</v>
      </c>
      <c r="BS173">
        <v>7</v>
      </c>
      <c r="BT173" t="s">
        <v>490</v>
      </c>
      <c r="CB173" s="346" t="s">
        <v>487</v>
      </c>
      <c r="CC173" s="460">
        <v>1700</v>
      </c>
      <c r="CD173" s="461">
        <v>1820</v>
      </c>
      <c r="CE173" s="460">
        <v>2184</v>
      </c>
      <c r="CF173" s="461">
        <v>2524</v>
      </c>
      <c r="CG173" s="461">
        <v>2816</v>
      </c>
      <c r="CH173" s="462">
        <v>3108</v>
      </c>
      <c r="CI173" s="3" t="s">
        <v>487</v>
      </c>
      <c r="CJ173" s="852">
        <v>1058</v>
      </c>
      <c r="CK173" s="852">
        <v>1381</v>
      </c>
      <c r="CL173" s="852">
        <v>1514</v>
      </c>
      <c r="CM173" s="852">
        <v>1940</v>
      </c>
      <c r="CN173" s="852">
        <v>2540</v>
      </c>
      <c r="CR173" s="23" t="s">
        <v>672</v>
      </c>
      <c r="CS173" s="318">
        <v>402640</v>
      </c>
      <c r="CT173" s="318">
        <v>464240</v>
      </c>
      <c r="CU173" s="318">
        <v>560000</v>
      </c>
      <c r="CV173" s="318">
        <v>716800</v>
      </c>
      <c r="CW173" s="318">
        <v>798560</v>
      </c>
      <c r="CX173" s="14"/>
      <c r="CY173" s="23" t="s">
        <v>672</v>
      </c>
      <c r="CZ173" s="318">
        <v>402640</v>
      </c>
      <c r="DA173" s="318">
        <v>464240</v>
      </c>
      <c r="DB173" s="318">
        <v>560000</v>
      </c>
      <c r="DC173" s="318">
        <v>716800</v>
      </c>
      <c r="DD173" s="318">
        <v>798560</v>
      </c>
    </row>
    <row r="174" spans="1:108" ht="12.95" customHeight="1">
      <c r="C174" s="24"/>
      <c r="D174" s="3" t="s">
        <v>1199</v>
      </c>
      <c r="J174" s="1397" t="s">
        <v>2049</v>
      </c>
      <c r="K174" s="1397"/>
      <c r="L174" s="1397"/>
      <c r="M174" s="1397"/>
      <c r="N174" s="1397"/>
      <c r="O174" s="1397"/>
      <c r="P174" s="1397"/>
      <c r="Q174" s="1397"/>
      <c r="R174" s="1397"/>
      <c r="S174" s="1397"/>
      <c r="T174" s="1397"/>
      <c r="U174" s="1397"/>
      <c r="V174" s="1397"/>
      <c r="W174" s="1397"/>
      <c r="X174" s="1397"/>
      <c r="Y174" s="1397"/>
      <c r="Z174" s="1397"/>
      <c r="AA174" s="1397"/>
      <c r="AB174" s="1397"/>
      <c r="BB174" t="s">
        <v>1935</v>
      </c>
      <c r="BN174" s="23" t="s">
        <v>215</v>
      </c>
      <c r="BS174">
        <v>7</v>
      </c>
      <c r="BT174" t="s">
        <v>491</v>
      </c>
      <c r="CB174" s="346" t="s">
        <v>488</v>
      </c>
      <c r="CC174" s="460">
        <v>1700</v>
      </c>
      <c r="CD174" s="461">
        <v>1820</v>
      </c>
      <c r="CE174" s="460">
        <v>2184</v>
      </c>
      <c r="CF174" s="461">
        <v>2524</v>
      </c>
      <c r="CG174" s="461">
        <v>2816</v>
      </c>
      <c r="CH174" s="462">
        <v>3108</v>
      </c>
      <c r="CI174" s="3" t="s">
        <v>488</v>
      </c>
      <c r="CJ174" s="852">
        <v>1132</v>
      </c>
      <c r="CK174" s="852">
        <v>1140</v>
      </c>
      <c r="CL174" s="852">
        <v>1483</v>
      </c>
      <c r="CM174" s="852">
        <v>2062</v>
      </c>
      <c r="CN174" s="852">
        <v>2488</v>
      </c>
      <c r="CR174" s="23" t="s">
        <v>210</v>
      </c>
      <c r="CS174" s="320">
        <v>323262</v>
      </c>
      <c r="CT174" s="320">
        <v>372718</v>
      </c>
      <c r="CU174" s="320">
        <v>449600</v>
      </c>
      <c r="CV174" s="320">
        <v>575488</v>
      </c>
      <c r="CW174" s="320">
        <v>641130</v>
      </c>
      <c r="CX174" s="14"/>
      <c r="CY174" s="23" t="s">
        <v>210</v>
      </c>
      <c r="CZ174" s="320">
        <v>323262</v>
      </c>
      <c r="DA174" s="320">
        <v>372718</v>
      </c>
      <c r="DB174" s="320">
        <v>449600</v>
      </c>
      <c r="DC174" s="320">
        <v>575488</v>
      </c>
      <c r="DD174" s="320">
        <v>641130</v>
      </c>
    </row>
    <row r="175" spans="1:108" ht="12.95" customHeight="1">
      <c r="C175" s="8"/>
      <c r="D175" s="3" t="s">
        <v>321</v>
      </c>
      <c r="O175" s="27"/>
      <c r="U175" s="1296" t="s">
        <v>667</v>
      </c>
      <c r="V175" s="1296"/>
      <c r="BB175" t="s">
        <v>1903</v>
      </c>
      <c r="BN175" s="23" t="s">
        <v>216</v>
      </c>
      <c r="BS175">
        <v>1</v>
      </c>
      <c r="BT175" t="s">
        <v>492</v>
      </c>
      <c r="CB175" s="346" t="s">
        <v>489</v>
      </c>
      <c r="CC175" s="460">
        <v>1700</v>
      </c>
      <c r="CD175" s="461">
        <v>1820</v>
      </c>
      <c r="CE175" s="460">
        <v>2184</v>
      </c>
      <c r="CF175" s="461">
        <v>2524</v>
      </c>
      <c r="CG175" s="461">
        <v>2816</v>
      </c>
      <c r="CH175" s="462">
        <v>3108</v>
      </c>
      <c r="CI175" s="3" t="s">
        <v>489</v>
      </c>
      <c r="CJ175" s="852">
        <v>1150</v>
      </c>
      <c r="CK175" s="852">
        <v>1157</v>
      </c>
      <c r="CL175" s="852">
        <v>1469</v>
      </c>
      <c r="CM175" s="852">
        <v>2043</v>
      </c>
      <c r="CN175" s="852">
        <v>2451</v>
      </c>
      <c r="CR175" s="23" t="s">
        <v>212</v>
      </c>
      <c r="CS175" s="318">
        <v>323262</v>
      </c>
      <c r="CT175" s="318">
        <v>372718</v>
      </c>
      <c r="CU175" s="318">
        <v>449600</v>
      </c>
      <c r="CV175" s="318">
        <v>575488</v>
      </c>
      <c r="CW175" s="318">
        <v>641130</v>
      </c>
      <c r="CX175" s="14"/>
      <c r="CY175" s="23" t="s">
        <v>212</v>
      </c>
      <c r="CZ175" s="318">
        <v>323262</v>
      </c>
      <c r="DA175" s="318">
        <v>372718</v>
      </c>
      <c r="DB175" s="318">
        <v>449600</v>
      </c>
      <c r="DC175" s="318">
        <v>575488</v>
      </c>
      <c r="DD175" s="318">
        <v>641130</v>
      </c>
    </row>
    <row r="176" spans="1:108" ht="12.95" customHeight="1">
      <c r="C176" s="8"/>
      <c r="D176" s="26"/>
      <c r="E176" t="s">
        <v>303</v>
      </c>
      <c r="O176" s="27"/>
      <c r="P176" t="s">
        <v>2028</v>
      </c>
      <c r="T176" s="27" t="s">
        <v>304</v>
      </c>
      <c r="U176" s="1445"/>
      <c r="V176" s="1445"/>
      <c r="W176" s="1" t="s">
        <v>305</v>
      </c>
      <c r="X176" s="1753"/>
      <c r="Y176" s="1753"/>
      <c r="BB176" t="s">
        <v>1936</v>
      </c>
      <c r="BN176" s="23" t="s">
        <v>218</v>
      </c>
      <c r="BS176">
        <v>5</v>
      </c>
      <c r="BT176" t="s">
        <v>493</v>
      </c>
      <c r="CB176" s="346" t="s">
        <v>490</v>
      </c>
      <c r="CC176" s="460">
        <v>1700</v>
      </c>
      <c r="CD176" s="461">
        <v>1820</v>
      </c>
      <c r="CE176" s="460">
        <v>2184</v>
      </c>
      <c r="CF176" s="461">
        <v>2524</v>
      </c>
      <c r="CG176" s="461">
        <v>2816</v>
      </c>
      <c r="CH176" s="462">
        <v>3108</v>
      </c>
      <c r="CI176" s="3" t="s">
        <v>490</v>
      </c>
      <c r="CJ176" s="852">
        <v>1173</v>
      </c>
      <c r="CK176" s="852">
        <v>1181</v>
      </c>
      <c r="CL176" s="852">
        <v>1549</v>
      </c>
      <c r="CM176" s="852">
        <v>2154</v>
      </c>
      <c r="CN176" s="852">
        <v>2599</v>
      </c>
      <c r="CR176" s="23" t="s">
        <v>213</v>
      </c>
      <c r="CS176" s="320">
        <v>402640</v>
      </c>
      <c r="CT176" s="320">
        <v>464240</v>
      </c>
      <c r="CU176" s="320">
        <v>560000</v>
      </c>
      <c r="CV176" s="320">
        <v>716800</v>
      </c>
      <c r="CW176" s="320">
        <v>798560</v>
      </c>
      <c r="CX176" s="14"/>
      <c r="CY176" s="23" t="s">
        <v>213</v>
      </c>
      <c r="CZ176" s="320">
        <v>402640</v>
      </c>
      <c r="DA176" s="320">
        <v>464240</v>
      </c>
      <c r="DB176" s="320">
        <v>560000</v>
      </c>
      <c r="DC176" s="320">
        <v>716800</v>
      </c>
      <c r="DD176" s="320">
        <v>798560</v>
      </c>
    </row>
    <row r="177" spans="1:108" ht="12.95" customHeight="1">
      <c r="C177" s="24"/>
      <c r="D177" t="s">
        <v>248</v>
      </c>
      <c r="R177" s="1296" t="s">
        <v>667</v>
      </c>
      <c r="S177" s="1296"/>
      <c r="BB177" t="s">
        <v>2160</v>
      </c>
      <c r="BN177" s="23" t="s">
        <v>219</v>
      </c>
      <c r="BS177">
        <v>2</v>
      </c>
      <c r="BT177" t="s">
        <v>494</v>
      </c>
      <c r="CB177" s="346" t="s">
        <v>491</v>
      </c>
      <c r="CC177" s="460">
        <v>1700</v>
      </c>
      <c r="CD177" s="461">
        <v>1820</v>
      </c>
      <c r="CE177" s="460">
        <v>2184</v>
      </c>
      <c r="CF177" s="461">
        <v>2524</v>
      </c>
      <c r="CG177" s="461">
        <v>2816</v>
      </c>
      <c r="CH177" s="462">
        <v>3108</v>
      </c>
      <c r="CI177" s="3" t="s">
        <v>491</v>
      </c>
      <c r="CJ177" s="852">
        <v>882</v>
      </c>
      <c r="CK177" s="852">
        <v>1016</v>
      </c>
      <c r="CL177" s="852">
        <v>1279</v>
      </c>
      <c r="CM177" s="852">
        <v>1779</v>
      </c>
      <c r="CN177" s="852">
        <v>2146</v>
      </c>
      <c r="CR177" s="23" t="s">
        <v>215</v>
      </c>
      <c r="CS177" s="318">
        <v>402640</v>
      </c>
      <c r="CT177" s="318">
        <v>464240</v>
      </c>
      <c r="CU177" s="318">
        <v>560000</v>
      </c>
      <c r="CV177" s="318">
        <v>716800</v>
      </c>
      <c r="CW177" s="318">
        <v>798560</v>
      </c>
      <c r="CX177" s="14"/>
      <c r="CY177" s="23" t="s">
        <v>215</v>
      </c>
      <c r="CZ177" s="318">
        <v>402640</v>
      </c>
      <c r="DA177" s="318">
        <v>464240</v>
      </c>
      <c r="DB177" s="318">
        <v>560000</v>
      </c>
      <c r="DC177" s="318">
        <v>716800</v>
      </c>
      <c r="DD177" s="318">
        <v>798560</v>
      </c>
    </row>
    <row r="178" spans="1:108" ht="12.95" customHeight="1">
      <c r="C178" s="24"/>
      <c r="D178" s="3" t="s">
        <v>1200</v>
      </c>
      <c r="AA178" t="s">
        <v>2028</v>
      </c>
      <c r="AE178" s="27" t="s">
        <v>304</v>
      </c>
      <c r="AF178" s="1752"/>
      <c r="AG178" s="1752"/>
      <c r="AH178" s="1" t="s">
        <v>305</v>
      </c>
      <c r="AI178" s="1732"/>
      <c r="AJ178" s="1732"/>
      <c r="AK178" s="1732"/>
      <c r="BB178" t="s">
        <v>2161</v>
      </c>
      <c r="BN178" s="23" t="s">
        <v>220</v>
      </c>
      <c r="BS178">
        <v>7</v>
      </c>
      <c r="BT178" t="s">
        <v>53</v>
      </c>
      <c r="CB178" s="346" t="s">
        <v>492</v>
      </c>
      <c r="CC178" s="460">
        <v>2914</v>
      </c>
      <c r="CD178" s="461">
        <v>3122</v>
      </c>
      <c r="CE178" s="460">
        <v>3746</v>
      </c>
      <c r="CF178" s="461">
        <v>4330</v>
      </c>
      <c r="CG178" s="461">
        <v>4830</v>
      </c>
      <c r="CH178" s="462">
        <v>5330</v>
      </c>
      <c r="CI178" s="3" t="s">
        <v>492</v>
      </c>
      <c r="CJ178" s="852">
        <v>2079</v>
      </c>
      <c r="CK178" s="852">
        <v>2328</v>
      </c>
      <c r="CL178" s="852">
        <v>2903</v>
      </c>
      <c r="CM178" s="852">
        <v>3681</v>
      </c>
      <c r="CN178" s="852">
        <v>4098</v>
      </c>
      <c r="CR178" s="23" t="s">
        <v>216</v>
      </c>
      <c r="CS178" s="320">
        <v>437727</v>
      </c>
      <c r="CT178" s="320">
        <v>504695</v>
      </c>
      <c r="CU178" s="320">
        <v>608800</v>
      </c>
      <c r="CV178" s="320">
        <v>779264</v>
      </c>
      <c r="CW178" s="320">
        <v>868149</v>
      </c>
      <c r="CX178" s="14"/>
      <c r="CY178" s="23" t="s">
        <v>216</v>
      </c>
      <c r="CZ178" s="320">
        <v>437727</v>
      </c>
      <c r="DA178" s="320">
        <v>504695</v>
      </c>
      <c r="DB178" s="320">
        <v>608800</v>
      </c>
      <c r="DC178" s="320">
        <v>779264</v>
      </c>
      <c r="DD178" s="320">
        <v>868149</v>
      </c>
    </row>
    <row r="179" spans="1:108" ht="12.95" customHeight="1">
      <c r="C179" s="24"/>
      <c r="BN179" s="23" t="s">
        <v>221</v>
      </c>
      <c r="BS179">
        <v>7</v>
      </c>
      <c r="BT179" t="s">
        <v>54</v>
      </c>
      <c r="CB179" s="346" t="s">
        <v>493</v>
      </c>
      <c r="CC179" s="460">
        <v>1700</v>
      </c>
      <c r="CD179" s="461">
        <v>1820</v>
      </c>
      <c r="CE179" s="460">
        <v>2184</v>
      </c>
      <c r="CF179" s="461">
        <v>2524</v>
      </c>
      <c r="CG179" s="461">
        <v>2816</v>
      </c>
      <c r="CH179" s="462">
        <v>3108</v>
      </c>
      <c r="CI179" s="3" t="s">
        <v>493</v>
      </c>
      <c r="CJ179" s="852">
        <v>1055</v>
      </c>
      <c r="CK179" s="852">
        <v>1062</v>
      </c>
      <c r="CL179" s="852">
        <v>1376</v>
      </c>
      <c r="CM179" s="852">
        <v>1914</v>
      </c>
      <c r="CN179" s="852">
        <v>2275</v>
      </c>
      <c r="CR179" s="23" t="s">
        <v>218</v>
      </c>
      <c r="CS179" s="318">
        <v>323262</v>
      </c>
      <c r="CT179" s="318">
        <v>372718</v>
      </c>
      <c r="CU179" s="318">
        <v>449600</v>
      </c>
      <c r="CV179" s="318">
        <v>575488</v>
      </c>
      <c r="CW179" s="318">
        <v>641130</v>
      </c>
      <c r="CX179" s="14"/>
      <c r="CY179" s="23" t="s">
        <v>218</v>
      </c>
      <c r="CZ179" s="318">
        <v>323262</v>
      </c>
      <c r="DA179" s="318">
        <v>372718</v>
      </c>
      <c r="DB179" s="318">
        <v>449600</v>
      </c>
      <c r="DC179" s="318">
        <v>575488</v>
      </c>
      <c r="DD179" s="318">
        <v>641130</v>
      </c>
    </row>
    <row r="180" spans="1:108" ht="12.95" customHeight="1">
      <c r="C180" s="24"/>
      <c r="D180" s="3" t="s">
        <v>2623</v>
      </c>
      <c r="X180" s="1296" t="s">
        <v>667</v>
      </c>
      <c r="Y180" s="1296"/>
      <c r="BN180" s="23" t="s">
        <v>223</v>
      </c>
      <c r="BS180">
        <v>5</v>
      </c>
      <c r="BT180" t="s">
        <v>55</v>
      </c>
      <c r="CB180" s="346" t="s">
        <v>494</v>
      </c>
      <c r="CC180" s="460">
        <v>3676</v>
      </c>
      <c r="CD180" s="461">
        <v>3940</v>
      </c>
      <c r="CE180" s="460">
        <v>4726</v>
      </c>
      <c r="CF180" s="461">
        <v>5462</v>
      </c>
      <c r="CG180" s="461">
        <v>6094</v>
      </c>
      <c r="CH180" s="462">
        <v>6724</v>
      </c>
      <c r="CI180" s="3" t="s">
        <v>494</v>
      </c>
      <c r="CJ180" s="852">
        <v>2485</v>
      </c>
      <c r="CK180" s="852">
        <v>2977</v>
      </c>
      <c r="CL180" s="852">
        <v>3604</v>
      </c>
      <c r="CM180" s="852">
        <v>4604</v>
      </c>
      <c r="CN180" s="852">
        <v>4772</v>
      </c>
      <c r="CR180" s="23" t="s">
        <v>219</v>
      </c>
      <c r="CS180" s="320">
        <v>406666</v>
      </c>
      <c r="CT180" s="320">
        <v>468882</v>
      </c>
      <c r="CU180" s="320">
        <v>565600</v>
      </c>
      <c r="CV180" s="320">
        <v>723968</v>
      </c>
      <c r="CW180" s="320">
        <v>806546</v>
      </c>
      <c r="CX180" s="14"/>
      <c r="CY180" s="23" t="s">
        <v>219</v>
      </c>
      <c r="CZ180" s="320">
        <v>406666</v>
      </c>
      <c r="DA180" s="320">
        <v>468882</v>
      </c>
      <c r="DB180" s="320">
        <v>565600</v>
      </c>
      <c r="DC180" s="320">
        <v>723968</v>
      </c>
      <c r="DD180" s="320">
        <v>806546</v>
      </c>
    </row>
    <row r="181" spans="1:108" ht="12.95" customHeight="1">
      <c r="C181" s="8"/>
      <c r="E181" s="4" t="s">
        <v>974</v>
      </c>
      <c r="BN181" s="23" t="s">
        <v>224</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220</v>
      </c>
      <c r="CS181" s="318">
        <v>402640</v>
      </c>
      <c r="CT181" s="318">
        <v>464240</v>
      </c>
      <c r="CU181" s="318">
        <v>560000</v>
      </c>
      <c r="CV181" s="318">
        <v>716800</v>
      </c>
      <c r="CW181" s="318">
        <v>798560</v>
      </c>
      <c r="CX181" s="14"/>
      <c r="CY181" s="23" t="s">
        <v>220</v>
      </c>
      <c r="CZ181" s="318">
        <v>402640</v>
      </c>
      <c r="DA181" s="318">
        <v>464240</v>
      </c>
      <c r="DB181" s="318">
        <v>560000</v>
      </c>
      <c r="DC181" s="318">
        <v>716800</v>
      </c>
      <c r="DD181" s="318">
        <v>798560</v>
      </c>
    </row>
    <row r="182" spans="1:108" ht="12.95" customHeight="1">
      <c r="C182" s="526"/>
      <c r="BN182" s="23" t="s">
        <v>225</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221</v>
      </c>
      <c r="CS182" s="320">
        <v>402640</v>
      </c>
      <c r="CT182" s="320">
        <v>464240</v>
      </c>
      <c r="CU182" s="320">
        <v>560000</v>
      </c>
      <c r="CV182" s="320">
        <v>716800</v>
      </c>
      <c r="CW182" s="320">
        <v>798560</v>
      </c>
      <c r="CX182" s="14"/>
      <c r="CY182" s="23" t="s">
        <v>221</v>
      </c>
      <c r="CZ182" s="320">
        <v>402640</v>
      </c>
      <c r="DA182" s="320">
        <v>464240</v>
      </c>
      <c r="DB182" s="320">
        <v>560000</v>
      </c>
      <c r="DC182" s="320">
        <v>716800</v>
      </c>
      <c r="DD182" s="320">
        <v>798560</v>
      </c>
    </row>
    <row r="183" spans="1:108" ht="12.95" customHeight="1">
      <c r="A183" s="2" t="s">
        <v>574</v>
      </c>
      <c r="C183" s="2" t="s">
        <v>575</v>
      </c>
      <c r="BN183" s="23" t="s">
        <v>227</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223</v>
      </c>
      <c r="CS183" s="318">
        <v>323262</v>
      </c>
      <c r="CT183" s="318">
        <v>372718</v>
      </c>
      <c r="CU183" s="318">
        <v>449600</v>
      </c>
      <c r="CV183" s="318">
        <v>575488</v>
      </c>
      <c r="CW183" s="318">
        <v>641130</v>
      </c>
      <c r="CX183" s="14"/>
      <c r="CY183" s="23" t="s">
        <v>223</v>
      </c>
      <c r="CZ183" s="318">
        <v>323262</v>
      </c>
      <c r="DA183" s="318">
        <v>372718</v>
      </c>
      <c r="DB183" s="318">
        <v>449600</v>
      </c>
      <c r="DC183" s="318">
        <v>575488</v>
      </c>
      <c r="DD183" s="318">
        <v>641130</v>
      </c>
    </row>
    <row r="184" spans="1:108" ht="12.95" customHeight="1">
      <c r="C184" s="21"/>
      <c r="D184" t="s">
        <v>576</v>
      </c>
      <c r="I184" s="1428" t="str">
        <f>H18</f>
        <v xml:space="preserve">3590 Elm																												</v>
      </c>
      <c r="J184" s="1428"/>
      <c r="K184" s="1428"/>
      <c r="L184" s="1428"/>
      <c r="M184" s="1428"/>
      <c r="N184" s="1428"/>
      <c r="O184" s="1428"/>
      <c r="P184" s="1428"/>
      <c r="Q184" s="1428"/>
      <c r="R184" s="1428"/>
      <c r="S184" s="1428"/>
      <c r="T184" s="1428"/>
      <c r="U184" s="1428"/>
      <c r="V184" s="1428"/>
      <c r="W184" s="1428"/>
      <c r="X184" s="1428"/>
      <c r="Y184" s="1428"/>
      <c r="Z184" s="1428"/>
      <c r="AA184" s="1428"/>
      <c r="AB184" s="1428"/>
      <c r="AC184" s="1428"/>
      <c r="AD184" s="1428"/>
      <c r="AE184" s="1428"/>
      <c r="BC184" t="s">
        <v>585</v>
      </c>
      <c r="BN184" s="23" t="s">
        <v>229</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224</v>
      </c>
      <c r="CS184" s="320">
        <v>402640</v>
      </c>
      <c r="CT184" s="320">
        <v>464240</v>
      </c>
      <c r="CU184" s="320">
        <v>560000</v>
      </c>
      <c r="CV184" s="320">
        <v>716800</v>
      </c>
      <c r="CW184" s="320">
        <v>798560</v>
      </c>
      <c r="CX184" s="14"/>
      <c r="CY184" s="23" t="s">
        <v>224</v>
      </c>
      <c r="CZ184" s="320">
        <v>402640</v>
      </c>
      <c r="DA184" s="320">
        <v>464240</v>
      </c>
      <c r="DB184" s="320">
        <v>560000</v>
      </c>
      <c r="DC184" s="320">
        <v>716800</v>
      </c>
      <c r="DD184" s="320">
        <v>798560</v>
      </c>
    </row>
    <row r="185" spans="1:108" ht="12.95" customHeight="1">
      <c r="C185" s="21"/>
      <c r="D185" t="s">
        <v>577</v>
      </c>
      <c r="I185" s="251" t="s">
        <v>2662</v>
      </c>
      <c r="J185" s="251"/>
      <c r="K185" s="251"/>
      <c r="L185" s="251"/>
      <c r="M185" s="251"/>
      <c r="N185" s="251"/>
      <c r="O185" s="251"/>
      <c r="P185" s="251"/>
      <c r="Q185" s="251"/>
      <c r="R185" s="251"/>
      <c r="S185" s="251"/>
      <c r="T185" s="251"/>
      <c r="U185" s="251"/>
      <c r="V185" s="251"/>
      <c r="W185" s="251"/>
      <c r="X185" s="251"/>
      <c r="Y185" s="251"/>
      <c r="Z185" s="251"/>
      <c r="AA185" s="251"/>
      <c r="AB185" s="251"/>
      <c r="AC185" s="251"/>
      <c r="AD185" s="251"/>
      <c r="AE185" s="251"/>
      <c r="BC185" t="s">
        <v>586</v>
      </c>
      <c r="BN185" s="23" t="s">
        <v>230</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225</v>
      </c>
      <c r="CS185" s="318">
        <v>402640</v>
      </c>
      <c r="CT185" s="318">
        <v>464240</v>
      </c>
      <c r="CU185" s="318">
        <v>560000</v>
      </c>
      <c r="CV185" s="318">
        <v>716800</v>
      </c>
      <c r="CW185" s="318">
        <v>798560</v>
      </c>
      <c r="CX185" s="14"/>
      <c r="CY185" s="23" t="s">
        <v>225</v>
      </c>
      <c r="CZ185" s="318">
        <v>402640</v>
      </c>
      <c r="DA185" s="318">
        <v>464240</v>
      </c>
      <c r="DB185" s="318">
        <v>560000</v>
      </c>
      <c r="DC185" s="318">
        <v>716800</v>
      </c>
      <c r="DD185" s="318">
        <v>798560</v>
      </c>
    </row>
    <row r="186" spans="1:108" ht="12.95" customHeight="1">
      <c r="C186" s="21"/>
      <c r="E186" t="s">
        <v>167</v>
      </c>
      <c r="BN186" s="23" t="s">
        <v>231</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227</v>
      </c>
      <c r="CS186" s="320">
        <v>442904</v>
      </c>
      <c r="CT186" s="320">
        <v>510664</v>
      </c>
      <c r="CU186" s="320">
        <v>616000</v>
      </c>
      <c r="CV186" s="320">
        <v>788480</v>
      </c>
      <c r="CW186" s="320">
        <v>878416</v>
      </c>
      <c r="CX186" s="14"/>
      <c r="CY186" s="23" t="s">
        <v>227</v>
      </c>
      <c r="CZ186" s="320">
        <v>442904</v>
      </c>
      <c r="DA186" s="320">
        <v>510664</v>
      </c>
      <c r="DB186" s="320">
        <v>616000</v>
      </c>
      <c r="DC186" s="320">
        <v>788480</v>
      </c>
      <c r="DD186" s="320">
        <v>878416</v>
      </c>
    </row>
    <row r="187" spans="1:108" ht="12.95" customHeight="1">
      <c r="C187" s="21"/>
      <c r="E187" s="1727"/>
      <c r="F187" s="1727"/>
      <c r="G187" s="1727"/>
      <c r="H187" s="1727"/>
      <c r="I187" s="1727"/>
      <c r="J187" s="1727"/>
      <c r="K187" s="1727"/>
      <c r="L187" s="1727"/>
      <c r="M187" s="1727"/>
      <c r="N187" s="1727"/>
      <c r="O187" s="1727"/>
      <c r="P187" s="1727"/>
      <c r="Q187" s="1727"/>
      <c r="R187" s="1727"/>
      <c r="S187" s="1727"/>
      <c r="T187" s="1727"/>
      <c r="U187" s="1727"/>
      <c r="V187" s="1727"/>
      <c r="W187" s="1727"/>
      <c r="X187" s="1727"/>
      <c r="Y187" s="1727"/>
      <c r="Z187" s="1727"/>
      <c r="AA187" s="1727"/>
      <c r="AB187" s="1727"/>
      <c r="AC187" s="1727"/>
      <c r="AD187" s="1727"/>
      <c r="AE187" s="1727"/>
      <c r="BN187" s="23" t="s">
        <v>232</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229</v>
      </c>
      <c r="CS187" s="318">
        <v>406666</v>
      </c>
      <c r="CT187" s="318">
        <v>468882</v>
      </c>
      <c r="CU187" s="318">
        <v>565600</v>
      </c>
      <c r="CV187" s="318">
        <v>723968</v>
      </c>
      <c r="CW187" s="318">
        <v>806546</v>
      </c>
      <c r="CX187" s="14"/>
      <c r="CY187" s="23" t="s">
        <v>229</v>
      </c>
      <c r="CZ187" s="318">
        <v>406666</v>
      </c>
      <c r="DA187" s="318">
        <v>468882</v>
      </c>
      <c r="DB187" s="318">
        <v>565600</v>
      </c>
      <c r="DC187" s="318">
        <v>723968</v>
      </c>
      <c r="DD187" s="318">
        <v>806546</v>
      </c>
    </row>
    <row r="188" spans="1:108" ht="12.95" customHeight="1">
      <c r="C188" s="21"/>
      <c r="E188" s="1721"/>
      <c r="F188" s="1721"/>
      <c r="G188" s="1721"/>
      <c r="H188" s="1721"/>
      <c r="I188" s="1721"/>
      <c r="J188" s="1721"/>
      <c r="K188" s="1721"/>
      <c r="L188" s="1721"/>
      <c r="M188" s="1721"/>
      <c r="N188" s="1721"/>
      <c r="O188" s="1721"/>
      <c r="P188" s="1721"/>
      <c r="Q188" s="1721"/>
      <c r="R188" s="1721"/>
      <c r="S188" s="1721"/>
      <c r="T188" s="1721"/>
      <c r="U188" s="1721"/>
      <c r="V188" s="1721"/>
      <c r="W188" s="1721"/>
      <c r="X188" s="1721"/>
      <c r="Y188" s="1721"/>
      <c r="Z188" s="1721"/>
      <c r="AA188" s="1721"/>
      <c r="AB188" s="1721"/>
      <c r="AC188" s="1721"/>
      <c r="AD188" s="1721"/>
      <c r="AE188" s="1721"/>
      <c r="BN188" s="23" t="s">
        <v>234</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230</v>
      </c>
      <c r="CS188" s="320">
        <v>402640</v>
      </c>
      <c r="CT188" s="320">
        <v>464240</v>
      </c>
      <c r="CU188" s="320">
        <v>560000</v>
      </c>
      <c r="CV188" s="320">
        <v>716800</v>
      </c>
      <c r="CW188" s="320">
        <v>798560</v>
      </c>
      <c r="CX188" s="14"/>
      <c r="CY188" s="23" t="s">
        <v>230</v>
      </c>
      <c r="CZ188" s="320">
        <v>402640</v>
      </c>
      <c r="DA188" s="320">
        <v>464240</v>
      </c>
      <c r="DB188" s="320">
        <v>560000</v>
      </c>
      <c r="DC188" s="320">
        <v>716800</v>
      </c>
      <c r="DD188" s="320">
        <v>798560</v>
      </c>
    </row>
    <row r="189" spans="1:108" ht="12.95" customHeight="1">
      <c r="C189" s="21"/>
      <c r="D189" t="s">
        <v>578</v>
      </c>
      <c r="I189" s="1289" t="s">
        <v>2663</v>
      </c>
      <c r="J189" s="1287"/>
      <c r="K189" s="1287"/>
      <c r="L189" s="1287"/>
      <c r="M189" s="1287"/>
      <c r="N189" s="1287"/>
      <c r="O189" s="1287"/>
      <c r="P189" s="1287"/>
      <c r="Q189" t="s">
        <v>580</v>
      </c>
      <c r="T189" s="1397" t="s">
        <v>492</v>
      </c>
      <c r="U189" s="1397"/>
      <c r="V189" s="1397"/>
      <c r="W189" s="1397"/>
      <c r="X189" s="1397"/>
      <c r="Y189" s="1397"/>
      <c r="Z189" s="1397"/>
      <c r="AA189" s="1397"/>
      <c r="AB189" s="1397"/>
      <c r="AC189" s="1397"/>
      <c r="AD189" s="1397"/>
      <c r="AE189" s="1397"/>
      <c r="BC189" t="s">
        <v>306</v>
      </c>
      <c r="BH189" s="3" t="s">
        <v>589</v>
      </c>
      <c r="BN189" s="23" t="s">
        <v>235</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231</v>
      </c>
      <c r="CS189" s="318">
        <v>402065</v>
      </c>
      <c r="CT189" s="318">
        <v>463577</v>
      </c>
      <c r="CU189" s="318">
        <v>559200</v>
      </c>
      <c r="CV189" s="318">
        <v>715776</v>
      </c>
      <c r="CW189" s="318">
        <v>797419</v>
      </c>
      <c r="CX189" s="14"/>
      <c r="CY189" s="23" t="s">
        <v>231</v>
      </c>
      <c r="CZ189" s="318">
        <v>402065</v>
      </c>
      <c r="DA189" s="318">
        <v>463577</v>
      </c>
      <c r="DB189" s="318">
        <v>559200</v>
      </c>
      <c r="DC189" s="318">
        <v>715776</v>
      </c>
      <c r="DD189" s="318">
        <v>797419</v>
      </c>
    </row>
    <row r="190" spans="1:108" ht="12.95" customHeight="1">
      <c r="C190" s="21"/>
      <c r="D190" t="s">
        <v>581</v>
      </c>
      <c r="I190" s="1420" t="s">
        <v>2691</v>
      </c>
      <c r="J190" s="1420"/>
      <c r="K190" s="1420"/>
      <c r="L190" s="1420"/>
      <c r="M190" s="1420"/>
      <c r="N190" s="1420"/>
      <c r="O190" t="s">
        <v>583</v>
      </c>
      <c r="T190" s="1759">
        <v>5779</v>
      </c>
      <c r="U190" s="1759"/>
      <c r="V190" s="1759"/>
      <c r="W190" s="1759"/>
      <c r="X190" s="1759"/>
      <c r="Y190" s="1759"/>
      <c r="Z190" s="1759"/>
      <c r="AA190" s="1759"/>
      <c r="AB190" s="1759"/>
      <c r="AC190" s="1759"/>
      <c r="AD190" s="1759"/>
      <c r="AE190" s="1759"/>
      <c r="BC190" t="s">
        <v>1039</v>
      </c>
      <c r="BH190" t="s">
        <v>1039</v>
      </c>
      <c r="BN190" s="23" t="s">
        <v>633</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232</v>
      </c>
      <c r="CS190" s="320">
        <v>360075</v>
      </c>
      <c r="CT190" s="320">
        <v>415163</v>
      </c>
      <c r="CU190" s="320">
        <v>500800</v>
      </c>
      <c r="CV190" s="320">
        <v>641024</v>
      </c>
      <c r="CW190" s="320">
        <v>714141</v>
      </c>
      <c r="CX190" s="14"/>
      <c r="CY190" s="23" t="s">
        <v>232</v>
      </c>
      <c r="CZ190" s="320">
        <v>360075</v>
      </c>
      <c r="DA190" s="320">
        <v>415163</v>
      </c>
      <c r="DB190" s="320">
        <v>500800</v>
      </c>
      <c r="DC190" s="320">
        <v>641024</v>
      </c>
      <c r="DD190" s="320">
        <v>714141</v>
      </c>
    </row>
    <row r="191" spans="1:108" ht="12.95" customHeight="1">
      <c r="C191" s="21"/>
      <c r="D191" t="s">
        <v>460</v>
      </c>
      <c r="N191" s="1727" t="s">
        <v>2692</v>
      </c>
      <c r="O191" s="1727"/>
      <c r="P191" s="1727"/>
      <c r="Q191" s="1727"/>
      <c r="R191" s="1727"/>
      <c r="S191" s="1727"/>
      <c r="T191" s="1727"/>
      <c r="U191" s="1727"/>
      <c r="V191" s="1727"/>
      <c r="W191" s="1727"/>
      <c r="X191" s="1727"/>
      <c r="Y191" s="1727"/>
      <c r="Z191" s="1727"/>
      <c r="AA191" s="1727"/>
      <c r="AB191" s="1727"/>
      <c r="AC191" s="1727"/>
      <c r="AD191" s="1727"/>
      <c r="AE191" s="1727"/>
      <c r="BC191" t="s">
        <v>1038</v>
      </c>
      <c r="BH191" t="s">
        <v>1038</v>
      </c>
      <c r="BN191" s="23" t="s">
        <v>686</v>
      </c>
      <c r="BS191">
        <v>4</v>
      </c>
      <c r="BT191" t="s">
        <v>725</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234</v>
      </c>
      <c r="CS191" s="318">
        <v>402640</v>
      </c>
      <c r="CT191" s="318">
        <v>464240</v>
      </c>
      <c r="CU191" s="318">
        <v>560000</v>
      </c>
      <c r="CV191" s="318">
        <v>716800</v>
      </c>
      <c r="CW191" s="318">
        <v>798560</v>
      </c>
      <c r="CX191" s="14"/>
      <c r="CY191" s="23" t="s">
        <v>234</v>
      </c>
      <c r="CZ191" s="318">
        <v>402640</v>
      </c>
      <c r="DA191" s="318">
        <v>464240</v>
      </c>
      <c r="DB191" s="318">
        <v>560000</v>
      </c>
      <c r="DC191" s="318">
        <v>716800</v>
      </c>
      <c r="DD191" s="318">
        <v>798560</v>
      </c>
    </row>
    <row r="192" spans="1:108" ht="12.95" customHeight="1">
      <c r="C192" s="21"/>
      <c r="M192" s="40"/>
      <c r="N192" s="1721"/>
      <c r="O192" s="1721"/>
      <c r="P192" s="1721"/>
      <c r="Q192" s="1721"/>
      <c r="R192" s="1721"/>
      <c r="S192" s="1721"/>
      <c r="T192" s="1721"/>
      <c r="U192" s="1721"/>
      <c r="V192" s="1721"/>
      <c r="W192" s="1721"/>
      <c r="X192" s="1721"/>
      <c r="Y192" s="1721"/>
      <c r="Z192" s="1721"/>
      <c r="AA192" s="1721"/>
      <c r="AB192" s="1721"/>
      <c r="AC192" s="1721"/>
      <c r="AD192" s="1721"/>
      <c r="AE192" s="1721"/>
      <c r="BC192" t="s">
        <v>1041</v>
      </c>
      <c r="BH192" s="3" t="s">
        <v>1355</v>
      </c>
      <c r="BN192" s="23" t="s">
        <v>687</v>
      </c>
      <c r="BS192">
        <v>5</v>
      </c>
      <c r="BT192" t="s">
        <v>726</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235</v>
      </c>
      <c r="CS192" s="320">
        <v>381933</v>
      </c>
      <c r="CT192" s="320">
        <v>440365</v>
      </c>
      <c r="CU192" s="320">
        <v>531200</v>
      </c>
      <c r="CV192" s="320">
        <v>679936</v>
      </c>
      <c r="CW192" s="320">
        <v>757491</v>
      </c>
      <c r="CX192" s="14"/>
      <c r="CY192" s="23" t="s">
        <v>235</v>
      </c>
      <c r="CZ192" s="320">
        <v>381933</v>
      </c>
      <c r="DA192" s="320">
        <v>440365</v>
      </c>
      <c r="DB192" s="320">
        <v>531200</v>
      </c>
      <c r="DC192" s="320">
        <v>679936</v>
      </c>
      <c r="DD192" s="320">
        <v>757491</v>
      </c>
    </row>
    <row r="193" spans="1:108" ht="12.95" customHeight="1">
      <c r="C193" s="21"/>
      <c r="D193" t="s">
        <v>2029</v>
      </c>
      <c r="M193" s="40"/>
      <c r="N193" s="885"/>
      <c r="O193" s="885"/>
      <c r="P193" s="885"/>
      <c r="Q193" s="885"/>
      <c r="R193" s="885"/>
      <c r="S193" s="885"/>
      <c r="T193" s="1763" t="s">
        <v>1903</v>
      </c>
      <c r="U193" s="1763"/>
      <c r="V193" s="1763"/>
      <c r="W193" s="1763"/>
      <c r="X193" s="1763"/>
      <c r="Y193" s="1763"/>
      <c r="Z193" s="1763"/>
      <c r="AA193" s="1763"/>
      <c r="AB193" s="1763"/>
      <c r="AC193" s="1763"/>
      <c r="AD193" s="1763"/>
      <c r="AE193" s="1763"/>
      <c r="AF193" s="1763"/>
      <c r="AG193" s="1763"/>
      <c r="AH193" s="1763"/>
      <c r="AI193" s="1763"/>
      <c r="BC193" t="s">
        <v>1040</v>
      </c>
      <c r="BH193" s="3" t="s">
        <v>1615</v>
      </c>
      <c r="BN193" s="23" t="s">
        <v>688</v>
      </c>
      <c r="BS193">
        <v>4</v>
      </c>
      <c r="BT193" t="s">
        <v>727</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633</v>
      </c>
      <c r="CS193" s="318">
        <v>360075</v>
      </c>
      <c r="CT193" s="318">
        <v>415163</v>
      </c>
      <c r="CU193" s="318">
        <v>500800</v>
      </c>
      <c r="CV193" s="318">
        <v>641024</v>
      </c>
      <c r="CW193" s="318">
        <v>714141</v>
      </c>
      <c r="CX193" s="14"/>
      <c r="CY193" s="23" t="s">
        <v>633</v>
      </c>
      <c r="CZ193" s="318">
        <v>360075</v>
      </c>
      <c r="DA193" s="318">
        <v>415163</v>
      </c>
      <c r="DB193" s="318">
        <v>500800</v>
      </c>
      <c r="DC193" s="318">
        <v>641024</v>
      </c>
      <c r="DD193" s="318">
        <v>714141</v>
      </c>
    </row>
    <row r="194" spans="1:108" ht="12.95" customHeight="1">
      <c r="C194" s="21"/>
      <c r="D194" s="3" t="s">
        <v>2162</v>
      </c>
      <c r="M194" s="40"/>
      <c r="N194" s="885"/>
      <c r="O194" s="885"/>
      <c r="P194" s="885"/>
      <c r="Q194" s="885"/>
      <c r="R194" s="885"/>
      <c r="S194" s="885"/>
      <c r="AH194" s="1296" t="s">
        <v>667</v>
      </c>
      <c r="AI194" s="1296"/>
      <c r="BC194" t="s">
        <v>1355</v>
      </c>
      <c r="BN194" s="23" t="s">
        <v>689</v>
      </c>
      <c r="BS194">
        <v>2</v>
      </c>
      <c r="BT194" t="s">
        <v>728</v>
      </c>
      <c r="CB194" s="346" t="s">
        <v>725</v>
      </c>
      <c r="CC194" s="460">
        <v>2572</v>
      </c>
      <c r="CD194" s="461">
        <v>2754</v>
      </c>
      <c r="CE194" s="460">
        <v>3306</v>
      </c>
      <c r="CF194" s="461">
        <v>3820</v>
      </c>
      <c r="CG194" s="461">
        <v>4262</v>
      </c>
      <c r="CH194" s="462">
        <v>4702</v>
      </c>
      <c r="CI194" s="34" t="s">
        <v>725</v>
      </c>
      <c r="CJ194" s="1031">
        <v>2205</v>
      </c>
      <c r="CK194" s="1031">
        <v>2212</v>
      </c>
      <c r="CL194" s="1031">
        <v>2902</v>
      </c>
      <c r="CM194" s="1031">
        <v>3944</v>
      </c>
      <c r="CN194" s="1031">
        <v>4190</v>
      </c>
      <c r="CR194" s="23" t="s">
        <v>686</v>
      </c>
      <c r="CS194" s="320">
        <v>402640</v>
      </c>
      <c r="CT194" s="320">
        <v>464240</v>
      </c>
      <c r="CU194" s="320">
        <v>560000</v>
      </c>
      <c r="CV194" s="320">
        <v>716800</v>
      </c>
      <c r="CW194" s="320">
        <v>798560</v>
      </c>
      <c r="CX194" s="14"/>
      <c r="CY194" s="23" t="s">
        <v>686</v>
      </c>
      <c r="CZ194" s="320">
        <v>402640</v>
      </c>
      <c r="DA194" s="320">
        <v>464240</v>
      </c>
      <c r="DB194" s="320">
        <v>560000</v>
      </c>
      <c r="DC194" s="320">
        <v>716800</v>
      </c>
      <c r="DD194" s="320">
        <v>798560</v>
      </c>
    </row>
    <row r="195" spans="1:108" ht="12.95" customHeight="1">
      <c r="C195" s="21"/>
      <c r="D195" t="s">
        <v>330</v>
      </c>
      <c r="T195" s="1296" t="s">
        <v>543</v>
      </c>
      <c r="U195" s="1296"/>
      <c r="W195" t="s">
        <v>682</v>
      </c>
      <c r="AH195" s="1296">
        <v>44</v>
      </c>
      <c r="AI195" s="1296"/>
      <c r="BC195" t="s">
        <v>1824</v>
      </c>
      <c r="BN195" s="23" t="s">
        <v>241</v>
      </c>
      <c r="BS195">
        <v>6</v>
      </c>
      <c r="BT195" t="s">
        <v>729</v>
      </c>
      <c r="CB195" s="346" t="s">
        <v>726</v>
      </c>
      <c r="CC195" s="460">
        <v>2152</v>
      </c>
      <c r="CD195" s="461">
        <v>2306</v>
      </c>
      <c r="CE195" s="460">
        <v>2766</v>
      </c>
      <c r="CF195" s="461">
        <v>3198</v>
      </c>
      <c r="CG195" s="461">
        <v>3566</v>
      </c>
      <c r="CH195" s="462">
        <v>3936</v>
      </c>
      <c r="CI195" s="34" t="s">
        <v>726</v>
      </c>
      <c r="CJ195" s="1031">
        <v>1692</v>
      </c>
      <c r="CK195" s="1031">
        <v>1777</v>
      </c>
      <c r="CL195" s="1031">
        <v>2201</v>
      </c>
      <c r="CM195" s="1031">
        <v>2912</v>
      </c>
      <c r="CN195" s="1031">
        <v>3514</v>
      </c>
      <c r="CR195" s="23" t="s">
        <v>687</v>
      </c>
      <c r="CS195" s="318">
        <v>381933</v>
      </c>
      <c r="CT195" s="318">
        <v>440365</v>
      </c>
      <c r="CU195" s="318">
        <v>531200</v>
      </c>
      <c r="CV195" s="318">
        <v>679936</v>
      </c>
      <c r="CW195" s="318">
        <v>757491</v>
      </c>
      <c r="CX195" s="14"/>
      <c r="CY195" s="23" t="s">
        <v>687</v>
      </c>
      <c r="CZ195" s="318">
        <v>381933</v>
      </c>
      <c r="DA195" s="318">
        <v>440365</v>
      </c>
      <c r="DB195" s="318">
        <v>531200</v>
      </c>
      <c r="DC195" s="318">
        <v>679936</v>
      </c>
      <c r="DD195" s="318">
        <v>757491</v>
      </c>
    </row>
    <row r="196" spans="1:108" ht="12.95" customHeight="1">
      <c r="C196" s="21"/>
      <c r="D196" t="s">
        <v>385</v>
      </c>
      <c r="T196" s="1335" t="s">
        <v>667</v>
      </c>
      <c r="U196" s="1335"/>
      <c r="W196" t="s">
        <v>683</v>
      </c>
      <c r="AH196" s="1296">
        <v>69</v>
      </c>
      <c r="AI196" s="1296"/>
      <c r="BN196" s="23" t="s">
        <v>242</v>
      </c>
      <c r="BS196">
        <v>4</v>
      </c>
      <c r="BT196" t="s">
        <v>69</v>
      </c>
      <c r="CB196" s="346" t="s">
        <v>727</v>
      </c>
      <c r="CC196" s="460">
        <v>3062</v>
      </c>
      <c r="CD196" s="461">
        <v>3280</v>
      </c>
      <c r="CE196" s="460">
        <v>3936</v>
      </c>
      <c r="CF196" s="461">
        <v>4546</v>
      </c>
      <c r="CG196" s="461">
        <v>5072</v>
      </c>
      <c r="CH196" s="462">
        <v>5596</v>
      </c>
      <c r="CI196" s="34" t="s">
        <v>727</v>
      </c>
      <c r="CJ196" s="1031">
        <v>2288</v>
      </c>
      <c r="CK196" s="1031">
        <v>2459</v>
      </c>
      <c r="CL196" s="1031">
        <v>3001</v>
      </c>
      <c r="CM196" s="1031">
        <v>3998</v>
      </c>
      <c r="CN196" s="1031">
        <v>4845</v>
      </c>
      <c r="CR196" s="23" t="s">
        <v>688</v>
      </c>
      <c r="CS196" s="320">
        <v>392286</v>
      </c>
      <c r="CT196" s="320">
        <v>452302</v>
      </c>
      <c r="CU196" s="320">
        <v>545600</v>
      </c>
      <c r="CV196" s="320">
        <v>698368</v>
      </c>
      <c r="CW196" s="320">
        <v>778026</v>
      </c>
      <c r="CX196" s="14"/>
      <c r="CY196" s="23" t="s">
        <v>688</v>
      </c>
      <c r="CZ196" s="320">
        <v>392286</v>
      </c>
      <c r="DA196" s="320">
        <v>452302</v>
      </c>
      <c r="DB196" s="320">
        <v>545600</v>
      </c>
      <c r="DC196" s="320">
        <v>698368</v>
      </c>
      <c r="DD196" s="320">
        <v>778026</v>
      </c>
    </row>
    <row r="197" spans="1:108" ht="12.95" customHeight="1">
      <c r="C197" s="21"/>
      <c r="D197" s="3" t="s">
        <v>168</v>
      </c>
      <c r="T197" s="1335" t="s">
        <v>667</v>
      </c>
      <c r="U197" s="1335"/>
      <c r="W197" t="s">
        <v>684</v>
      </c>
      <c r="AH197" s="1296">
        <v>33</v>
      </c>
      <c r="AI197" s="1296"/>
      <c r="BC197" t="s">
        <v>306</v>
      </c>
      <c r="BN197" s="23" t="s">
        <v>243</v>
      </c>
      <c r="BS197">
        <v>2</v>
      </c>
      <c r="BT197" t="s">
        <v>70</v>
      </c>
      <c r="CB197" s="346" t="s">
        <v>728</v>
      </c>
      <c r="CC197" s="460">
        <v>3676</v>
      </c>
      <c r="CD197" s="461">
        <v>3940</v>
      </c>
      <c r="CE197" s="460">
        <v>4726</v>
      </c>
      <c r="CF197" s="461">
        <v>5462</v>
      </c>
      <c r="CG197" s="461">
        <v>6094</v>
      </c>
      <c r="CH197" s="462">
        <v>6724</v>
      </c>
      <c r="CI197" s="34" t="s">
        <v>728</v>
      </c>
      <c r="CJ197" s="1031">
        <v>2485</v>
      </c>
      <c r="CK197" s="1031">
        <v>2977</v>
      </c>
      <c r="CL197" s="1031">
        <v>3604</v>
      </c>
      <c r="CM197" s="1031">
        <v>4604</v>
      </c>
      <c r="CN197" s="1031">
        <v>4772</v>
      </c>
      <c r="CR197" s="23" t="s">
        <v>689</v>
      </c>
      <c r="CS197" s="318">
        <v>694266</v>
      </c>
      <c r="CT197" s="318">
        <v>800482</v>
      </c>
      <c r="CU197" s="318">
        <v>965600</v>
      </c>
      <c r="CV197" s="318">
        <v>1235968</v>
      </c>
      <c r="CW197" s="318">
        <v>1376946</v>
      </c>
      <c r="CX197" s="14"/>
      <c r="CY197" s="23" t="s">
        <v>689</v>
      </c>
      <c r="CZ197" s="318">
        <v>694266</v>
      </c>
      <c r="DA197" s="318">
        <v>800482</v>
      </c>
      <c r="DB197" s="318">
        <v>965600</v>
      </c>
      <c r="DC197" s="318">
        <v>1235968</v>
      </c>
      <c r="DD197" s="318">
        <v>1376946</v>
      </c>
    </row>
    <row r="198" spans="1:108" s="14" customFormat="1" ht="12.95" customHeight="1">
      <c r="A198"/>
      <c r="B198"/>
      <c r="C198" s="21"/>
      <c r="D198" s="3" t="s">
        <v>1638</v>
      </c>
      <c r="E198"/>
      <c r="F198"/>
      <c r="G198"/>
      <c r="H198"/>
      <c r="I198"/>
      <c r="J198"/>
      <c r="K198"/>
      <c r="L198"/>
      <c r="M198"/>
      <c r="N198"/>
      <c r="O198"/>
      <c r="P198"/>
      <c r="Q198"/>
      <c r="R198"/>
      <c r="S198"/>
      <c r="T198" s="1335">
        <v>0</v>
      </c>
      <c r="U198" s="1335"/>
      <c r="V198"/>
      <c r="X198" s="1433" t="s">
        <v>2436</v>
      </c>
      <c r="Y198" s="1433"/>
      <c r="Z198" s="1433"/>
      <c r="AA198" s="1433"/>
      <c r="AB198" s="1433"/>
      <c r="AC198" s="1433"/>
      <c r="AD198" s="1433"/>
      <c r="AE198" s="1433"/>
      <c r="AF198" s="1433"/>
      <c r="AG198" s="1433"/>
      <c r="AH198" s="1433"/>
      <c r="AI198" s="1433"/>
      <c r="AJ198" s="1433"/>
      <c r="AK198" s="1433"/>
      <c r="AL198" s="1433"/>
      <c r="AM198" s="1433"/>
      <c r="AN198" s="1433"/>
      <c r="AO198" s="1433"/>
      <c r="AP198" s="1433"/>
      <c r="AQ198" s="1433"/>
      <c r="AR198" s="1433"/>
      <c r="AS198" s="1433"/>
      <c r="AT198" s="1433"/>
      <c r="AU198"/>
      <c r="AV198"/>
      <c r="AW198"/>
      <c r="AX198"/>
      <c r="AY198"/>
      <c r="AZ198" s="30"/>
      <c r="BA198" s="30"/>
      <c r="BC198" s="14" t="s">
        <v>589</v>
      </c>
      <c r="BD198"/>
      <c r="BN198" s="23" t="s">
        <v>695</v>
      </c>
      <c r="BO198"/>
      <c r="BP198"/>
      <c r="BQ198"/>
      <c r="BR198"/>
      <c r="BS198">
        <v>4</v>
      </c>
      <c r="BT198" t="s">
        <v>190</v>
      </c>
      <c r="BU198"/>
      <c r="BV198" s="31"/>
      <c r="CB198" s="346" t="s">
        <v>729</v>
      </c>
      <c r="CC198" s="460">
        <v>1892</v>
      </c>
      <c r="CD198" s="461">
        <v>2026</v>
      </c>
      <c r="CE198" s="460">
        <v>2432</v>
      </c>
      <c r="CF198" s="461">
        <v>2810</v>
      </c>
      <c r="CG198" s="461">
        <v>3134</v>
      </c>
      <c r="CH198" s="462">
        <v>3460</v>
      </c>
      <c r="CI198" s="3" t="s">
        <v>729</v>
      </c>
      <c r="CJ198" s="852">
        <v>1288</v>
      </c>
      <c r="CK198" s="852">
        <v>1395</v>
      </c>
      <c r="CL198" s="852">
        <v>1742</v>
      </c>
      <c r="CM198" s="852">
        <v>2423</v>
      </c>
      <c r="CN198" s="852">
        <v>2922</v>
      </c>
      <c r="CR198" s="23" t="s">
        <v>241</v>
      </c>
      <c r="CS198" s="320">
        <v>323262</v>
      </c>
      <c r="CT198" s="320">
        <v>372718</v>
      </c>
      <c r="CU198" s="320">
        <v>449600</v>
      </c>
      <c r="CV198" s="320">
        <v>575488</v>
      </c>
      <c r="CW198" s="320">
        <v>641130</v>
      </c>
      <c r="CY198" s="23" t="s">
        <v>241</v>
      </c>
      <c r="CZ198" s="320">
        <v>323262</v>
      </c>
      <c r="DA198" s="320">
        <v>372718</v>
      </c>
      <c r="DB198" s="320">
        <v>449600</v>
      </c>
      <c r="DC198" s="320">
        <v>575488</v>
      </c>
      <c r="DD198" s="320">
        <v>641130</v>
      </c>
    </row>
    <row r="199" spans="1:108" s="14" customFormat="1" ht="12.95" customHeight="1">
      <c r="A199"/>
      <c r="B199"/>
      <c r="C199" s="21"/>
      <c r="D199" s="118" t="s">
        <v>2439</v>
      </c>
      <c r="E199"/>
      <c r="F199"/>
      <c r="G199"/>
      <c r="H199"/>
      <c r="I199"/>
      <c r="J199"/>
      <c r="K199"/>
      <c r="L199"/>
      <c r="M199"/>
      <c r="N199"/>
      <c r="O199"/>
      <c r="P199"/>
      <c r="Q199"/>
      <c r="R199"/>
      <c r="S199"/>
      <c r="T199" s="1296" t="s">
        <v>667</v>
      </c>
      <c r="U199" s="1296"/>
      <c r="V199"/>
      <c r="W199"/>
      <c r="X199" s="1433"/>
      <c r="Y199" s="1433"/>
      <c r="Z199" s="1433"/>
      <c r="AA199" s="1433"/>
      <c r="AB199" s="1433"/>
      <c r="AC199" s="1433"/>
      <c r="AD199" s="1433"/>
      <c r="AE199" s="1433"/>
      <c r="AF199" s="1433"/>
      <c r="AG199" s="1433"/>
      <c r="AH199" s="1433"/>
      <c r="AI199" s="1433"/>
      <c r="AJ199" s="1433"/>
      <c r="AK199" s="1433"/>
      <c r="AL199" s="1433"/>
      <c r="AM199" s="1433"/>
      <c r="AN199" s="1433"/>
      <c r="AO199" s="1433"/>
      <c r="AP199" s="1433"/>
      <c r="AQ199" s="1433"/>
      <c r="AR199" s="1433"/>
      <c r="AS199" s="1433"/>
      <c r="AT199" s="1433"/>
      <c r="AU199"/>
      <c r="AV199"/>
      <c r="AW199"/>
      <c r="AX199"/>
      <c r="AY199"/>
      <c r="AZ199" s="30"/>
      <c r="BA199" s="30"/>
      <c r="BC199" t="s">
        <v>873</v>
      </c>
      <c r="BD199"/>
      <c r="BN199" s="23" t="s">
        <v>696</v>
      </c>
      <c r="BO199"/>
      <c r="BP199"/>
      <c r="BQ199"/>
      <c r="BR199"/>
      <c r="BS199">
        <v>2</v>
      </c>
      <c r="BT199" s="32" t="s">
        <v>191</v>
      </c>
      <c r="BU199"/>
      <c r="BV199" s="31"/>
      <c r="CB199" s="346" t="s">
        <v>69</v>
      </c>
      <c r="CC199" s="460">
        <v>2674</v>
      </c>
      <c r="CD199" s="461">
        <v>2866</v>
      </c>
      <c r="CE199" s="460">
        <v>3400</v>
      </c>
      <c r="CF199" s="461">
        <v>3974</v>
      </c>
      <c r="CG199" s="461">
        <v>4434</v>
      </c>
      <c r="CH199" s="462">
        <v>4892</v>
      </c>
      <c r="CI199" s="3" t="s">
        <v>69</v>
      </c>
      <c r="CJ199" s="852">
        <v>1842</v>
      </c>
      <c r="CK199" s="852">
        <v>2036</v>
      </c>
      <c r="CL199" s="852">
        <v>2671</v>
      </c>
      <c r="CM199" s="852">
        <v>3584</v>
      </c>
      <c r="CN199" s="852">
        <v>4105</v>
      </c>
      <c r="CR199" s="23" t="s">
        <v>242</v>
      </c>
      <c r="CS199" s="318">
        <v>442904</v>
      </c>
      <c r="CT199" s="318">
        <v>510664</v>
      </c>
      <c r="CU199" s="318">
        <v>616000</v>
      </c>
      <c r="CV199" s="318">
        <v>788480</v>
      </c>
      <c r="CW199" s="318">
        <v>878416</v>
      </c>
      <c r="CY199" s="23" t="s">
        <v>242</v>
      </c>
      <c r="CZ199" s="318">
        <v>442904</v>
      </c>
      <c r="DA199" s="318">
        <v>510664</v>
      </c>
      <c r="DB199" s="318">
        <v>616000</v>
      </c>
      <c r="DC199" s="318">
        <v>788480</v>
      </c>
      <c r="DD199" s="318">
        <v>878416</v>
      </c>
    </row>
    <row r="200" spans="1:108" s="14" customFormat="1" ht="12.95" customHeight="1">
      <c r="A200"/>
      <c r="B200"/>
      <c r="C200" s="21"/>
      <c r="D200" s="14" t="s">
        <v>2437</v>
      </c>
      <c r="T200" s="1296" t="s">
        <v>667</v>
      </c>
      <c r="U200" s="1296"/>
      <c r="V200"/>
      <c r="W200"/>
      <c r="X200"/>
      <c r="Y200"/>
      <c r="AA200"/>
      <c r="AB200" s="1179" t="s">
        <v>916</v>
      </c>
      <c r="AC200"/>
      <c r="AF200"/>
      <c r="AG200"/>
      <c r="AH200" s="1"/>
      <c r="AJ200"/>
      <c r="AK200"/>
      <c r="AL200"/>
      <c r="AM200"/>
      <c r="AN200"/>
      <c r="AO200"/>
      <c r="AP200"/>
      <c r="AQ200"/>
      <c r="AR200"/>
      <c r="AS200"/>
      <c r="AU200"/>
      <c r="AV200"/>
      <c r="AW200"/>
      <c r="AX200"/>
      <c r="AY200"/>
      <c r="AZ200" s="30"/>
      <c r="BA200" s="30"/>
      <c r="BC200" s="3" t="s">
        <v>872</v>
      </c>
      <c r="BD200" s="432"/>
      <c r="BN200" s="23" t="s">
        <v>697</v>
      </c>
      <c r="BO200"/>
      <c r="BP200"/>
      <c r="BQ200"/>
      <c r="BR200"/>
      <c r="BS200">
        <v>2</v>
      </c>
      <c r="BT200" s="32" t="s">
        <v>192</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243</v>
      </c>
      <c r="CS200" s="319">
        <v>532060</v>
      </c>
      <c r="CT200" s="319">
        <v>613460</v>
      </c>
      <c r="CU200" s="320">
        <v>740000</v>
      </c>
      <c r="CV200" s="319">
        <v>947200</v>
      </c>
      <c r="CW200" s="319">
        <v>1055240</v>
      </c>
      <c r="CY200" s="23" t="s">
        <v>243</v>
      </c>
      <c r="CZ200" s="319">
        <v>532060</v>
      </c>
      <c r="DA200" s="319">
        <v>613460</v>
      </c>
      <c r="DB200" s="319">
        <v>740000</v>
      </c>
      <c r="DC200" s="319">
        <v>947200</v>
      </c>
      <c r="DD200" s="319">
        <v>1055240</v>
      </c>
    </row>
    <row r="201" spans="1:108" s="14" customFormat="1" ht="12.95" customHeight="1">
      <c r="A201"/>
      <c r="B201"/>
      <c r="C201" s="21"/>
      <c r="E201" s="3" t="s">
        <v>2438</v>
      </c>
      <c r="V201"/>
      <c r="X201"/>
      <c r="Y201"/>
      <c r="Z201"/>
      <c r="AB201" s="1179" t="s">
        <v>917</v>
      </c>
      <c r="AC201"/>
      <c r="AH201" s="1"/>
      <c r="AJ201"/>
      <c r="AK201"/>
      <c r="AL201"/>
      <c r="AM201"/>
      <c r="AN201"/>
      <c r="AO201"/>
      <c r="AP201"/>
      <c r="AQ201"/>
      <c r="AR201"/>
      <c r="AS201"/>
      <c r="AU201"/>
      <c r="AV201"/>
      <c r="AW201"/>
      <c r="AX201"/>
      <c r="AY201"/>
      <c r="AZ201" s="30"/>
      <c r="BA201" s="30"/>
      <c r="BC201" s="3" t="s">
        <v>1059</v>
      </c>
      <c r="BD201" s="432"/>
      <c r="BN201" s="23" t="s">
        <v>698</v>
      </c>
      <c r="BO201" s="31"/>
      <c r="BP201" s="32"/>
      <c r="BQ201" s="32"/>
      <c r="BR201" s="32"/>
      <c r="BS201">
        <v>6</v>
      </c>
      <c r="BT201" s="32" t="s">
        <v>193</v>
      </c>
      <c r="BU201"/>
      <c r="CB201" s="346" t="s">
        <v>190</v>
      </c>
      <c r="CC201" s="460">
        <v>3186</v>
      </c>
      <c r="CD201" s="461">
        <v>3414</v>
      </c>
      <c r="CE201" s="460">
        <v>4096</v>
      </c>
      <c r="CF201" s="461">
        <v>4734</v>
      </c>
      <c r="CG201" s="461">
        <v>5282</v>
      </c>
      <c r="CH201" s="462">
        <v>5828</v>
      </c>
      <c r="CI201" s="3" t="s">
        <v>190</v>
      </c>
      <c r="CJ201" s="852">
        <v>2459</v>
      </c>
      <c r="CK201" s="852">
        <v>2746</v>
      </c>
      <c r="CL201" s="852">
        <v>3124</v>
      </c>
      <c r="CM201" s="852">
        <v>4075</v>
      </c>
      <c r="CN201" s="852">
        <v>4647</v>
      </c>
      <c r="CR201" s="23" t="s">
        <v>695</v>
      </c>
      <c r="CS201" s="318">
        <v>442904</v>
      </c>
      <c r="CT201" s="318">
        <v>510664</v>
      </c>
      <c r="CU201" s="318">
        <v>616000</v>
      </c>
      <c r="CV201" s="318">
        <v>788480</v>
      </c>
      <c r="CW201" s="318">
        <v>878416</v>
      </c>
      <c r="CY201" s="23" t="s">
        <v>695</v>
      </c>
      <c r="CZ201" s="318">
        <v>442904</v>
      </c>
      <c r="DA201" s="318">
        <v>510664</v>
      </c>
      <c r="DB201" s="318">
        <v>616000</v>
      </c>
      <c r="DC201" s="318">
        <v>788480</v>
      </c>
      <c r="DD201" s="318">
        <v>878416</v>
      </c>
    </row>
    <row r="202" spans="1:108" ht="12.95" customHeight="1">
      <c r="C202" s="21"/>
      <c r="AE202" s="8"/>
      <c r="BC202" t="s">
        <v>609</v>
      </c>
      <c r="BD202" s="432"/>
      <c r="BN202" s="23" t="s">
        <v>699</v>
      </c>
      <c r="BO202" s="14"/>
      <c r="BP202" s="32"/>
      <c r="BQ202" s="32"/>
      <c r="BR202" s="32"/>
      <c r="BS202">
        <v>7</v>
      </c>
      <c r="BT202" s="32" t="s">
        <v>194</v>
      </c>
      <c r="CB202" s="346" t="s">
        <v>191</v>
      </c>
      <c r="CC202" s="460">
        <v>3596</v>
      </c>
      <c r="CD202" s="461">
        <v>3852</v>
      </c>
      <c r="CE202" s="460">
        <v>4624</v>
      </c>
      <c r="CF202" s="461">
        <v>5342</v>
      </c>
      <c r="CG202" s="461">
        <v>5960</v>
      </c>
      <c r="CH202" s="462">
        <v>6576</v>
      </c>
      <c r="CI202" s="3" t="s">
        <v>191</v>
      </c>
      <c r="CJ202" s="852">
        <v>2621</v>
      </c>
      <c r="CK202" s="852">
        <v>2982</v>
      </c>
      <c r="CL202" s="852">
        <v>3483</v>
      </c>
      <c r="CM202" s="852">
        <v>4602</v>
      </c>
      <c r="CN202" s="852">
        <v>5010</v>
      </c>
      <c r="CR202" s="23" t="s">
        <v>696</v>
      </c>
      <c r="CS202" s="319">
        <v>532060</v>
      </c>
      <c r="CT202" s="319">
        <v>613460</v>
      </c>
      <c r="CU202" s="319">
        <v>740000</v>
      </c>
      <c r="CV202" s="319">
        <v>947200</v>
      </c>
      <c r="CW202" s="319">
        <v>1055240</v>
      </c>
      <c r="CX202" s="14"/>
      <c r="CY202" s="23" t="s">
        <v>696</v>
      </c>
      <c r="CZ202" s="319">
        <v>532060</v>
      </c>
      <c r="DA202" s="319">
        <v>613460</v>
      </c>
      <c r="DB202" s="319">
        <v>740000</v>
      </c>
      <c r="DC202" s="319">
        <v>947200</v>
      </c>
      <c r="DD202" s="319">
        <v>1055240</v>
      </c>
    </row>
    <row r="203" spans="1:108" ht="12.95" customHeight="1">
      <c r="A203" s="2" t="s">
        <v>584</v>
      </c>
      <c r="C203" s="2" t="s">
        <v>136</v>
      </c>
      <c r="BC203" t="s">
        <v>1060</v>
      </c>
      <c r="BN203" s="23" t="s">
        <v>700</v>
      </c>
      <c r="BO203" s="14"/>
      <c r="BP203" s="32"/>
      <c r="BQ203" s="32"/>
      <c r="BR203" s="32"/>
      <c r="BS203">
        <v>7</v>
      </c>
      <c r="BT203" s="32" t="s">
        <v>195</v>
      </c>
      <c r="CB203" s="346" t="s">
        <v>192</v>
      </c>
      <c r="CC203" s="460">
        <v>3806</v>
      </c>
      <c r="CD203" s="461">
        <v>4078</v>
      </c>
      <c r="CE203" s="460">
        <v>4894</v>
      </c>
      <c r="CF203" s="461">
        <v>5654</v>
      </c>
      <c r="CG203" s="461">
        <v>6306</v>
      </c>
      <c r="CH203" s="462">
        <v>6960</v>
      </c>
      <c r="CI203" s="3" t="s">
        <v>192</v>
      </c>
      <c r="CJ203" s="852">
        <v>3179</v>
      </c>
      <c r="CK203" s="852">
        <v>3298</v>
      </c>
      <c r="CL203" s="852">
        <v>4214</v>
      </c>
      <c r="CM203" s="852">
        <v>5377</v>
      </c>
      <c r="CN203" s="852">
        <v>5659</v>
      </c>
      <c r="CR203" s="23" t="s">
        <v>697</v>
      </c>
      <c r="CS203" s="318">
        <v>442904</v>
      </c>
      <c r="CT203" s="318">
        <v>510664</v>
      </c>
      <c r="CU203" s="318">
        <v>616000</v>
      </c>
      <c r="CV203" s="318">
        <v>788480</v>
      </c>
      <c r="CW203" s="318">
        <v>878416</v>
      </c>
      <c r="CX203" s="14"/>
      <c r="CY203" s="23" t="s">
        <v>697</v>
      </c>
      <c r="CZ203" s="318">
        <v>442904</v>
      </c>
      <c r="DA203" s="318">
        <v>510664</v>
      </c>
      <c r="DB203" s="318">
        <v>616000</v>
      </c>
      <c r="DC203" s="318">
        <v>788480</v>
      </c>
      <c r="DD203" s="318">
        <v>878416</v>
      </c>
    </row>
    <row r="204" spans="1:108" ht="12.95" customHeight="1">
      <c r="D204" s="1428" t="s">
        <v>384</v>
      </c>
      <c r="E204" s="1428"/>
      <c r="F204" s="1428"/>
      <c r="G204" s="1428"/>
      <c r="H204" s="1428"/>
      <c r="I204" s="1428"/>
      <c r="J204" s="1428"/>
      <c r="K204" s="1428"/>
      <c r="L204" s="1428"/>
      <c r="M204" s="1428"/>
      <c r="P204" s="1771">
        <f>M26</f>
        <v>3828559</v>
      </c>
      <c r="Q204" s="1751"/>
      <c r="R204" s="1751"/>
      <c r="S204" s="1751"/>
      <c r="T204" s="1751"/>
      <c r="U204" s="1751"/>
      <c r="BC204" t="s">
        <v>1061</v>
      </c>
      <c r="BN204" s="23" t="s">
        <v>701</v>
      </c>
      <c r="BS204">
        <v>6</v>
      </c>
      <c r="BT204" s="32" t="s">
        <v>196</v>
      </c>
      <c r="BU204" s="14"/>
      <c r="CB204" s="346" t="s">
        <v>193</v>
      </c>
      <c r="CC204" s="460">
        <v>1700</v>
      </c>
      <c r="CD204" s="461">
        <v>1820</v>
      </c>
      <c r="CE204" s="460">
        <v>2184</v>
      </c>
      <c r="CF204" s="461">
        <v>2524</v>
      </c>
      <c r="CG204" s="461">
        <v>2816</v>
      </c>
      <c r="CH204" s="462">
        <v>3108</v>
      </c>
      <c r="CI204" s="3" t="s">
        <v>193</v>
      </c>
      <c r="CJ204" s="852">
        <v>1172</v>
      </c>
      <c r="CK204" s="852">
        <v>1212</v>
      </c>
      <c r="CL204" s="852">
        <v>1590</v>
      </c>
      <c r="CM204" s="852">
        <v>2211</v>
      </c>
      <c r="CN204" s="852">
        <v>2667</v>
      </c>
      <c r="CR204" s="23" t="s">
        <v>698</v>
      </c>
      <c r="CS204" s="320">
        <v>369278</v>
      </c>
      <c r="CT204" s="320">
        <v>425774</v>
      </c>
      <c r="CU204" s="320">
        <v>513600</v>
      </c>
      <c r="CV204" s="320">
        <v>657408</v>
      </c>
      <c r="CW204" s="320">
        <v>732394</v>
      </c>
      <c r="CX204" s="14"/>
      <c r="CY204" s="23" t="s">
        <v>698</v>
      </c>
      <c r="CZ204" s="320">
        <v>369278</v>
      </c>
      <c r="DA204" s="320">
        <v>425774</v>
      </c>
      <c r="DB204" s="320">
        <v>513600</v>
      </c>
      <c r="DC204" s="320">
        <v>657408</v>
      </c>
      <c r="DD204" s="320">
        <v>732394</v>
      </c>
    </row>
    <row r="205" spans="1:108" ht="12.95" customHeight="1">
      <c r="C205" s="21"/>
      <c r="D205" s="1777" t="s">
        <v>1244</v>
      </c>
      <c r="E205" s="1428"/>
      <c r="F205" s="1428"/>
      <c r="G205" s="1428"/>
      <c r="H205" s="1428"/>
      <c r="I205" s="1428"/>
      <c r="J205" s="1428"/>
      <c r="K205" s="1428"/>
      <c r="L205" s="1428"/>
      <c r="M205" s="1428"/>
      <c r="P205" s="1751">
        <f>M27</f>
        <v>0</v>
      </c>
      <c r="Q205" s="1751"/>
      <c r="R205" s="1751"/>
      <c r="S205" s="1751"/>
      <c r="T205" s="1751"/>
      <c r="U205" s="1751"/>
      <c r="V205" s="28"/>
      <c r="W205" s="3" t="s">
        <v>1706</v>
      </c>
      <c r="Z205" s="1775" t="s">
        <v>1181</v>
      </c>
      <c r="AA205" s="1775"/>
      <c r="AB205" s="1775"/>
      <c r="AC205" s="1775"/>
      <c r="AD205" s="1775"/>
      <c r="AE205" s="1775"/>
      <c r="AF205" s="1775"/>
      <c r="AG205" s="1775"/>
      <c r="AH205" s="1775"/>
      <c r="AI205" s="1775"/>
      <c r="AJ205" s="1775"/>
      <c r="AK205" s="1775"/>
      <c r="AL205" s="1775"/>
      <c r="AM205" s="1775"/>
      <c r="AN205" s="1775"/>
      <c r="AP205" s="1299"/>
      <c r="AQ205" s="1299"/>
      <c r="BC205" t="s">
        <v>608</v>
      </c>
      <c r="BN205" s="23" t="s">
        <v>109</v>
      </c>
      <c r="BS205">
        <v>4</v>
      </c>
      <c r="BT205" s="32" t="s">
        <v>173</v>
      </c>
      <c r="BU205" s="14"/>
      <c r="CB205" s="346" t="s">
        <v>194</v>
      </c>
      <c r="CC205" s="460">
        <v>1700</v>
      </c>
      <c r="CD205" s="461">
        <v>1820</v>
      </c>
      <c r="CE205" s="460">
        <v>2184</v>
      </c>
      <c r="CF205" s="461">
        <v>2524</v>
      </c>
      <c r="CG205" s="461">
        <v>2816</v>
      </c>
      <c r="CH205" s="462">
        <v>3108</v>
      </c>
      <c r="CI205" s="3" t="s">
        <v>194</v>
      </c>
      <c r="CJ205" s="852">
        <v>1068</v>
      </c>
      <c r="CK205" s="852">
        <v>1165</v>
      </c>
      <c r="CL205" s="852">
        <v>1529</v>
      </c>
      <c r="CM205" s="852">
        <v>2126</v>
      </c>
      <c r="CN205" s="852">
        <v>2527</v>
      </c>
      <c r="CR205" s="23" t="s">
        <v>699</v>
      </c>
      <c r="CS205" s="318">
        <v>402640</v>
      </c>
      <c r="CT205" s="318">
        <v>464240</v>
      </c>
      <c r="CU205" s="318">
        <v>560000</v>
      </c>
      <c r="CV205" s="318">
        <v>716800</v>
      </c>
      <c r="CW205" s="318">
        <v>798560</v>
      </c>
      <c r="CX205" s="14"/>
      <c r="CY205" s="23" t="s">
        <v>699</v>
      </c>
      <c r="CZ205" s="318">
        <v>402640</v>
      </c>
      <c r="DA205" s="318">
        <v>464240</v>
      </c>
      <c r="DB205" s="318">
        <v>560000</v>
      </c>
      <c r="DC205" s="318">
        <v>716800</v>
      </c>
      <c r="DD205" s="318">
        <v>798560</v>
      </c>
    </row>
    <row r="206" spans="1:108" ht="12.95" customHeight="1">
      <c r="D206" s="29"/>
      <c r="E206" s="29"/>
      <c r="F206" s="29"/>
      <c r="G206" s="29"/>
      <c r="H206" s="29"/>
      <c r="I206" s="29"/>
      <c r="J206" s="29"/>
      <c r="K206" s="29"/>
      <c r="L206" s="29"/>
      <c r="M206" s="29"/>
      <c r="N206" s="29"/>
      <c r="O206" s="29"/>
      <c r="P206" s="29"/>
      <c r="BC206" t="s">
        <v>1024</v>
      </c>
      <c r="BN206" s="23" t="s">
        <v>110</v>
      </c>
      <c r="BS206">
        <v>5</v>
      </c>
      <c r="BT206" s="32" t="s">
        <v>197</v>
      </c>
      <c r="BU206" s="14"/>
      <c r="CB206" s="346" t="s">
        <v>195</v>
      </c>
      <c r="CC206" s="460">
        <v>1700</v>
      </c>
      <c r="CD206" s="461">
        <v>1820</v>
      </c>
      <c r="CE206" s="460">
        <v>2184</v>
      </c>
      <c r="CF206" s="461">
        <v>2524</v>
      </c>
      <c r="CG206" s="461">
        <v>2816</v>
      </c>
      <c r="CH206" s="462">
        <v>3108</v>
      </c>
      <c r="CI206" s="3" t="s">
        <v>195</v>
      </c>
      <c r="CJ206" s="852">
        <v>962</v>
      </c>
      <c r="CK206" s="852">
        <v>969</v>
      </c>
      <c r="CL206" s="852">
        <v>1249</v>
      </c>
      <c r="CM206" s="852">
        <v>1737</v>
      </c>
      <c r="CN206" s="852">
        <v>1915</v>
      </c>
      <c r="CR206" s="23" t="s">
        <v>700</v>
      </c>
      <c r="CS206" s="320">
        <v>402640</v>
      </c>
      <c r="CT206" s="320">
        <v>464240</v>
      </c>
      <c r="CU206" s="320">
        <v>560000</v>
      </c>
      <c r="CV206" s="320">
        <v>716800</v>
      </c>
      <c r="CW206" s="320">
        <v>798560</v>
      </c>
      <c r="CX206" s="14"/>
      <c r="CY206" s="23" t="s">
        <v>700</v>
      </c>
      <c r="CZ206" s="320">
        <v>402640</v>
      </c>
      <c r="DA206" s="320">
        <v>464240</v>
      </c>
      <c r="DB206" s="320">
        <v>560000</v>
      </c>
      <c r="DC206" s="320">
        <v>716800</v>
      </c>
      <c r="DD206" s="320">
        <v>798560</v>
      </c>
    </row>
    <row r="207" spans="1:108" ht="12.95" customHeight="1">
      <c r="A207" s="2" t="s">
        <v>587</v>
      </c>
      <c r="C207" s="2" t="s">
        <v>549</v>
      </c>
      <c r="BC207" s="433" t="s">
        <v>1062</v>
      </c>
      <c r="BN207" s="23" t="s">
        <v>45</v>
      </c>
      <c r="BS207">
        <v>6</v>
      </c>
      <c r="BT207" s="32" t="s">
        <v>198</v>
      </c>
      <c r="CB207" s="346" t="s">
        <v>196</v>
      </c>
      <c r="CC207" s="460">
        <v>2286</v>
      </c>
      <c r="CD207" s="461">
        <v>2450</v>
      </c>
      <c r="CE207" s="460">
        <v>2940</v>
      </c>
      <c r="CF207" s="461">
        <v>3396</v>
      </c>
      <c r="CG207" s="461">
        <v>3786</v>
      </c>
      <c r="CH207" s="462">
        <v>4180</v>
      </c>
      <c r="CI207" s="3" t="s">
        <v>196</v>
      </c>
      <c r="CJ207" s="852">
        <v>1567</v>
      </c>
      <c r="CK207" s="852">
        <v>1705</v>
      </c>
      <c r="CL207" s="852">
        <v>2178</v>
      </c>
      <c r="CM207" s="852">
        <v>2911</v>
      </c>
      <c r="CN207" s="852">
        <v>3297</v>
      </c>
      <c r="CR207" s="23" t="s">
        <v>701</v>
      </c>
      <c r="CS207" s="318">
        <v>406666</v>
      </c>
      <c r="CT207" s="318">
        <v>468882</v>
      </c>
      <c r="CU207" s="318">
        <v>565600</v>
      </c>
      <c r="CV207" s="318">
        <v>723968</v>
      </c>
      <c r="CW207" s="318">
        <v>806546</v>
      </c>
      <c r="CX207" s="14"/>
      <c r="CY207" s="23" t="s">
        <v>701</v>
      </c>
      <c r="CZ207" s="318">
        <v>406666</v>
      </c>
      <c r="DA207" s="318">
        <v>468882</v>
      </c>
      <c r="DB207" s="318">
        <v>565600</v>
      </c>
      <c r="DC207" s="318">
        <v>723968</v>
      </c>
      <c r="DD207" s="318">
        <v>806546</v>
      </c>
    </row>
    <row r="208" spans="1:108" ht="12.95" customHeight="1">
      <c r="C208" s="21"/>
      <c r="D208" s="1437" t="s">
        <v>2720</v>
      </c>
      <c r="E208" s="1437"/>
      <c r="F208" s="1437"/>
      <c r="G208" s="1437"/>
      <c r="H208" s="1437"/>
      <c r="I208" s="1437"/>
      <c r="J208" s="1437"/>
      <c r="K208" s="1437"/>
      <c r="L208" s="1437"/>
      <c r="M208" s="1437"/>
      <c r="BC208" s="3" t="s">
        <v>2153</v>
      </c>
      <c r="BN208" s="23" t="s">
        <v>46</v>
      </c>
      <c r="BS208">
        <v>7</v>
      </c>
      <c r="BT208" s="32" t="s">
        <v>199</v>
      </c>
      <c r="CB208" s="346" t="s">
        <v>173</v>
      </c>
      <c r="CC208" s="460">
        <v>2884</v>
      </c>
      <c r="CD208" s="461">
        <v>3090</v>
      </c>
      <c r="CE208" s="460">
        <v>3710</v>
      </c>
      <c r="CF208" s="461">
        <v>4284</v>
      </c>
      <c r="CG208" s="461">
        <v>4780</v>
      </c>
      <c r="CH208" s="462">
        <v>5274</v>
      </c>
      <c r="CI208" s="3" t="s">
        <v>173</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2.95" customHeight="1">
      <c r="BC209" t="s">
        <v>1063</v>
      </c>
      <c r="BN209" s="23" t="s">
        <v>47</v>
      </c>
      <c r="BS209">
        <v>7</v>
      </c>
      <c r="BT209" s="32" t="s">
        <v>200</v>
      </c>
      <c r="CB209" s="346" t="s">
        <v>197</v>
      </c>
      <c r="CC209" s="460">
        <v>1794</v>
      </c>
      <c r="CD209" s="461">
        <v>1922</v>
      </c>
      <c r="CE209" s="460">
        <v>2306</v>
      </c>
      <c r="CF209" s="461">
        <v>2664</v>
      </c>
      <c r="CG209" s="461">
        <v>2972</v>
      </c>
      <c r="CH209" s="462">
        <v>3280</v>
      </c>
      <c r="CI209" s="3" t="s">
        <v>197</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2.95" customHeight="1">
      <c r="A210" s="2" t="s">
        <v>588</v>
      </c>
      <c r="C210" s="2" t="s">
        <v>387</v>
      </c>
      <c r="BC210" t="s">
        <v>657</v>
      </c>
      <c r="BN210" s="23" t="s">
        <v>48</v>
      </c>
      <c r="BS210">
        <v>5</v>
      </c>
      <c r="BT210" s="32" t="s">
        <v>201</v>
      </c>
      <c r="CB210" s="346" t="s">
        <v>198</v>
      </c>
      <c r="CC210" s="460">
        <v>1784</v>
      </c>
      <c r="CD210" s="461">
        <v>1912</v>
      </c>
      <c r="CE210" s="460">
        <v>2294</v>
      </c>
      <c r="CF210" s="461">
        <v>2650</v>
      </c>
      <c r="CG210" s="461">
        <v>2956</v>
      </c>
      <c r="CH210" s="462">
        <v>3262</v>
      </c>
      <c r="CI210" s="3" t="s">
        <v>198</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2.95" customHeight="1">
      <c r="C211" s="21"/>
      <c r="D211" s="1437" t="s">
        <v>1039</v>
      </c>
      <c r="E211" s="1437"/>
      <c r="F211" s="1437"/>
      <c r="G211" s="1437"/>
      <c r="H211" s="1437"/>
      <c r="I211" s="1437"/>
      <c r="J211" s="1437"/>
      <c r="K211" s="1437"/>
      <c r="L211" s="1437"/>
      <c r="M211" s="1437"/>
      <c r="BN211" s="23" t="s">
        <v>129</v>
      </c>
      <c r="BS211">
        <v>7</v>
      </c>
      <c r="BT211" s="32" t="s">
        <v>130</v>
      </c>
      <c r="CB211" s="346" t="s">
        <v>199</v>
      </c>
      <c r="CC211" s="460">
        <v>1700</v>
      </c>
      <c r="CD211" s="461">
        <v>1820</v>
      </c>
      <c r="CE211" s="460">
        <v>2184</v>
      </c>
      <c r="CF211" s="461">
        <v>2524</v>
      </c>
      <c r="CG211" s="461">
        <v>2816</v>
      </c>
      <c r="CH211" s="462">
        <v>3108</v>
      </c>
      <c r="CI211" s="3" t="s">
        <v>199</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2.95" customHeight="1">
      <c r="C212" s="21"/>
      <c r="D212" s="3" t="s">
        <v>2177</v>
      </c>
      <c r="Q212" s="1296">
        <v>0</v>
      </c>
      <c r="R212" s="1296"/>
      <c r="T212" s="1766">
        <f>IFERROR(Q212/AG449,0)</f>
        <v>0</v>
      </c>
      <c r="U212" s="1767"/>
      <c r="BC212" t="s">
        <v>306</v>
      </c>
      <c r="BI212" t="s">
        <v>1181</v>
      </c>
      <c r="BN212" s="23" t="s">
        <v>49</v>
      </c>
      <c r="BS212">
        <v>4</v>
      </c>
      <c r="BT212" s="32" t="s">
        <v>202</v>
      </c>
      <c r="CB212" s="346" t="s">
        <v>200</v>
      </c>
      <c r="CC212" s="460">
        <v>1700</v>
      </c>
      <c r="CD212" s="461">
        <v>1820</v>
      </c>
      <c r="CE212" s="460">
        <v>2184</v>
      </c>
      <c r="CF212" s="461">
        <v>2524</v>
      </c>
      <c r="CG212" s="461">
        <v>2816</v>
      </c>
      <c r="CH212" s="462">
        <v>3108</v>
      </c>
      <c r="CI212" s="3" t="s">
        <v>200</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2.95" customHeight="1">
      <c r="D213" s="1134" t="s">
        <v>2396</v>
      </c>
      <c r="BC213" t="s">
        <v>524</v>
      </c>
      <c r="BI213" s="3" t="s">
        <v>2174</v>
      </c>
      <c r="BN213" s="23" t="s">
        <v>50</v>
      </c>
      <c r="BS213">
        <v>6</v>
      </c>
      <c r="BT213" s="32" t="s">
        <v>203</v>
      </c>
      <c r="CB213" s="346" t="s">
        <v>201</v>
      </c>
      <c r="CC213" s="460">
        <v>1700</v>
      </c>
      <c r="CD213" s="461">
        <v>1820</v>
      </c>
      <c r="CE213" s="460">
        <v>2184</v>
      </c>
      <c r="CF213" s="461">
        <v>2524</v>
      </c>
      <c r="CG213" s="461">
        <v>2816</v>
      </c>
      <c r="CH213" s="462">
        <v>3108</v>
      </c>
      <c r="CI213" s="3" t="s">
        <v>201</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2.95" customHeight="1">
      <c r="D214" s="1768" t="s">
        <v>589</v>
      </c>
      <c r="E214" s="1768"/>
      <c r="F214" s="1768"/>
      <c r="G214" s="1768"/>
      <c r="H214" s="1768"/>
      <c r="I214" s="1768"/>
      <c r="J214" s="1768"/>
      <c r="K214" s="1768"/>
      <c r="L214" s="1768"/>
      <c r="M214" s="1768"/>
      <c r="N214" s="1768"/>
      <c r="O214" s="1768"/>
      <c r="P214" s="1768"/>
      <c r="Q214" s="1768"/>
      <c r="R214" s="1768"/>
      <c r="S214" s="1768"/>
      <c r="T214" s="1768"/>
      <c r="U214" s="1768"/>
      <c r="V214" s="1768"/>
      <c r="W214" s="1768"/>
      <c r="X214" s="1768"/>
      <c r="Y214" s="1768"/>
      <c r="Z214" s="1768"/>
      <c r="AU214" s="21"/>
      <c r="AV214" s="21"/>
      <c r="AW214" s="21"/>
      <c r="AX214" s="21"/>
      <c r="AY214" s="21"/>
      <c r="BC214" t="s">
        <v>528</v>
      </c>
      <c r="BI214" s="3" t="s">
        <v>2167</v>
      </c>
      <c r="BN214" s="23" t="s">
        <v>325</v>
      </c>
      <c r="BS214">
        <v>6</v>
      </c>
      <c r="BT214" s="32" t="s">
        <v>204</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2.95" customHeight="1">
      <c r="D215" s="3" t="s">
        <v>1639</v>
      </c>
      <c r="Z215" s="40"/>
      <c r="AB215" s="1491"/>
      <c r="AC215" s="1491"/>
      <c r="AD215" s="1491"/>
      <c r="AE215" s="1491"/>
      <c r="AF215" s="1491"/>
      <c r="AG215" s="1491"/>
      <c r="AH215" s="1491"/>
      <c r="AI215" s="1491"/>
      <c r="AJ215" s="1491"/>
      <c r="AK215" s="1491"/>
      <c r="AL215" s="1491"/>
      <c r="AM215" s="21"/>
      <c r="AN215" s="21"/>
      <c r="AO215" s="21"/>
      <c r="AP215" s="21"/>
      <c r="AQ215" s="21"/>
      <c r="AR215" s="21"/>
      <c r="AS215" s="21"/>
      <c r="AT215" s="21"/>
      <c r="AU215" s="21"/>
      <c r="AV215" s="21"/>
      <c r="AW215" s="21"/>
      <c r="AX215" s="21"/>
      <c r="AY215" s="21"/>
      <c r="BC215" t="s">
        <v>525</v>
      </c>
      <c r="BI215" s="3" t="s">
        <v>2168</v>
      </c>
      <c r="CB215" s="346" t="s">
        <v>202</v>
      </c>
      <c r="CC215" s="463">
        <v>2746</v>
      </c>
      <c r="CD215" s="464">
        <v>2942</v>
      </c>
      <c r="CE215" s="463">
        <v>3532</v>
      </c>
      <c r="CF215" s="464">
        <v>4082</v>
      </c>
      <c r="CG215" s="464">
        <v>4554</v>
      </c>
      <c r="CH215" s="465">
        <v>5024</v>
      </c>
      <c r="CI215" s="3" t="s">
        <v>202</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2.95" customHeight="1">
      <c r="D216" s="3" t="s">
        <v>1637</v>
      </c>
      <c r="Z216" s="40"/>
      <c r="AB216" s="1491"/>
      <c r="AC216" s="1491"/>
      <c r="AD216" s="1491"/>
      <c r="AE216" s="1491"/>
      <c r="AF216" s="1491"/>
      <c r="AG216" s="1491"/>
      <c r="AH216" s="1491"/>
      <c r="AI216" s="1491"/>
      <c r="AJ216" s="1491"/>
      <c r="AK216" s="1491"/>
      <c r="AL216" s="1491"/>
      <c r="AM216" s="21"/>
      <c r="AN216" s="21"/>
      <c r="AO216" s="21"/>
      <c r="AP216" s="21"/>
      <c r="AQ216" s="21"/>
      <c r="AR216" s="21"/>
      <c r="AS216" s="21"/>
      <c r="AT216" s="21"/>
      <c r="AU216" s="21"/>
      <c r="AV216" s="21"/>
      <c r="AW216" s="21"/>
      <c r="AX216" s="21"/>
      <c r="AY216" s="21"/>
      <c r="BC216" t="s">
        <v>564</v>
      </c>
      <c r="BI216" t="s">
        <v>2166</v>
      </c>
      <c r="CB216" s="346" t="s">
        <v>203</v>
      </c>
      <c r="CC216" s="466">
        <v>2270</v>
      </c>
      <c r="CD216" s="467">
        <v>2430</v>
      </c>
      <c r="CE216" s="466">
        <v>2916</v>
      </c>
      <c r="CF216" s="467">
        <v>3370</v>
      </c>
      <c r="CG216" s="467">
        <v>3760</v>
      </c>
      <c r="CH216" s="468">
        <v>4148</v>
      </c>
      <c r="CI216" s="3" t="s">
        <v>203</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2.95"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526</v>
      </c>
      <c r="BI217" t="s">
        <v>2170</v>
      </c>
      <c r="CB217" s="346" t="s">
        <v>204</v>
      </c>
      <c r="CC217" s="469">
        <v>1784</v>
      </c>
      <c r="CD217" s="470">
        <v>1912</v>
      </c>
      <c r="CE217" s="469">
        <v>2294</v>
      </c>
      <c r="CF217" s="470">
        <v>2650</v>
      </c>
      <c r="CG217" s="470">
        <v>2956</v>
      </c>
      <c r="CH217" s="471">
        <v>3262</v>
      </c>
      <c r="CI217" s="3" t="s">
        <v>204</v>
      </c>
      <c r="CJ217" s="852">
        <v>1166</v>
      </c>
      <c r="CK217" s="852">
        <v>1272</v>
      </c>
      <c r="CL217" s="852">
        <v>1550</v>
      </c>
      <c r="CM217" s="852">
        <v>2156</v>
      </c>
      <c r="CN217" s="852">
        <v>2600</v>
      </c>
      <c r="CR217" s="23" t="s">
        <v>325</v>
      </c>
      <c r="CS217" s="318">
        <v>360075</v>
      </c>
      <c r="CT217" s="318">
        <v>415163</v>
      </c>
      <c r="CU217" s="318">
        <v>500800</v>
      </c>
      <c r="CV217" s="318">
        <v>641024</v>
      </c>
      <c r="CW217" s="318">
        <v>714141</v>
      </c>
      <c r="CX217" s="14"/>
      <c r="CY217" s="23" t="s">
        <v>325</v>
      </c>
      <c r="CZ217" s="318">
        <v>360075</v>
      </c>
      <c r="DA217" s="318">
        <v>415163</v>
      </c>
      <c r="DB217" s="318">
        <v>500800</v>
      </c>
      <c r="DC217" s="318">
        <v>641024</v>
      </c>
      <c r="DD217" s="318">
        <v>714141</v>
      </c>
    </row>
    <row r="218" spans="1:108" ht="12.95" customHeight="1">
      <c r="A218" s="2" t="s">
        <v>590</v>
      </c>
      <c r="C218" s="2" t="s">
        <v>2180</v>
      </c>
      <c r="D218" s="28"/>
      <c r="AC218" s="2" t="s">
        <v>2385</v>
      </c>
      <c r="BC218" t="s">
        <v>527</v>
      </c>
    </row>
    <row r="219" spans="1:108" ht="12.95" customHeight="1">
      <c r="A219" s="2"/>
      <c r="C219" s="2"/>
      <c r="D219" s="3" t="s">
        <v>2386</v>
      </c>
      <c r="AZ219" s="3"/>
      <c r="BA219" s="3"/>
      <c r="BC219" t="s">
        <v>376</v>
      </c>
    </row>
    <row r="220" spans="1:108" ht="12.95" customHeight="1">
      <c r="A220" s="2"/>
      <c r="C220" s="2"/>
      <c r="D220" s="1437" t="s">
        <v>872</v>
      </c>
      <c r="E220" s="1437"/>
      <c r="F220" s="1437"/>
      <c r="G220" s="1437"/>
      <c r="H220" s="1437"/>
      <c r="I220" s="1437"/>
      <c r="J220" s="1437"/>
      <c r="K220" s="1437"/>
      <c r="L220" s="1437"/>
      <c r="M220" s="1437"/>
      <c r="N220" s="1437"/>
      <c r="O220" s="1437"/>
      <c r="P220" s="1437"/>
      <c r="Q220" s="1437"/>
      <c r="R220" s="1437"/>
      <c r="S220" s="1437"/>
      <c r="T220" s="1437"/>
      <c r="U220" s="1437"/>
      <c r="V220" s="1437"/>
      <c r="W220" s="1437"/>
      <c r="X220" s="1437"/>
      <c r="Y220" s="1437"/>
      <c r="Z220" s="1437"/>
      <c r="AC220" s="1776" t="s">
        <v>872</v>
      </c>
      <c r="AD220" s="1776"/>
      <c r="AE220" s="1776"/>
      <c r="AF220" s="1776"/>
      <c r="AG220" s="1776"/>
      <c r="AH220" s="1776"/>
      <c r="AI220" s="1776"/>
      <c r="AJ220" s="1776"/>
      <c r="AK220" s="1776"/>
      <c r="AL220" s="1776"/>
      <c r="AM220" s="1776"/>
      <c r="AN220" s="1776"/>
      <c r="AO220" s="1776"/>
      <c r="AP220" s="1776"/>
      <c r="AQ220" s="1776"/>
      <c r="BA220" s="3"/>
      <c r="BC220" t="s">
        <v>299</v>
      </c>
    </row>
    <row r="221" spans="1:108" ht="12.95" customHeight="1">
      <c r="A221" s="2"/>
      <c r="B221" s="14"/>
      <c r="C221" s="2"/>
      <c r="BA221" s="3"/>
    </row>
    <row r="222" spans="1:108" ht="12.95" customHeight="1">
      <c r="A222" s="2" t="s">
        <v>2528</v>
      </c>
      <c r="B222" s="14"/>
      <c r="C222" s="2" t="s">
        <v>2529</v>
      </c>
      <c r="BA222" s="3"/>
    </row>
    <row r="223" spans="1:108" ht="12.95" customHeight="1">
      <c r="A223" s="2"/>
      <c r="B223" s="14"/>
      <c r="C223" s="2"/>
      <c r="D223" s="3" t="s">
        <v>2530</v>
      </c>
      <c r="BA223" s="3"/>
    </row>
    <row r="224" spans="1:108" ht="12.95" customHeight="1">
      <c r="A224" s="2"/>
      <c r="B224" s="14"/>
      <c r="C224" s="2"/>
      <c r="E224" s="3" t="s">
        <v>2531</v>
      </c>
      <c r="V224" s="1296" t="s">
        <v>667</v>
      </c>
      <c r="W224" s="1296"/>
      <c r="Y224" s="1188"/>
      <c r="BA224" s="3"/>
    </row>
    <row r="225" spans="1:69" ht="12.95" customHeight="1">
      <c r="A225" s="2"/>
      <c r="B225" s="14"/>
      <c r="C225" s="2"/>
      <c r="E225" s="3" t="s">
        <v>2532</v>
      </c>
      <c r="V225" s="1296" t="s">
        <v>667</v>
      </c>
      <c r="W225" s="1296"/>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row>
    <row r="226" spans="1:69" ht="12.95" customHeight="1">
      <c r="A226" s="2"/>
      <c r="B226" s="14"/>
      <c r="C226" s="2"/>
      <c r="E226" s="3" t="s">
        <v>2533</v>
      </c>
      <c r="V226" s="1335" t="s">
        <v>667</v>
      </c>
      <c r="W226" s="1335"/>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row>
    <row r="227" spans="1:69" ht="12.95" customHeight="1">
      <c r="A227" s="2"/>
      <c r="B227" s="14"/>
      <c r="C227" s="2"/>
      <c r="E227" s="3" t="s">
        <v>2534</v>
      </c>
      <c r="V227" s="1335" t="s">
        <v>667</v>
      </c>
      <c r="W227" s="1335"/>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row>
    <row r="228" spans="1:69" ht="12.95" customHeight="1">
      <c r="A228" s="2"/>
      <c r="B228" s="14"/>
      <c r="C228" s="2"/>
      <c r="E228" s="3" t="s">
        <v>2535</v>
      </c>
      <c r="V228" s="1335" t="s">
        <v>543</v>
      </c>
      <c r="W228" s="1335"/>
      <c r="Y228" s="1189" t="str">
        <f>IF(AND(V228="Yes",OR(V229="Yes",V225="Yes",V226="Yes")),"!","")</f>
        <v/>
      </c>
      <c r="Z228" s="1190" t="str">
        <f>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row>
    <row r="229" spans="1:69" ht="12.95" customHeight="1">
      <c r="A229" s="2"/>
      <c r="B229" s="14"/>
      <c r="C229" s="2"/>
      <c r="E229" s="3" t="s">
        <v>2536</v>
      </c>
      <c r="V229" s="1335" t="s">
        <v>667</v>
      </c>
      <c r="W229" s="1335"/>
      <c r="Y229" s="1189" t="str">
        <f>IF(AND(V229="Yes",OR(V228="Yes",V227="Yes",V226="Yes",V225="Yes")),"!","")</f>
        <v/>
      </c>
      <c r="Z229" s="1190" t="str">
        <f>IF(Y229="!","Requirements for pools/set-asides selected are mutually exclusive.","")</f>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row>
    <row r="230" spans="1:69" ht="12.95" customHeight="1">
      <c r="A230" s="2"/>
      <c r="B230" s="14"/>
      <c r="C230" s="2"/>
      <c r="BA230" s="3"/>
    </row>
    <row r="231" spans="1:69" ht="12.95" customHeight="1">
      <c r="A231" s="1441" t="s">
        <v>538</v>
      </c>
      <c r="B231" s="1441"/>
      <c r="C231" s="1441"/>
      <c r="D231" s="1441"/>
      <c r="E231" s="1441"/>
      <c r="F231" s="1441"/>
      <c r="G231" s="1441"/>
      <c r="H231" s="1441"/>
      <c r="I231" s="1441"/>
      <c r="J231" s="1441"/>
      <c r="K231" s="1441"/>
      <c r="L231" s="1441"/>
      <c r="M231" s="1441"/>
      <c r="N231" s="1441"/>
      <c r="O231" s="1441"/>
      <c r="P231" s="1441"/>
      <c r="Q231" s="1441"/>
      <c r="R231" s="1441"/>
      <c r="S231" s="1441"/>
      <c r="T231" s="1441"/>
      <c r="U231" s="1441"/>
      <c r="V231" s="1441"/>
      <c r="W231" s="1441"/>
      <c r="X231" s="1441"/>
      <c r="Y231" s="1441"/>
      <c r="Z231" s="1441"/>
      <c r="AA231" s="1441"/>
      <c r="AB231" s="1441"/>
      <c r="AC231" s="1441"/>
      <c r="AD231" s="1441"/>
      <c r="AE231" s="1441"/>
      <c r="AF231" s="1441"/>
      <c r="AG231" s="1441"/>
      <c r="AH231" s="1441"/>
      <c r="AI231" s="1441"/>
      <c r="AJ231" s="1441"/>
      <c r="AK231" s="1441"/>
      <c r="AL231" s="1441"/>
      <c r="AM231" s="1441"/>
      <c r="AN231" s="1441"/>
      <c r="AO231" s="1441"/>
      <c r="AP231" s="1441"/>
      <c r="AQ231" s="1441"/>
      <c r="AR231" s="1441"/>
      <c r="AS231" s="1441"/>
      <c r="AT231" s="1441"/>
      <c r="AU231" s="95"/>
      <c r="AV231" s="95"/>
      <c r="AW231" s="95"/>
      <c r="AX231" s="95"/>
      <c r="AY231" s="95"/>
      <c r="AZ231" s="3"/>
      <c r="BA231" s="3"/>
      <c r="BP231" s="34"/>
    </row>
    <row r="232" spans="1:69" ht="12.95" customHeight="1">
      <c r="A232" s="1441"/>
      <c r="B232" s="1441"/>
      <c r="C232" s="1441"/>
      <c r="D232" s="1441"/>
      <c r="E232" s="1441"/>
      <c r="F232" s="1441"/>
      <c r="G232" s="1441"/>
      <c r="H232" s="1441"/>
      <c r="I232" s="1441"/>
      <c r="J232" s="1441"/>
      <c r="K232" s="1441"/>
      <c r="L232" s="1441"/>
      <c r="M232" s="1441"/>
      <c r="N232" s="1441"/>
      <c r="O232" s="1441"/>
      <c r="P232" s="1441"/>
      <c r="Q232" s="1441"/>
      <c r="R232" s="1441"/>
      <c r="S232" s="1441"/>
      <c r="T232" s="1441"/>
      <c r="U232" s="1441"/>
      <c r="V232" s="1441"/>
      <c r="W232" s="1441"/>
      <c r="X232" s="1441"/>
      <c r="Y232" s="1441"/>
      <c r="Z232" s="1441"/>
      <c r="AA232" s="1441"/>
      <c r="AB232" s="1441"/>
      <c r="AC232" s="1441"/>
      <c r="AD232" s="1441"/>
      <c r="AE232" s="1441"/>
      <c r="AF232" s="1441"/>
      <c r="AG232" s="1441"/>
      <c r="AH232" s="1441"/>
      <c r="AI232" s="1441"/>
      <c r="AJ232" s="1441"/>
      <c r="AK232" s="1441"/>
      <c r="AL232" s="1441"/>
      <c r="AM232" s="1441"/>
      <c r="AN232" s="1441"/>
      <c r="AO232" s="1441"/>
      <c r="AP232" s="1441"/>
      <c r="AQ232" s="1441"/>
      <c r="AR232" s="1441"/>
      <c r="AS232" s="1441"/>
      <c r="AT232" s="1441"/>
      <c r="BA232" s="3"/>
      <c r="BB232" s="3"/>
      <c r="BQ232" s="34"/>
    </row>
    <row r="233" spans="1:69" ht="12.95" customHeight="1">
      <c r="AZ233" s="4"/>
      <c r="BA233" s="3"/>
      <c r="BB233" s="3"/>
      <c r="BQ233" s="34"/>
    </row>
    <row r="234" spans="1:69" ht="12.95" customHeight="1">
      <c r="A234" s="2" t="s">
        <v>318</v>
      </c>
      <c r="B234" s="2"/>
      <c r="C234" s="2" t="s">
        <v>2030</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row>
    <row r="235" spans="1:69" ht="12.95" customHeight="1">
      <c r="B235" s="4"/>
      <c r="D235" s="4" t="s">
        <v>605</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296" t="s">
        <v>589</v>
      </c>
      <c r="AJ235" s="1296"/>
      <c r="AL235" s="3"/>
      <c r="AM235" s="3"/>
      <c r="AN235" s="3"/>
      <c r="AO235" s="3"/>
      <c r="AP235" s="3"/>
      <c r="AQ235" s="3"/>
      <c r="AR235" s="3"/>
      <c r="AS235" s="3"/>
      <c r="AT235" s="3"/>
      <c r="AU235" s="3"/>
      <c r="AV235" s="3"/>
      <c r="AW235" s="3"/>
      <c r="AX235" s="3"/>
      <c r="AY235" s="3"/>
      <c r="AZ235" s="4"/>
      <c r="BB235" s="204" t="s">
        <v>536</v>
      </c>
      <c r="BG235" s="241">
        <f>IF(AND(AND($M$258="for profit",$M$266="for profit",$M$274="nonprofit")),2,0)</f>
        <v>0</v>
      </c>
    </row>
    <row r="236" spans="1:69" ht="12.95" customHeight="1">
      <c r="B236" s="4"/>
      <c r="D236" s="4" t="s">
        <v>552</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296" t="s">
        <v>543</v>
      </c>
      <c r="AJ236" s="1296"/>
      <c r="AL236" s="3"/>
      <c r="AM236" s="3"/>
      <c r="AN236" s="3"/>
      <c r="AO236" s="3"/>
      <c r="AP236" s="3"/>
      <c r="AQ236" s="3"/>
      <c r="AR236" s="3"/>
      <c r="AS236" s="3"/>
      <c r="AT236" s="3"/>
      <c r="AU236" s="3"/>
      <c r="AV236" s="3"/>
      <c r="AW236" s="3"/>
      <c r="AX236" s="3"/>
      <c r="AY236" s="3"/>
      <c r="BA236" s="3"/>
      <c r="BB236" s="204" t="s">
        <v>536</v>
      </c>
      <c r="BG236" s="241">
        <f>IF(AND(AND($M$258="for profit",$M$266="nonprofit",$M$274="for profit")),2,0)</f>
        <v>0</v>
      </c>
    </row>
    <row r="237" spans="1:69" ht="12.95" customHeight="1">
      <c r="B237" s="4"/>
      <c r="D237" s="4" t="s">
        <v>166</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296" t="s">
        <v>543</v>
      </c>
      <c r="AJ237" s="1296"/>
      <c r="AL237" s="3"/>
      <c r="AM237" s="3"/>
      <c r="AN237" s="3"/>
      <c r="AO237" s="3"/>
      <c r="AP237" s="3"/>
      <c r="AQ237" s="3"/>
      <c r="AR237" s="3"/>
      <c r="AS237" s="3"/>
      <c r="AT237" s="3"/>
      <c r="AU237" s="3"/>
      <c r="AV237" s="3"/>
      <c r="AW237" s="3"/>
      <c r="AX237" s="3"/>
      <c r="AY237" s="3"/>
      <c r="AZ237" s="4"/>
      <c r="BA237" s="3"/>
      <c r="BB237" s="204" t="s">
        <v>536</v>
      </c>
      <c r="BG237" s="241">
        <f>IF(AND(AND($M$258="nonprofit",$M$266="for profit",$M$274="for profit")),2,0)</f>
        <v>0</v>
      </c>
    </row>
    <row r="238" spans="1:69" ht="12.95" customHeight="1">
      <c r="B238" s="4"/>
      <c r="D238" s="4" t="s">
        <v>293</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296" t="s">
        <v>589</v>
      </c>
      <c r="AJ238" s="1296"/>
      <c r="AL238" s="3"/>
      <c r="AM238" s="3"/>
      <c r="AN238" s="3"/>
      <c r="AO238" s="3"/>
      <c r="AP238" s="3"/>
      <c r="AQ238" s="3"/>
      <c r="AR238" s="3"/>
      <c r="AS238" s="3"/>
      <c r="AT238" s="3"/>
      <c r="AU238" s="3"/>
      <c r="AV238" s="3"/>
      <c r="AW238" s="3"/>
      <c r="AX238" s="3"/>
      <c r="AY238" s="3"/>
      <c r="BA238" s="3"/>
      <c r="BB238" s="204" t="s">
        <v>536</v>
      </c>
      <c r="BG238" s="241">
        <f>IF(AND(AND($M$258="for profit",$M$266="nonprofit",$M$274="(select one)")),2,0)</f>
        <v>0</v>
      </c>
    </row>
    <row r="239" spans="1:69" ht="12.95"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536</v>
      </c>
      <c r="BG239" s="240">
        <f>IF(AND(AND($M$258="nonprofit",$M$266="for profit",$M$274="(select one)")),2,0)</f>
        <v>0</v>
      </c>
    </row>
    <row r="240" spans="1:69" ht="12.95" customHeight="1">
      <c r="A240" s="2" t="s">
        <v>574</v>
      </c>
      <c r="B240" s="4"/>
      <c r="C240" s="2" t="s">
        <v>2031</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row>
    <row r="241" spans="1:67" ht="12.95" customHeight="1">
      <c r="D241" s="4" t="s">
        <v>468</v>
      </c>
      <c r="E241" s="4"/>
      <c r="F241" s="4"/>
      <c r="G241" s="4"/>
      <c r="H241" s="4"/>
      <c r="I241" s="4"/>
      <c r="J241" s="4"/>
      <c r="K241" s="4"/>
      <c r="M241" s="1760" t="str">
        <f>H16</f>
        <v xml:space="preserve">Linc Housing Corporation (as Sole Member and Manager of Linc 3590 LLC, the Managing General Partner of Linc 3590, LP)																												</v>
      </c>
      <c r="N241" s="1760"/>
      <c r="O241" s="1760"/>
      <c r="P241" s="1760"/>
      <c r="Q241" s="1760"/>
      <c r="R241" s="1760"/>
      <c r="S241" s="1760"/>
      <c r="T241" s="1760"/>
      <c r="U241" s="1760"/>
      <c r="V241" s="1760"/>
      <c r="W241" s="1760"/>
      <c r="X241" s="1760"/>
      <c r="Y241" s="1760"/>
      <c r="Z241" s="1760"/>
      <c r="AA241" s="1760"/>
      <c r="AB241" s="1760"/>
      <c r="AC241" s="1760"/>
      <c r="AD241" s="1760"/>
      <c r="AE241" s="1760"/>
      <c r="AF241" s="1760"/>
      <c r="AG241" s="1760"/>
      <c r="AH241" s="1760"/>
      <c r="AI241" s="1760"/>
      <c r="AJ241" s="1760"/>
      <c r="AK241" s="1760"/>
      <c r="AZ241" s="4"/>
      <c r="BA241" s="3"/>
      <c r="BB241" s="205" t="s">
        <v>536</v>
      </c>
      <c r="BG241" s="241">
        <f>IF(AND(AND($M$258="nonprofit",$M$266="nonprofit",$M$274="for profit")),2,0)</f>
        <v>0</v>
      </c>
    </row>
    <row r="242" spans="1:67" ht="12.95" customHeight="1">
      <c r="D242" s="4" t="s">
        <v>85</v>
      </c>
      <c r="E242" s="4"/>
      <c r="F242" s="4"/>
      <c r="G242" s="4"/>
      <c r="H242" s="4"/>
      <c r="I242" s="4"/>
      <c r="J242" s="4"/>
      <c r="K242" s="4"/>
      <c r="M242" s="1437" t="s">
        <v>2662</v>
      </c>
      <c r="N242" s="1437"/>
      <c r="O242" s="1437"/>
      <c r="P242" s="1437"/>
      <c r="Q242" s="1437"/>
      <c r="R242" s="1437"/>
      <c r="S242" s="1437"/>
      <c r="T242" s="1437"/>
      <c r="U242" s="1437"/>
      <c r="V242" s="1437"/>
      <c r="W242" s="1437"/>
      <c r="X242" s="1437"/>
      <c r="Y242" s="1437"/>
      <c r="Z242" s="1437"/>
      <c r="AA242" s="1437"/>
      <c r="AB242" s="1437"/>
      <c r="AC242" s="1437"/>
      <c r="AD242" s="1437"/>
      <c r="AE242" s="1437"/>
      <c r="BB242" s="205" t="s">
        <v>536</v>
      </c>
      <c r="BG242" s="241">
        <f>IF(AND(AND($M$258="nonprofit",$M$266="for profit",$M$274="nonprofit")),2,0)</f>
        <v>0</v>
      </c>
    </row>
    <row r="243" spans="1:67" ht="12.95" customHeight="1">
      <c r="D243" s="4" t="s">
        <v>578</v>
      </c>
      <c r="E243" s="4"/>
      <c r="M243" s="1437" t="s">
        <v>2663</v>
      </c>
      <c r="N243" s="1437"/>
      <c r="O243" s="1437"/>
      <c r="P243" s="1437"/>
      <c r="Q243" s="1437"/>
      <c r="R243" s="1437"/>
      <c r="S243" s="1437"/>
      <c r="T243" s="1437"/>
      <c r="V243" s="33" t="s">
        <v>86</v>
      </c>
      <c r="W243" s="1412" t="s">
        <v>2664</v>
      </c>
      <c r="X243" s="1426"/>
      <c r="Y243" s="4" t="s">
        <v>581</v>
      </c>
      <c r="AC243" s="1437">
        <v>90807</v>
      </c>
      <c r="AD243" s="1437"/>
      <c r="AE243" s="1437"/>
      <c r="AU243" s="4"/>
      <c r="AV243" s="4"/>
      <c r="AW243" s="4"/>
      <c r="AX243" s="4"/>
      <c r="AY243" s="4"/>
      <c r="AZ243" s="4"/>
      <c r="BB243" s="205" t="s">
        <v>536</v>
      </c>
      <c r="BG243" s="240">
        <f>IF(AND(AND($M$258="for profit",$M$266="nonprofit",$M$274="nonprofit")),2,0)</f>
        <v>0</v>
      </c>
    </row>
    <row r="244" spans="1:67" ht="12.95" customHeight="1">
      <c r="D244" s="4" t="s">
        <v>87</v>
      </c>
      <c r="E244" s="4"/>
      <c r="F244" s="4"/>
      <c r="G244" s="4"/>
      <c r="H244" s="4"/>
      <c r="I244" s="4"/>
      <c r="J244" s="4"/>
      <c r="K244" s="19"/>
      <c r="M244" s="1290" t="s">
        <v>2693</v>
      </c>
      <c r="N244" s="1290"/>
      <c r="O244" s="1290"/>
      <c r="P244" s="1290"/>
      <c r="Q244" s="1290"/>
      <c r="R244" s="1290"/>
      <c r="S244" s="1290"/>
      <c r="T244" s="1290"/>
      <c r="U244" s="1290"/>
      <c r="V244" s="1290"/>
      <c r="W244" s="1290"/>
      <c r="X244" s="1290"/>
      <c r="Y244" s="1290"/>
      <c r="Z244" s="1290"/>
      <c r="AA244" s="1290"/>
      <c r="AB244" s="1290"/>
      <c r="AC244" s="1290"/>
      <c r="AD244" s="1290"/>
      <c r="AE244" s="1290"/>
      <c r="AI244" s="4"/>
      <c r="AJ244" s="4"/>
      <c r="AK244" s="4"/>
      <c r="AL244" s="4"/>
      <c r="AM244" s="4"/>
      <c r="AN244" s="4"/>
      <c r="AO244" s="4"/>
      <c r="AP244" s="4"/>
      <c r="AQ244" s="4"/>
      <c r="AR244" s="4"/>
      <c r="AS244" s="4"/>
      <c r="AT244" s="4"/>
      <c r="BB244" s="205"/>
      <c r="BG244" s="204"/>
    </row>
    <row r="245" spans="1:67" ht="12.95" customHeight="1">
      <c r="D245" s="4" t="s">
        <v>88</v>
      </c>
      <c r="E245" s="4"/>
      <c r="F245" s="4"/>
      <c r="M245" s="1286" t="s">
        <v>2694</v>
      </c>
      <c r="N245" s="1286"/>
      <c r="O245" s="1286"/>
      <c r="P245" s="1286"/>
      <c r="Q245" s="1286"/>
      <c r="R245" s="1286"/>
      <c r="S245" s="4" t="s">
        <v>205</v>
      </c>
      <c r="T245" s="4"/>
      <c r="U245" s="1288" t="s">
        <v>589</v>
      </c>
      <c r="V245" s="1288"/>
      <c r="W245" s="1288"/>
      <c r="X245" s="4" t="s">
        <v>89</v>
      </c>
      <c r="Z245" s="1286" t="s">
        <v>589</v>
      </c>
      <c r="AA245" s="1286"/>
      <c r="AB245" s="1286"/>
      <c r="AC245" s="1286"/>
      <c r="AD245" s="1286"/>
      <c r="AE245" s="1286"/>
      <c r="AU245" s="4"/>
      <c r="AV245" s="4"/>
      <c r="AW245" s="4"/>
      <c r="AX245" s="4"/>
      <c r="AY245" s="4"/>
      <c r="AZ245" s="4"/>
      <c r="BB245" s="204" t="s">
        <v>535</v>
      </c>
      <c r="BG245" s="241">
        <f>IF(AND(AND($M$258="nonprofit",$M$266="nonprofit",$M$274="(select one)")),1,0)</f>
        <v>0</v>
      </c>
    </row>
    <row r="246" spans="1:67" ht="12.95" customHeight="1">
      <c r="D246" s="4" t="s">
        <v>90</v>
      </c>
      <c r="E246" s="4"/>
      <c r="F246" s="4"/>
      <c r="M246" s="1292" t="s">
        <v>2695</v>
      </c>
      <c r="N246" s="1292"/>
      <c r="O246" s="1292"/>
      <c r="P246" s="1292"/>
      <c r="Q246" s="1292"/>
      <c r="R246" s="1292"/>
      <c r="S246" s="1292"/>
      <c r="T246" s="1292"/>
      <c r="U246" s="1292"/>
      <c r="V246" s="1292"/>
      <c r="W246" s="1292"/>
      <c r="X246" s="1292"/>
      <c r="Y246" s="1292"/>
      <c r="Z246" s="1292"/>
      <c r="AA246" s="1292"/>
      <c r="AB246" s="1292"/>
      <c r="AC246" s="1292"/>
      <c r="AD246" s="1292"/>
      <c r="AE246" s="1292"/>
      <c r="AF246" s="4"/>
      <c r="AG246" s="4"/>
      <c r="AH246" s="4"/>
      <c r="AI246" s="4"/>
      <c r="AJ246" s="4"/>
      <c r="AK246" s="4"/>
      <c r="AL246" s="4"/>
      <c r="AM246" s="4"/>
      <c r="AN246" s="4"/>
      <c r="AO246" s="4"/>
      <c r="AP246" s="4"/>
      <c r="AQ246" s="4"/>
      <c r="AR246" s="4"/>
      <c r="AS246" s="4"/>
      <c r="AT246" s="4"/>
      <c r="AU246" s="3"/>
      <c r="AV246" s="3"/>
      <c r="AW246" s="3"/>
      <c r="AX246" s="3"/>
      <c r="AY246" s="3"/>
      <c r="BB246" s="204" t="s">
        <v>535</v>
      </c>
      <c r="BG246" s="241">
        <f>IF(AND(AND($M$258="nonprofit",$M$266="nonprofit",$M$274="nonprofit")),1,0)</f>
        <v>0</v>
      </c>
    </row>
    <row r="247" spans="1:67" ht="12.95" customHeight="1">
      <c r="A247" s="2" t="s">
        <v>584</v>
      </c>
      <c r="C247" s="2" t="s">
        <v>523</v>
      </c>
      <c r="M247" s="1420" t="s">
        <v>376</v>
      </c>
      <c r="N247" s="1420"/>
      <c r="O247" s="1420"/>
      <c r="P247" s="1420"/>
      <c r="Q247" s="1420"/>
      <c r="R247" s="1420"/>
      <c r="S247" s="1420"/>
      <c r="T247" s="1420"/>
      <c r="U247" s="204" t="s">
        <v>904</v>
      </c>
      <c r="V247" s="204"/>
      <c r="W247" s="204"/>
      <c r="X247" s="204"/>
      <c r="Y247" s="204"/>
      <c r="Z247" s="204"/>
      <c r="AA247" s="1291" t="s">
        <v>2665</v>
      </c>
      <c r="AB247" s="1291"/>
      <c r="AC247" s="1291"/>
      <c r="AD247" s="1291"/>
      <c r="AE247" s="1291"/>
      <c r="AF247" s="1291"/>
      <c r="AG247" s="1291"/>
      <c r="AH247" s="1291"/>
      <c r="AI247" s="1291"/>
      <c r="AJ247" s="1291"/>
      <c r="AK247" s="1291"/>
      <c r="AL247" s="3"/>
      <c r="AM247" s="3"/>
      <c r="AN247" s="3"/>
      <c r="AO247" s="3"/>
      <c r="AP247" s="3"/>
      <c r="AQ247" s="3"/>
      <c r="AR247" s="3"/>
      <c r="AS247" s="3"/>
      <c r="AT247" s="3"/>
      <c r="AU247" s="3"/>
      <c r="AV247" s="3"/>
      <c r="AW247" s="3"/>
      <c r="AX247" s="3"/>
      <c r="AY247" s="3"/>
      <c r="BB247" s="204" t="s">
        <v>535</v>
      </c>
      <c r="BG247" s="241">
        <f>IF(AND(AND($M$258="nonprofit",$M$266="(select one)",$M$274="(select one)")),1,0)</f>
        <v>1</v>
      </c>
    </row>
    <row r="248" spans="1:67" ht="12.95" customHeight="1">
      <c r="D248" t="s">
        <v>529</v>
      </c>
      <c r="M248" s="1397"/>
      <c r="N248" s="1397"/>
      <c r="O248" s="1397"/>
      <c r="P248" s="1397"/>
      <c r="Q248" s="1397"/>
      <c r="R248" s="1397"/>
      <c r="S248" s="1397"/>
      <c r="T248" s="1397"/>
      <c r="U248" s="1397"/>
      <c r="V248" s="1397"/>
      <c r="W248" s="1397"/>
      <c r="X248" s="1397"/>
      <c r="Y248" s="1397"/>
      <c r="Z248" s="1397"/>
      <c r="AA248" s="1397"/>
      <c r="AB248" s="1397"/>
      <c r="AC248" s="1397"/>
      <c r="AD248" s="1397"/>
      <c r="AE248" s="1397"/>
      <c r="AF248" s="4"/>
      <c r="AG248" s="4"/>
      <c r="AH248" s="4"/>
      <c r="AI248" s="4"/>
      <c r="AJ248" s="4"/>
      <c r="AK248" s="3"/>
      <c r="AL248" s="3"/>
      <c r="AM248" s="3"/>
      <c r="AN248" s="3"/>
      <c r="AO248" s="3"/>
      <c r="AP248" s="3"/>
      <c r="AQ248" s="3"/>
      <c r="AR248" s="3"/>
      <c r="AS248" s="3"/>
      <c r="AT248" s="3"/>
      <c r="BB248" s="204" t="s">
        <v>875</v>
      </c>
      <c r="BG248" s="241">
        <f>IF(AND(AND($M$258="for profit",$M$266="for profit",$M$274="(select one)")),3,0)</f>
        <v>0</v>
      </c>
    </row>
    <row r="249" spans="1:67" ht="12.95" customHeight="1">
      <c r="D249" s="4"/>
      <c r="BB249" s="204" t="s">
        <v>875</v>
      </c>
      <c r="BG249" s="241">
        <f>IF(AND(AND($M$258="for profit",$M$266="for profit",$M$274="for profit")),3,0)</f>
        <v>0</v>
      </c>
    </row>
    <row r="250" spans="1:67" ht="12.95" customHeight="1">
      <c r="A250" s="2" t="s">
        <v>587</v>
      </c>
      <c r="C250" s="2" t="s">
        <v>1180</v>
      </c>
      <c r="D250" s="4"/>
      <c r="L250" s="8"/>
      <c r="M250" s="8"/>
      <c r="N250" s="8"/>
      <c r="AU250" s="3"/>
      <c r="AV250" s="3"/>
      <c r="AW250" s="3"/>
      <c r="AX250" s="3"/>
      <c r="AY250" s="3"/>
      <c r="BB250" s="204" t="s">
        <v>875</v>
      </c>
      <c r="BG250" s="241">
        <f>IF(AND(AND($M$258="for profit",$M$266="(select one)",$M$274="(select one)")),3,0)</f>
        <v>0</v>
      </c>
    </row>
    <row r="251" spans="1:67" ht="12.95"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2.95" customHeight="1">
      <c r="A252" s="19"/>
      <c r="B252" s="4"/>
      <c r="C252" s="56" t="s">
        <v>471</v>
      </c>
      <c r="D252" s="4" t="s">
        <v>530</v>
      </c>
      <c r="E252" s="4"/>
      <c r="F252" s="4"/>
      <c r="G252" s="4"/>
      <c r="H252" s="4"/>
      <c r="I252" s="4"/>
      <c r="J252" s="4"/>
      <c r="K252" s="4"/>
      <c r="L252" s="4"/>
      <c r="M252" s="1439" t="s">
        <v>2696</v>
      </c>
      <c r="N252" s="1744"/>
      <c r="O252" s="1744"/>
      <c r="P252" s="1744"/>
      <c r="Q252" s="1744"/>
      <c r="R252" s="1744"/>
      <c r="S252" s="1744"/>
      <c r="T252" s="1744"/>
      <c r="U252" s="1744"/>
      <c r="V252" s="1744"/>
      <c r="W252" s="1744"/>
      <c r="X252" s="1744"/>
      <c r="Y252" s="1744"/>
      <c r="Z252" s="1744"/>
      <c r="AA252" s="1744"/>
      <c r="AB252" s="1744"/>
      <c r="AC252" s="1744"/>
      <c r="AD252" s="1744"/>
      <c r="AE252" s="1744"/>
      <c r="AF252" s="1744" t="s">
        <v>2826</v>
      </c>
      <c r="AG252" s="1744"/>
      <c r="AH252" s="1744"/>
      <c r="AI252" s="1744"/>
      <c r="AJ252" s="1744"/>
      <c r="AK252" s="1744"/>
      <c r="AU252" s="4"/>
      <c r="AV252" s="4"/>
      <c r="AW252" s="4"/>
      <c r="AX252" s="4"/>
      <c r="AY252" s="4"/>
      <c r="BG252">
        <f>SUM(BG235:BG250)</f>
        <v>1</v>
      </c>
    </row>
    <row r="253" spans="1:67" ht="12.95" customHeight="1">
      <c r="A253" s="19"/>
      <c r="B253" s="4"/>
      <c r="C253" s="4"/>
      <c r="D253" s="4" t="s">
        <v>85</v>
      </c>
      <c r="E253" s="4"/>
      <c r="F253" s="4"/>
      <c r="G253" s="4"/>
      <c r="H253" s="4"/>
      <c r="I253" s="4"/>
      <c r="J253" s="4"/>
      <c r="K253" s="4"/>
      <c r="L253" s="4"/>
      <c r="M253" s="1437" t="s">
        <v>2662</v>
      </c>
      <c r="N253" s="1437"/>
      <c r="O253" s="1437"/>
      <c r="P253" s="1437"/>
      <c r="Q253" s="1437"/>
      <c r="R253" s="1437"/>
      <c r="S253" s="1437"/>
      <c r="T253" s="1437"/>
      <c r="U253" s="1437"/>
      <c r="V253" s="1437"/>
      <c r="W253" s="1437"/>
      <c r="X253" s="1437"/>
      <c r="Y253" s="1437"/>
      <c r="Z253" s="1437"/>
      <c r="AA253" s="1437"/>
      <c r="AB253" s="1437"/>
      <c r="AC253" s="1437"/>
      <c r="AD253" s="1437"/>
      <c r="AE253" s="1437"/>
      <c r="AF253" s="3" t="s">
        <v>1176</v>
      </c>
      <c r="AL253" s="4"/>
      <c r="AM253" s="4"/>
      <c r="AN253" s="4"/>
      <c r="AO253" s="4"/>
      <c r="AP253" s="4"/>
      <c r="AQ253" s="4"/>
      <c r="AR253" s="4"/>
      <c r="AS253" s="4"/>
      <c r="AT253" s="4"/>
      <c r="BB253" t="s">
        <v>306</v>
      </c>
      <c r="BG253">
        <v>1</v>
      </c>
      <c r="BH253" t="s">
        <v>532</v>
      </c>
    </row>
    <row r="254" spans="1:67" ht="12.95" customHeight="1">
      <c r="A254" s="19"/>
      <c r="B254" s="4"/>
      <c r="C254" s="4"/>
      <c r="D254" s="4" t="s">
        <v>578</v>
      </c>
      <c r="E254" s="4"/>
      <c r="M254" s="1437" t="s">
        <v>2663</v>
      </c>
      <c r="N254" s="1437"/>
      <c r="O254" s="1437"/>
      <c r="P254" s="1437"/>
      <c r="Q254" s="1437"/>
      <c r="R254" s="1437"/>
      <c r="S254" s="1437"/>
      <c r="T254" s="1437"/>
      <c r="V254" s="33" t="s">
        <v>86</v>
      </c>
      <c r="W254" s="1426" t="s">
        <v>2664</v>
      </c>
      <c r="X254" s="1426"/>
      <c r="Y254" s="4" t="s">
        <v>581</v>
      </c>
      <c r="AC254" s="1437">
        <v>90807</v>
      </c>
      <c r="AD254" s="1437"/>
      <c r="AE254" s="1437"/>
      <c r="AF254" s="3" t="s">
        <v>1177</v>
      </c>
      <c r="AU254" s="4"/>
      <c r="AV254" s="4"/>
      <c r="AW254" s="4"/>
      <c r="AX254" s="4"/>
      <c r="AY254" s="4"/>
      <c r="BB254" s="4" t="s">
        <v>279</v>
      </c>
      <c r="BG254">
        <v>2</v>
      </c>
      <c r="BH254" t="s">
        <v>564</v>
      </c>
      <c r="BO254" s="239" t="str">
        <f>VLOOKUP(BG252,BG253:BH256,2,FALSE)</f>
        <v>Nonprofit</v>
      </c>
    </row>
    <row r="255" spans="1:67" ht="12.95" customHeight="1">
      <c r="A255" s="19"/>
      <c r="B255" s="4"/>
      <c r="C255" s="4"/>
      <c r="D255" s="4" t="s">
        <v>87</v>
      </c>
      <c r="E255" s="4"/>
      <c r="F255" s="4"/>
      <c r="G255" s="4"/>
      <c r="H255" s="4"/>
      <c r="I255" s="4"/>
      <c r="J255" s="4"/>
      <c r="K255" s="4"/>
      <c r="L255" s="19"/>
      <c r="M255" s="1290" t="s">
        <v>2693</v>
      </c>
      <c r="N255" s="1290"/>
      <c r="O255" s="1290"/>
      <c r="P255" s="1290"/>
      <c r="Q255" s="1290"/>
      <c r="R255" s="1290"/>
      <c r="S255" s="1290"/>
      <c r="T255" s="1290"/>
      <c r="U255" s="1290"/>
      <c r="V255" s="1290"/>
      <c r="W255" s="1290"/>
      <c r="X255" s="1290"/>
      <c r="Y255" s="1290"/>
      <c r="Z255" s="1290"/>
      <c r="AA255" s="1290"/>
      <c r="AB255" s="1290"/>
      <c r="AC255" s="1290"/>
      <c r="AD255" s="1290"/>
      <c r="AE255" s="1290"/>
      <c r="AH255" s="1748">
        <v>0.01</v>
      </c>
      <c r="AI255" s="1748"/>
      <c r="AJ255" s="1748"/>
      <c r="AK255" s="1748"/>
      <c r="AL255" s="4"/>
      <c r="AM255" s="4"/>
      <c r="AN255" s="4"/>
      <c r="AO255" s="4"/>
      <c r="AP255" s="4"/>
      <c r="AQ255" s="4"/>
      <c r="AR255" s="4"/>
      <c r="AS255" s="4"/>
      <c r="AT255" s="4"/>
      <c r="BB255" s="4" t="s">
        <v>172</v>
      </c>
      <c r="BG255">
        <v>3</v>
      </c>
      <c r="BH255" t="s">
        <v>534</v>
      </c>
      <c r="BN255" s="34"/>
    </row>
    <row r="256" spans="1:67" ht="12.95" customHeight="1">
      <c r="A256" s="19"/>
      <c r="B256" s="4"/>
      <c r="C256" s="4"/>
      <c r="D256" s="4" t="s">
        <v>88</v>
      </c>
      <c r="E256" s="4"/>
      <c r="F256" s="4"/>
      <c r="M256" s="1394" t="s">
        <v>2697</v>
      </c>
      <c r="N256" s="1395"/>
      <c r="O256" s="1395"/>
      <c r="P256" s="1395"/>
      <c r="Q256" s="1395"/>
      <c r="R256" s="1395"/>
      <c r="S256" s="4" t="s">
        <v>205</v>
      </c>
      <c r="T256" s="4"/>
      <c r="U256" s="1412" t="s">
        <v>589</v>
      </c>
      <c r="V256" s="1426"/>
      <c r="W256" s="1426"/>
      <c r="X256" s="4" t="s">
        <v>89</v>
      </c>
      <c r="Z256" s="1394" t="s">
        <v>589</v>
      </c>
      <c r="AA256" s="1395"/>
      <c r="AB256" s="1395"/>
      <c r="AC256" s="1395"/>
      <c r="AD256" s="1395"/>
      <c r="AE256" s="1395"/>
      <c r="AU256" s="4"/>
      <c r="AV256" s="4"/>
      <c r="AW256" s="4"/>
      <c r="AX256" s="4"/>
      <c r="AY256" s="4"/>
      <c r="BG256">
        <v>0</v>
      </c>
      <c r="BH256" s="3" t="str">
        <f>""</f>
        <v/>
      </c>
      <c r="BN256" s="34"/>
    </row>
    <row r="257" spans="1:66" ht="12.95" customHeight="1">
      <c r="A257" s="19"/>
      <c r="B257" s="4"/>
      <c r="C257" s="4"/>
      <c r="D257" s="4" t="s">
        <v>90</v>
      </c>
      <c r="E257" s="4"/>
      <c r="F257" s="4"/>
      <c r="M257" s="1747" t="s">
        <v>2698</v>
      </c>
      <c r="N257" s="1747"/>
      <c r="O257" s="1747"/>
      <c r="P257" s="1747"/>
      <c r="Q257" s="1747"/>
      <c r="R257" s="1747"/>
      <c r="S257" s="1747"/>
      <c r="T257" s="1747"/>
      <c r="U257" s="1747"/>
      <c r="V257" s="1747"/>
      <c r="W257" s="1747"/>
      <c r="X257" s="1747"/>
      <c r="Y257" s="1747"/>
      <c r="Z257" s="1747"/>
      <c r="AA257" s="1747"/>
      <c r="AB257" s="1747"/>
      <c r="AC257" s="1747"/>
      <c r="AD257" s="1747"/>
      <c r="AE257" s="1747"/>
      <c r="AG257" s="4"/>
      <c r="AH257" s="4"/>
      <c r="AI257" s="4"/>
      <c r="AJ257" s="4"/>
      <c r="AK257" s="4"/>
      <c r="AL257" s="4"/>
      <c r="AM257" s="4"/>
      <c r="AN257" s="4"/>
      <c r="AO257" s="4"/>
      <c r="AP257" s="4"/>
      <c r="AQ257" s="4"/>
      <c r="AR257" s="4"/>
      <c r="AS257" s="4"/>
      <c r="AT257" s="4"/>
      <c r="BN257" s="34"/>
    </row>
    <row r="258" spans="1:66" ht="12.95" customHeight="1">
      <c r="A258" s="13"/>
      <c r="B258" s="4"/>
      <c r="C258" s="56"/>
      <c r="D258" s="4" t="s">
        <v>533</v>
      </c>
      <c r="E258" s="4"/>
      <c r="F258" s="4"/>
      <c r="G258" s="4"/>
      <c r="H258" s="4"/>
      <c r="I258" s="4"/>
      <c r="J258" s="4"/>
      <c r="K258" s="4"/>
      <c r="L258" s="4"/>
      <c r="M258" s="1420" t="s">
        <v>532</v>
      </c>
      <c r="N258" s="1420"/>
      <c r="O258" s="1420"/>
      <c r="P258" s="1420"/>
      <c r="Q258" s="1420"/>
      <c r="R258" s="1420"/>
      <c r="S258" s="1420"/>
      <c r="T258" s="1420"/>
      <c r="U258" s="204" t="s">
        <v>904</v>
      </c>
      <c r="V258" s="204"/>
      <c r="W258" s="204"/>
      <c r="X258" s="204"/>
      <c r="Y258" s="204"/>
      <c r="Z258" s="204"/>
      <c r="AA258" s="1764" t="s">
        <v>2665</v>
      </c>
      <c r="AB258" s="1745"/>
      <c r="AC258" s="1745"/>
      <c r="AD258" s="1745"/>
      <c r="AE258" s="1745"/>
      <c r="AF258" s="1745"/>
      <c r="AG258" s="1745"/>
      <c r="AH258" s="1745"/>
      <c r="AI258" s="1745"/>
      <c r="AJ258" s="1745"/>
      <c r="AK258" s="1745"/>
      <c r="BN258" s="34"/>
    </row>
    <row r="259" spans="1:66" ht="12.95" customHeight="1">
      <c r="A259" s="19"/>
      <c r="B259" s="4"/>
      <c r="C259" s="4"/>
      <c r="D259" s="4"/>
      <c r="E259" s="4"/>
      <c r="F259" s="4"/>
      <c r="G259" s="4"/>
      <c r="H259" s="4"/>
      <c r="I259" s="4"/>
      <c r="J259" s="4"/>
      <c r="K259" s="4"/>
      <c r="L259" s="4"/>
      <c r="AG259" s="4"/>
      <c r="AH259" s="4"/>
      <c r="AI259" s="4"/>
      <c r="AJ259" s="4"/>
      <c r="BN259" s="34"/>
    </row>
    <row r="260" spans="1:66" ht="12.95" customHeight="1">
      <c r="A260" s="2"/>
      <c r="B260" s="4"/>
      <c r="C260" s="56" t="s">
        <v>98</v>
      </c>
      <c r="D260" s="4" t="s">
        <v>953</v>
      </c>
      <c r="E260" s="4"/>
      <c r="F260" s="4"/>
      <c r="G260" s="4"/>
      <c r="H260" s="4"/>
      <c r="I260" s="4"/>
      <c r="J260" s="4"/>
      <c r="K260" s="4"/>
      <c r="L260" s="4"/>
      <c r="M260" s="1439" t="s">
        <v>589</v>
      </c>
      <c r="N260" s="1744"/>
      <c r="O260" s="1744"/>
      <c r="P260" s="1744"/>
      <c r="Q260" s="1744"/>
      <c r="R260" s="1744"/>
      <c r="S260" s="1744"/>
      <c r="T260" s="1744"/>
      <c r="U260" s="1744"/>
      <c r="V260" s="1744"/>
      <c r="W260" s="1744"/>
      <c r="X260" s="1744"/>
      <c r="Y260" s="1744"/>
      <c r="Z260" s="1744"/>
      <c r="AA260" s="1744"/>
      <c r="AB260" s="1744"/>
      <c r="AC260" s="1744"/>
      <c r="AD260" s="1744"/>
      <c r="AE260" s="1744"/>
      <c r="AF260" s="1744" t="s">
        <v>306</v>
      </c>
      <c r="AG260" s="1744"/>
      <c r="AH260" s="1744"/>
      <c r="AI260" s="1744"/>
      <c r="AJ260" s="1744"/>
      <c r="AK260" s="1744"/>
      <c r="AU260" s="4"/>
      <c r="AV260" s="4"/>
      <c r="AW260" s="4"/>
      <c r="AX260" s="4"/>
      <c r="AY260" s="4"/>
      <c r="BN260" s="34"/>
    </row>
    <row r="261" spans="1:66" ht="12.95" customHeight="1">
      <c r="A261" s="19"/>
      <c r="B261" s="4"/>
      <c r="C261" s="4"/>
      <c r="D261" s="4" t="s">
        <v>85</v>
      </c>
      <c r="E261" s="4"/>
      <c r="F261" s="4"/>
      <c r="G261" s="4"/>
      <c r="H261" s="4"/>
      <c r="I261" s="4"/>
      <c r="J261" s="4"/>
      <c r="K261" s="4"/>
      <c r="L261" s="4"/>
      <c r="M261" s="1437"/>
      <c r="N261" s="1437"/>
      <c r="O261" s="1437"/>
      <c r="P261" s="1437"/>
      <c r="Q261" s="1437"/>
      <c r="R261" s="1437"/>
      <c r="S261" s="1437"/>
      <c r="T261" s="1437"/>
      <c r="U261" s="1437"/>
      <c r="V261" s="1437"/>
      <c r="W261" s="1437"/>
      <c r="X261" s="1437"/>
      <c r="Y261" s="1437"/>
      <c r="Z261" s="1437"/>
      <c r="AA261" s="1437"/>
      <c r="AB261" s="1437"/>
      <c r="AC261" s="1437"/>
      <c r="AD261" s="1437"/>
      <c r="AE261" s="1437"/>
      <c r="AF261" s="3" t="s">
        <v>1176</v>
      </c>
      <c r="AL261" s="4"/>
      <c r="AM261" s="4"/>
      <c r="AN261" s="4"/>
      <c r="AO261" s="4"/>
      <c r="AP261" s="4"/>
      <c r="AQ261" s="4"/>
      <c r="AR261" s="4"/>
      <c r="AS261" s="4"/>
      <c r="AT261" s="4"/>
      <c r="BN261" s="34"/>
    </row>
    <row r="262" spans="1:66" ht="12.95" customHeight="1">
      <c r="A262" s="19"/>
      <c r="B262" s="4"/>
      <c r="C262" s="4"/>
      <c r="D262" s="4" t="s">
        <v>578</v>
      </c>
      <c r="E262" s="4"/>
      <c r="M262" s="1437"/>
      <c r="N262" s="1437"/>
      <c r="O262" s="1437"/>
      <c r="P262" s="1437"/>
      <c r="Q262" s="1437"/>
      <c r="R262" s="1437"/>
      <c r="S262" s="1437"/>
      <c r="T262" s="1437"/>
      <c r="V262" s="33" t="s">
        <v>86</v>
      </c>
      <c r="W262" s="1426"/>
      <c r="X262" s="1426"/>
      <c r="Y262" s="4" t="s">
        <v>581</v>
      </c>
      <c r="AC262" s="1437"/>
      <c r="AD262" s="1437"/>
      <c r="AE262" s="1437"/>
      <c r="AF262" s="3" t="s">
        <v>1177</v>
      </c>
      <c r="AU262" s="4"/>
      <c r="AV262" s="4"/>
      <c r="AW262" s="4"/>
      <c r="AX262" s="4"/>
      <c r="AY262" s="4"/>
      <c r="BN262" s="34"/>
    </row>
    <row r="263" spans="1:66" ht="12.95" customHeight="1">
      <c r="A263" s="19"/>
      <c r="B263" s="4"/>
      <c r="C263" s="4"/>
      <c r="D263" s="4" t="s">
        <v>87</v>
      </c>
      <c r="E263" s="4"/>
      <c r="F263" s="4"/>
      <c r="G263" s="4"/>
      <c r="H263" s="4"/>
      <c r="I263" s="4"/>
      <c r="J263" s="4"/>
      <c r="K263" s="4"/>
      <c r="L263" s="19"/>
      <c r="M263" s="1437"/>
      <c r="N263" s="1437"/>
      <c r="O263" s="1437"/>
      <c r="P263" s="1437"/>
      <c r="Q263" s="1437"/>
      <c r="R263" s="1437"/>
      <c r="S263" s="1437"/>
      <c r="T263" s="1437"/>
      <c r="U263" s="1437"/>
      <c r="V263" s="1437"/>
      <c r="W263" s="1437"/>
      <c r="X263" s="1437"/>
      <c r="Y263" s="1437"/>
      <c r="Z263" s="1437"/>
      <c r="AA263" s="1437"/>
      <c r="AB263" s="1437"/>
      <c r="AC263" s="1437"/>
      <c r="AD263" s="1437"/>
      <c r="AE263" s="1437"/>
      <c r="AH263" s="1748"/>
      <c r="AI263" s="1748"/>
      <c r="AJ263" s="1748"/>
      <c r="AK263" s="1748"/>
      <c r="AL263" s="4"/>
      <c r="AM263" s="4"/>
      <c r="AN263" s="4"/>
      <c r="AO263" s="4"/>
      <c r="AP263" s="4"/>
      <c r="AQ263" s="4"/>
      <c r="AR263" s="4"/>
      <c r="AS263" s="4"/>
      <c r="AT263" s="4"/>
    </row>
    <row r="264" spans="1:66" ht="12.95" customHeight="1">
      <c r="A264" s="19"/>
      <c r="B264" s="4"/>
      <c r="C264" s="4"/>
      <c r="D264" s="4" t="s">
        <v>88</v>
      </c>
      <c r="E264" s="4"/>
      <c r="F264" s="4"/>
      <c r="M264" s="1395"/>
      <c r="N264" s="1395"/>
      <c r="O264" s="1395"/>
      <c r="P264" s="1395"/>
      <c r="Q264" s="1395"/>
      <c r="R264" s="1395"/>
      <c r="S264" s="4" t="s">
        <v>205</v>
      </c>
      <c r="T264" s="4"/>
      <c r="U264" s="1426"/>
      <c r="V264" s="1426"/>
      <c r="W264" s="1426"/>
      <c r="X264" s="4" t="s">
        <v>89</v>
      </c>
      <c r="Z264" s="1395"/>
      <c r="AA264" s="1395"/>
      <c r="AB264" s="1395"/>
      <c r="AC264" s="1395"/>
      <c r="AD264" s="1395"/>
      <c r="AE264" s="1395"/>
      <c r="AU264" s="4"/>
      <c r="AV264" s="4"/>
      <c r="AW264" s="4"/>
      <c r="AX264" s="4"/>
      <c r="AY264" s="4"/>
      <c r="BN264" s="34"/>
    </row>
    <row r="265" spans="1:66" ht="12.95" customHeight="1">
      <c r="A265" s="19"/>
      <c r="B265" s="4"/>
      <c r="C265" s="4"/>
      <c r="D265" s="4" t="s">
        <v>90</v>
      </c>
      <c r="E265" s="4"/>
      <c r="F265" s="4"/>
      <c r="M265" s="1747"/>
      <c r="N265" s="1747"/>
      <c r="O265" s="1747"/>
      <c r="P265" s="1747"/>
      <c r="Q265" s="1747"/>
      <c r="R265" s="1747"/>
      <c r="S265" s="1747"/>
      <c r="T265" s="1747"/>
      <c r="U265" s="1747"/>
      <c r="V265" s="1747"/>
      <c r="W265" s="1747"/>
      <c r="X265" s="1747"/>
      <c r="Y265" s="1747"/>
      <c r="Z265" s="1747"/>
      <c r="AA265" s="1747"/>
      <c r="AB265" s="1747"/>
      <c r="AC265" s="1747"/>
      <c r="AD265" s="1747"/>
      <c r="AE265" s="1747"/>
      <c r="AG265" s="4"/>
      <c r="AH265" s="4"/>
      <c r="AI265" s="4"/>
      <c r="AJ265" s="4"/>
      <c r="AK265" s="4"/>
      <c r="AL265" s="4"/>
      <c r="AM265" s="4"/>
      <c r="AN265" s="4"/>
      <c r="AO265" s="4"/>
      <c r="AP265" s="4"/>
      <c r="AQ265" s="4"/>
      <c r="AR265" s="4"/>
      <c r="AS265" s="4"/>
      <c r="AT265" s="4"/>
      <c r="AU265" s="3"/>
      <c r="AV265" s="3"/>
      <c r="AW265" s="3"/>
      <c r="AX265" s="3"/>
      <c r="AY265" s="3"/>
      <c r="BN265" s="34"/>
    </row>
    <row r="266" spans="1:66" ht="12.95" customHeight="1">
      <c r="A266" s="13"/>
      <c r="B266" s="4"/>
      <c r="C266" s="56"/>
      <c r="D266" s="4" t="s">
        <v>533</v>
      </c>
      <c r="E266" s="4"/>
      <c r="F266" s="4"/>
      <c r="G266" s="4"/>
      <c r="H266" s="4"/>
      <c r="I266" s="4"/>
      <c r="J266" s="4"/>
      <c r="K266" s="4"/>
      <c r="L266" s="4"/>
      <c r="M266" s="1420" t="s">
        <v>306</v>
      </c>
      <c r="N266" s="1420"/>
      <c r="O266" s="1420"/>
      <c r="P266" s="1420"/>
      <c r="Q266" s="1420"/>
      <c r="R266" s="1420"/>
      <c r="S266" s="1420"/>
      <c r="T266" s="1420"/>
      <c r="U266" s="204" t="s">
        <v>904</v>
      </c>
      <c r="V266" s="204"/>
      <c r="W266" s="204"/>
      <c r="X266" s="204"/>
      <c r="Y266" s="204"/>
      <c r="Z266" s="204"/>
      <c r="AA266" s="1745"/>
      <c r="AB266" s="1745"/>
      <c r="AC266" s="1745"/>
      <c r="AD266" s="1745"/>
      <c r="AE266" s="1745"/>
      <c r="AF266" s="1745"/>
      <c r="AG266" s="1745"/>
      <c r="AH266" s="1745"/>
      <c r="AI266" s="1745"/>
      <c r="AJ266" s="1745"/>
      <c r="AK266" s="1745"/>
      <c r="AL266" s="3"/>
      <c r="AM266" s="3"/>
      <c r="AN266" s="3"/>
      <c r="AO266" s="3"/>
      <c r="AP266" s="3"/>
      <c r="AQ266" s="3"/>
      <c r="AR266" s="3"/>
      <c r="AS266" s="3"/>
      <c r="AT266" s="3"/>
      <c r="AU266" s="3"/>
      <c r="AV266" s="3"/>
      <c r="AW266" s="3"/>
      <c r="AX266" s="3"/>
      <c r="AY266" s="3"/>
    </row>
    <row r="267" spans="1:66" ht="12.95"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2.95" customHeight="1">
      <c r="A268" s="13"/>
      <c r="B268" s="4"/>
      <c r="C268" s="56" t="s">
        <v>874</v>
      </c>
      <c r="D268" s="4" t="s">
        <v>530</v>
      </c>
      <c r="E268" s="4"/>
      <c r="F268" s="4"/>
      <c r="G268" s="4"/>
      <c r="H268" s="4"/>
      <c r="I268" s="4"/>
      <c r="J268" s="4"/>
      <c r="K268" s="4"/>
      <c r="L268" s="4"/>
      <c r="M268" s="1744" t="s">
        <v>589</v>
      </c>
      <c r="N268" s="1744"/>
      <c r="O268" s="1744"/>
      <c r="P268" s="1744"/>
      <c r="Q268" s="1744"/>
      <c r="R268" s="1744"/>
      <c r="S268" s="1744"/>
      <c r="T268" s="1744"/>
      <c r="U268" s="1744"/>
      <c r="V268" s="1744"/>
      <c r="W268" s="1744"/>
      <c r="X268" s="1744"/>
      <c r="Y268" s="1744"/>
      <c r="Z268" s="1744"/>
      <c r="AA268" s="1744"/>
      <c r="AB268" s="1744"/>
      <c r="AC268" s="1744"/>
      <c r="AD268" s="1744"/>
      <c r="AE268" s="1744"/>
      <c r="AF268" s="1744" t="s">
        <v>306</v>
      </c>
      <c r="AG268" s="1744"/>
      <c r="AH268" s="1744"/>
      <c r="AI268" s="1744"/>
      <c r="AJ268" s="1744"/>
      <c r="AK268" s="1744"/>
      <c r="AL268" s="3"/>
      <c r="AM268" s="3"/>
      <c r="AN268" s="3"/>
      <c r="AO268" s="3"/>
      <c r="AP268" s="3"/>
      <c r="AQ268" s="3"/>
      <c r="AR268" s="3"/>
      <c r="AS268" s="3"/>
      <c r="AT268" s="3"/>
      <c r="AU268" s="3"/>
      <c r="AV268" s="3"/>
      <c r="AW268" s="3"/>
      <c r="AX268" s="3"/>
      <c r="AY268" s="3"/>
    </row>
    <row r="269" spans="1:66" ht="12.95" customHeight="1">
      <c r="A269" s="13"/>
      <c r="B269" s="4"/>
      <c r="C269" s="4"/>
      <c r="D269" s="4" t="s">
        <v>85</v>
      </c>
      <c r="E269" s="4"/>
      <c r="F269" s="4"/>
      <c r="G269" s="4"/>
      <c r="H269" s="4"/>
      <c r="I269" s="4"/>
      <c r="J269" s="4"/>
      <c r="K269" s="4"/>
      <c r="L269" s="4"/>
      <c r="M269" s="1437"/>
      <c r="N269" s="1437"/>
      <c r="O269" s="1437"/>
      <c r="P269" s="1437"/>
      <c r="Q269" s="1437"/>
      <c r="R269" s="1437"/>
      <c r="S269" s="1437"/>
      <c r="T269" s="1437"/>
      <c r="U269" s="1437"/>
      <c r="V269" s="1437"/>
      <c r="W269" s="1437"/>
      <c r="X269" s="1437"/>
      <c r="Y269" s="1437"/>
      <c r="Z269" s="1437"/>
      <c r="AA269" s="1437"/>
      <c r="AB269" s="1437"/>
      <c r="AC269" s="1437"/>
      <c r="AD269" s="1437"/>
      <c r="AE269" s="1437"/>
      <c r="AF269" s="3" t="s">
        <v>1176</v>
      </c>
      <c r="AL269" s="3"/>
      <c r="AM269" s="3"/>
      <c r="AN269" s="3"/>
      <c r="AO269" s="3"/>
      <c r="AP269" s="3"/>
      <c r="AQ269" s="3"/>
      <c r="AR269" s="3"/>
      <c r="AS269" s="3"/>
      <c r="AT269" s="3"/>
      <c r="AU269" s="3"/>
      <c r="AV269" s="3"/>
      <c r="AW269" s="3"/>
      <c r="AX269" s="3"/>
      <c r="AY269" s="3"/>
    </row>
    <row r="270" spans="1:66" ht="12.95" customHeight="1">
      <c r="A270" s="13"/>
      <c r="B270" s="4"/>
      <c r="C270" s="4"/>
      <c r="D270" s="4" t="s">
        <v>578</v>
      </c>
      <c r="E270" s="4"/>
      <c r="M270" s="1437"/>
      <c r="N270" s="1437"/>
      <c r="O270" s="1437"/>
      <c r="P270" s="1437"/>
      <c r="Q270" s="1437"/>
      <c r="R270" s="1437"/>
      <c r="S270" s="1437"/>
      <c r="T270" s="1437"/>
      <c r="V270" s="33" t="s">
        <v>86</v>
      </c>
      <c r="W270" s="1426"/>
      <c r="X270" s="1426"/>
      <c r="Y270" s="4" t="s">
        <v>581</v>
      </c>
      <c r="AC270" s="1437"/>
      <c r="AD270" s="1437"/>
      <c r="AE270" s="1437"/>
      <c r="AF270" s="3" t="s">
        <v>1177</v>
      </c>
      <c r="AL270" s="3"/>
      <c r="AM270" s="3"/>
      <c r="AN270" s="3"/>
      <c r="AO270" s="3"/>
      <c r="AP270" s="3"/>
      <c r="AQ270" s="3"/>
      <c r="AR270" s="3"/>
      <c r="AS270" s="3"/>
      <c r="AT270" s="3"/>
      <c r="AU270" s="3"/>
      <c r="AV270" s="3"/>
      <c r="AW270" s="3"/>
      <c r="AX270" s="3"/>
      <c r="AY270" s="3"/>
    </row>
    <row r="271" spans="1:66" ht="12.95" customHeight="1">
      <c r="A271" s="13"/>
      <c r="B271" s="4"/>
      <c r="C271" s="4"/>
      <c r="D271" s="4" t="s">
        <v>87</v>
      </c>
      <c r="E271" s="4"/>
      <c r="F271" s="4"/>
      <c r="G271" s="4"/>
      <c r="H271" s="4"/>
      <c r="I271" s="4"/>
      <c r="J271" s="4"/>
      <c r="K271" s="4"/>
      <c r="L271" s="19"/>
      <c r="M271" s="1437"/>
      <c r="N271" s="1437"/>
      <c r="O271" s="1437"/>
      <c r="P271" s="1437"/>
      <c r="Q271" s="1437"/>
      <c r="R271" s="1437"/>
      <c r="S271" s="1437"/>
      <c r="T271" s="1437"/>
      <c r="U271" s="1437"/>
      <c r="V271" s="1437"/>
      <c r="W271" s="1437"/>
      <c r="X271" s="1437"/>
      <c r="Y271" s="1437"/>
      <c r="Z271" s="1437"/>
      <c r="AA271" s="1437"/>
      <c r="AB271" s="1437"/>
      <c r="AC271" s="1437"/>
      <c r="AD271" s="1437"/>
      <c r="AE271" s="1437"/>
      <c r="AH271" s="1748"/>
      <c r="AI271" s="1748"/>
      <c r="AJ271" s="1748"/>
      <c r="AK271" s="1748"/>
      <c r="AL271" s="3"/>
      <c r="AM271" s="3"/>
      <c r="AN271" s="3"/>
      <c r="AO271" s="3"/>
      <c r="AP271" s="3"/>
      <c r="AQ271" s="3"/>
      <c r="AR271" s="3"/>
      <c r="AS271" s="3"/>
      <c r="AT271" s="3"/>
      <c r="AU271" s="3"/>
      <c r="AV271" s="3"/>
      <c r="AW271" s="3"/>
      <c r="AX271" s="3"/>
      <c r="AY271" s="3"/>
    </row>
    <row r="272" spans="1:66" ht="12.95" customHeight="1">
      <c r="A272" s="13"/>
      <c r="B272" s="4"/>
      <c r="C272" s="4"/>
      <c r="D272" s="4" t="s">
        <v>88</v>
      </c>
      <c r="E272" s="4"/>
      <c r="F272" s="4"/>
      <c r="M272" s="1395"/>
      <c r="N272" s="1395"/>
      <c r="O272" s="1395"/>
      <c r="P272" s="1395"/>
      <c r="Q272" s="1395"/>
      <c r="R272" s="1395"/>
      <c r="S272" s="4" t="s">
        <v>205</v>
      </c>
      <c r="T272" s="4"/>
      <c r="U272" s="1426"/>
      <c r="V272" s="1426"/>
      <c r="W272" s="1426"/>
      <c r="X272" s="4" t="s">
        <v>89</v>
      </c>
      <c r="Z272" s="1395"/>
      <c r="AA272" s="1395"/>
      <c r="AB272" s="1395"/>
      <c r="AC272" s="1395"/>
      <c r="AD272" s="1395"/>
      <c r="AE272" s="1395"/>
      <c r="AL272" s="3"/>
      <c r="AM272" s="3"/>
      <c r="AN272" s="3"/>
      <c r="AO272" s="3"/>
      <c r="AP272" s="3"/>
      <c r="AQ272" s="3"/>
      <c r="AR272" s="3"/>
      <c r="AS272" s="3"/>
      <c r="AT272" s="3"/>
      <c r="AU272" s="3"/>
      <c r="AV272" s="3"/>
      <c r="AW272" s="3"/>
      <c r="AX272" s="3"/>
      <c r="AY272" s="3"/>
    </row>
    <row r="273" spans="1:51" ht="12.95" customHeight="1">
      <c r="A273" s="13"/>
      <c r="B273" s="4"/>
      <c r="C273" s="4"/>
      <c r="D273" s="4" t="s">
        <v>90</v>
      </c>
      <c r="E273" s="4"/>
      <c r="F273" s="4"/>
      <c r="M273" s="1747"/>
      <c r="N273" s="1747"/>
      <c r="O273" s="1747"/>
      <c r="P273" s="1747"/>
      <c r="Q273" s="1747"/>
      <c r="R273" s="1747"/>
      <c r="S273" s="1747"/>
      <c r="T273" s="1747"/>
      <c r="U273" s="1747"/>
      <c r="V273" s="1747"/>
      <c r="W273" s="1747"/>
      <c r="X273" s="1747"/>
      <c r="Y273" s="1747"/>
      <c r="Z273" s="1747"/>
      <c r="AA273" s="1754"/>
      <c r="AB273" s="1754"/>
      <c r="AC273" s="1754"/>
      <c r="AD273" s="1754"/>
      <c r="AE273" s="1754"/>
      <c r="AG273" s="4"/>
      <c r="AH273" s="4"/>
      <c r="AI273" s="4"/>
      <c r="AJ273" s="4"/>
      <c r="AK273" s="4"/>
      <c r="AL273" s="3"/>
      <c r="AM273" s="3"/>
      <c r="AN273" s="3"/>
      <c r="AO273" s="3"/>
      <c r="AP273" s="3"/>
      <c r="AQ273" s="3"/>
      <c r="AR273" s="3"/>
      <c r="AS273" s="3"/>
      <c r="AT273" s="3"/>
      <c r="AU273" s="3"/>
      <c r="AV273" s="3"/>
      <c r="AW273" s="3"/>
      <c r="AX273" s="3"/>
      <c r="AY273" s="3"/>
    </row>
    <row r="274" spans="1:51" ht="12.95" customHeight="1">
      <c r="A274" s="13"/>
      <c r="B274" s="4"/>
      <c r="C274" s="56"/>
      <c r="D274" s="4" t="s">
        <v>533</v>
      </c>
      <c r="E274" s="4"/>
      <c r="F274" s="4"/>
      <c r="G274" s="4"/>
      <c r="H274" s="4"/>
      <c r="I274" s="4"/>
      <c r="J274" s="4"/>
      <c r="K274" s="4"/>
      <c r="L274" s="4"/>
      <c r="M274" s="1420" t="s">
        <v>306</v>
      </c>
      <c r="N274" s="1420"/>
      <c r="O274" s="1420"/>
      <c r="P274" s="1420"/>
      <c r="Q274" s="1420"/>
      <c r="R274" s="1420"/>
      <c r="S274" s="1420"/>
      <c r="T274" s="1420"/>
      <c r="U274" s="204" t="s">
        <v>904</v>
      </c>
      <c r="V274" s="204"/>
      <c r="W274" s="204"/>
      <c r="X274" s="204"/>
      <c r="Y274" s="204"/>
      <c r="Z274" s="204"/>
      <c r="AA274" s="1746"/>
      <c r="AB274" s="1746"/>
      <c r="AC274" s="1746"/>
      <c r="AD274" s="1746"/>
      <c r="AE274" s="1746"/>
      <c r="AF274" s="1746"/>
      <c r="AG274" s="1746"/>
      <c r="AH274" s="1746"/>
      <c r="AI274" s="1746"/>
      <c r="AJ274" s="1746"/>
      <c r="AK274" s="1746"/>
      <c r="AL274" s="3"/>
      <c r="AM274" s="3"/>
      <c r="AN274" s="3"/>
      <c r="AO274" s="3"/>
      <c r="AP274" s="3"/>
      <c r="AQ274" s="3"/>
      <c r="AR274" s="3"/>
      <c r="AS274" s="3"/>
      <c r="AT274" s="3"/>
    </row>
    <row r="275" spans="1:51" ht="12.95"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2.95" customHeight="1">
      <c r="A276" s="57" t="s">
        <v>588</v>
      </c>
      <c r="B276" s="4"/>
      <c r="C276" s="2" t="s">
        <v>294</v>
      </c>
      <c r="D276" s="4"/>
      <c r="E276" s="4"/>
      <c r="F276" s="4"/>
      <c r="G276" s="4"/>
      <c r="H276" s="4"/>
      <c r="I276" s="4"/>
      <c r="J276" s="4"/>
      <c r="K276" s="4"/>
      <c r="L276" s="4"/>
      <c r="M276" s="35"/>
      <c r="N276" s="35"/>
      <c r="O276" s="35"/>
      <c r="P276" s="35"/>
      <c r="Q276" s="35"/>
      <c r="T276" s="1749" t="str">
        <f>IFERROR(BO254,"")</f>
        <v>Nonprofit</v>
      </c>
      <c r="U276" s="1749"/>
      <c r="V276" s="1749"/>
      <c r="W276" s="1749"/>
      <c r="X276" s="1749"/>
      <c r="Z276" s="307" t="s">
        <v>952</v>
      </c>
      <c r="AA276" s="308"/>
      <c r="AB276" s="308"/>
      <c r="AC276" s="308"/>
      <c r="AD276" s="105"/>
      <c r="AE276" s="105"/>
      <c r="AF276" s="105"/>
      <c r="AG276" s="105"/>
      <c r="AH276" s="105"/>
      <c r="AI276" s="105"/>
      <c r="AJ276" s="105"/>
      <c r="AK276" s="309"/>
      <c r="AL276" s="58"/>
    </row>
    <row r="277" spans="1:51" ht="12.95" customHeight="1">
      <c r="A277" s="2"/>
      <c r="B277" s="4"/>
      <c r="C277" s="2"/>
      <c r="I277" s="4"/>
      <c r="J277" s="4"/>
      <c r="K277" s="4"/>
      <c r="L277" s="4"/>
      <c r="M277" s="35"/>
      <c r="N277" s="35"/>
      <c r="O277" s="35"/>
      <c r="P277" s="35"/>
      <c r="Q277" s="35"/>
      <c r="T277" s="4"/>
      <c r="U277" s="4"/>
      <c r="V277" s="4"/>
      <c r="W277" s="35"/>
      <c r="Z277" s="310" t="s">
        <v>805</v>
      </c>
      <c r="AF277" s="4"/>
      <c r="AG277" s="4"/>
      <c r="AH277" s="4"/>
      <c r="AI277" s="4"/>
      <c r="AJ277" s="4"/>
      <c r="AL277" s="65"/>
    </row>
    <row r="278" spans="1:51" ht="12.95" customHeight="1">
      <c r="A278" s="2" t="s">
        <v>590</v>
      </c>
      <c r="B278" s="4"/>
      <c r="C278" s="2" t="s">
        <v>171</v>
      </c>
      <c r="D278" s="4"/>
      <c r="E278" s="4"/>
      <c r="F278" s="4"/>
      <c r="G278" s="4"/>
      <c r="H278" s="4"/>
      <c r="I278" s="4"/>
      <c r="J278" s="4"/>
      <c r="K278" s="4"/>
      <c r="L278" s="4"/>
      <c r="M278" s="4"/>
      <c r="N278" s="4"/>
      <c r="O278" s="4"/>
      <c r="P278" s="4"/>
      <c r="Q278" s="4"/>
      <c r="R278" s="4"/>
      <c r="S278" s="4"/>
      <c r="T278" s="4"/>
      <c r="U278" s="4"/>
      <c r="V278" s="4"/>
      <c r="W278" s="4"/>
      <c r="Z278" s="311" t="s">
        <v>951</v>
      </c>
      <c r="AA278" s="48"/>
      <c r="AB278" s="48"/>
      <c r="AC278" s="48"/>
      <c r="AD278" s="48"/>
      <c r="AE278" s="48"/>
      <c r="AF278" s="104"/>
      <c r="AG278" s="104"/>
      <c r="AH278" s="104"/>
      <c r="AI278" s="104"/>
      <c r="AJ278" s="104"/>
      <c r="AK278" s="48"/>
      <c r="AL278" s="49"/>
    </row>
    <row r="279" spans="1:51" ht="12.95" customHeight="1">
      <c r="A279" s="4"/>
      <c r="B279" s="36">
        <v>0</v>
      </c>
      <c r="D279" s="1437" t="s">
        <v>279</v>
      </c>
      <c r="E279" s="1437"/>
      <c r="F279" s="1437"/>
      <c r="G279" s="1437"/>
      <c r="H279" s="1437"/>
      <c r="J279" t="s">
        <v>278</v>
      </c>
      <c r="X279" s="1674"/>
      <c r="Y279" s="1674"/>
      <c r="Z279" s="1674"/>
      <c r="AA279" s="1674"/>
      <c r="AB279" s="1674"/>
      <c r="AC279" s="1674"/>
      <c r="AU279" s="3"/>
      <c r="AV279" s="3"/>
      <c r="AW279" s="3"/>
      <c r="AX279" s="3"/>
      <c r="AY279" s="3"/>
    </row>
    <row r="280" spans="1:51" ht="12.95" customHeight="1">
      <c r="A280" s="4"/>
      <c r="B280" s="19"/>
      <c r="D280" s="37" t="s">
        <v>280</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2.95"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2.95" customHeight="1">
      <c r="A282" s="2" t="s">
        <v>465</v>
      </c>
      <c r="B282" s="2"/>
      <c r="C282" s="2" t="s">
        <v>620</v>
      </c>
      <c r="D282" s="4"/>
      <c r="E282" s="4"/>
      <c r="F282" s="4"/>
      <c r="G282" s="4"/>
      <c r="H282" s="4"/>
      <c r="I282" s="4"/>
      <c r="J282" s="4"/>
      <c r="K282" s="4"/>
      <c r="L282" s="4"/>
      <c r="M282" s="4"/>
      <c r="N282" s="4"/>
      <c r="O282" s="4"/>
      <c r="P282" s="4"/>
      <c r="Q282" s="4"/>
      <c r="R282" s="4"/>
      <c r="S282" s="4"/>
      <c r="T282" s="4"/>
      <c r="AU282" s="3"/>
      <c r="AV282" s="3"/>
      <c r="AW282" s="3"/>
      <c r="AX282" s="3"/>
      <c r="AY282" s="3"/>
    </row>
    <row r="283" spans="1:51" ht="12.95" customHeight="1">
      <c r="D283" s="4" t="s">
        <v>295</v>
      </c>
      <c r="E283" s="4"/>
      <c r="F283" s="4"/>
      <c r="G283" s="4"/>
      <c r="H283" s="4"/>
      <c r="I283" s="4"/>
      <c r="J283" s="4"/>
      <c r="K283" s="4"/>
      <c r="L283" s="1439" t="s">
        <v>2699</v>
      </c>
      <c r="M283" s="1744"/>
      <c r="N283" s="1744"/>
      <c r="O283" s="1744"/>
      <c r="P283" s="1744"/>
      <c r="Q283" s="1744"/>
      <c r="R283" s="1744"/>
      <c r="S283" s="1744"/>
      <c r="T283" s="1744"/>
      <c r="U283" s="1744"/>
      <c r="V283" s="1744"/>
      <c r="W283" s="1744"/>
      <c r="X283" s="1744"/>
      <c r="Y283" s="1744"/>
      <c r="Z283" s="1744"/>
      <c r="AA283" s="1744"/>
      <c r="AB283" s="1744"/>
      <c r="AC283" s="1744"/>
      <c r="AD283" s="1744"/>
      <c r="AE283" s="1744"/>
      <c r="AF283" s="1744"/>
      <c r="AG283" s="1744"/>
      <c r="AH283" s="1744"/>
      <c r="AI283" s="1744"/>
      <c r="AJ283" s="1744"/>
      <c r="AK283" s="3"/>
      <c r="AL283" s="3"/>
      <c r="AM283" s="3"/>
      <c r="AN283" s="3"/>
      <c r="AO283" s="3"/>
      <c r="AP283" s="3"/>
      <c r="AQ283" s="3"/>
      <c r="AR283" s="3"/>
      <c r="AS283" s="3"/>
      <c r="AT283" s="3"/>
      <c r="AU283" s="3"/>
      <c r="AV283" s="3"/>
      <c r="AW283" s="3"/>
      <c r="AX283" s="3"/>
      <c r="AY283" s="3"/>
    </row>
    <row r="284" spans="1:51" ht="12.95" customHeight="1">
      <c r="D284" s="4" t="s">
        <v>85</v>
      </c>
      <c r="E284" s="4"/>
      <c r="F284" s="4"/>
      <c r="G284" s="4"/>
      <c r="H284" s="4"/>
      <c r="I284" s="4"/>
      <c r="J284" s="4"/>
      <c r="K284" s="4"/>
      <c r="L284" s="1437" t="s">
        <v>2662</v>
      </c>
      <c r="M284" s="1437"/>
      <c r="N284" s="1437"/>
      <c r="O284" s="1437"/>
      <c r="P284" s="1437"/>
      <c r="Q284" s="1437"/>
      <c r="R284" s="1437"/>
      <c r="S284" s="1437"/>
      <c r="T284" s="1437"/>
      <c r="U284" s="1437"/>
      <c r="V284" s="1437"/>
      <c r="W284" s="1437"/>
      <c r="X284" s="1437"/>
      <c r="Y284" s="1437"/>
      <c r="Z284" s="1437"/>
      <c r="AA284" s="1437"/>
      <c r="AB284" s="1437"/>
      <c r="AC284" s="1437"/>
      <c r="AD284" s="1437"/>
      <c r="AK284" s="3"/>
      <c r="AL284" s="3"/>
      <c r="AM284" s="3"/>
      <c r="AN284" s="3"/>
      <c r="AO284" s="3"/>
      <c r="AP284" s="3"/>
      <c r="AQ284" s="3"/>
      <c r="AR284" s="3"/>
      <c r="AS284" s="3"/>
      <c r="AT284" s="3"/>
      <c r="AU284" s="3"/>
      <c r="AV284" s="3"/>
      <c r="AW284" s="3"/>
      <c r="AX284" s="3"/>
      <c r="AY284" s="3"/>
    </row>
    <row r="285" spans="1:51" ht="12.95" customHeight="1">
      <c r="D285" s="4" t="s">
        <v>578</v>
      </c>
      <c r="E285" s="4"/>
      <c r="L285" s="1396" t="s">
        <v>2663</v>
      </c>
      <c r="M285" s="1437"/>
      <c r="N285" s="1437"/>
      <c r="O285" s="1437"/>
      <c r="P285" s="1437"/>
      <c r="Q285" s="1437"/>
      <c r="R285" s="1437"/>
      <c r="S285" s="1437"/>
      <c r="U285" s="33" t="s">
        <v>86</v>
      </c>
      <c r="V285" s="1412" t="s">
        <v>2664</v>
      </c>
      <c r="W285" s="1426"/>
      <c r="X285" s="4" t="s">
        <v>581</v>
      </c>
      <c r="AB285" s="1437">
        <v>90807</v>
      </c>
      <c r="AC285" s="1437"/>
      <c r="AD285" s="1437"/>
      <c r="AK285" s="3"/>
      <c r="AL285" s="3"/>
      <c r="AM285" s="3"/>
      <c r="AN285" s="3"/>
      <c r="AO285" s="3"/>
      <c r="AP285" s="3"/>
      <c r="AQ285" s="3"/>
      <c r="AR285" s="3"/>
      <c r="AS285" s="3"/>
      <c r="AT285" s="3"/>
      <c r="AU285" s="3"/>
      <c r="AV285" s="3"/>
      <c r="AW285" s="3"/>
      <c r="AX285" s="3"/>
      <c r="AY285" s="3"/>
    </row>
    <row r="286" spans="1:51" ht="12.95" customHeight="1">
      <c r="D286" s="4" t="s">
        <v>87</v>
      </c>
      <c r="E286" s="4"/>
      <c r="F286" s="4"/>
      <c r="G286" s="4"/>
      <c r="H286" s="4"/>
      <c r="I286" s="4"/>
      <c r="J286" s="4"/>
      <c r="K286" s="19"/>
      <c r="L286" s="1396" t="s">
        <v>2700</v>
      </c>
      <c r="M286" s="1437"/>
      <c r="N286" s="1437"/>
      <c r="O286" s="1437"/>
      <c r="P286" s="1437"/>
      <c r="Q286" s="1437"/>
      <c r="R286" s="1437"/>
      <c r="S286" s="1437"/>
      <c r="T286" s="1437"/>
      <c r="U286" s="1437"/>
      <c r="V286" s="1437"/>
      <c r="W286" s="1437"/>
      <c r="X286" s="1437"/>
      <c r="Y286" s="1437"/>
      <c r="Z286" s="1437"/>
      <c r="AA286" s="1437"/>
      <c r="AB286" s="1437"/>
      <c r="AC286" s="1437"/>
      <c r="AD286" s="1437"/>
      <c r="AI286" s="4"/>
      <c r="AJ286" s="4"/>
      <c r="AK286" s="3"/>
      <c r="AL286" s="3"/>
      <c r="AM286" s="3"/>
      <c r="AN286" s="3"/>
      <c r="AO286" s="3"/>
      <c r="AP286" s="3"/>
      <c r="AQ286" s="3"/>
      <c r="AR286" s="3"/>
      <c r="AS286" s="3"/>
      <c r="AT286" s="3"/>
    </row>
    <row r="287" spans="1:51" ht="12.95" customHeight="1">
      <c r="D287" s="4" t="s">
        <v>88</v>
      </c>
      <c r="E287" s="4"/>
      <c r="F287" s="4"/>
      <c r="L287" s="1394" t="s">
        <v>2701</v>
      </c>
      <c r="M287" s="1395"/>
      <c r="N287" s="1395"/>
      <c r="O287" s="1395"/>
      <c r="P287" s="1395"/>
      <c r="Q287" s="1395"/>
      <c r="R287" s="4" t="s">
        <v>205</v>
      </c>
      <c r="S287" s="4"/>
      <c r="T287" s="1412" t="s">
        <v>589</v>
      </c>
      <c r="U287" s="1426"/>
      <c r="V287" s="1426"/>
      <c r="W287" s="4" t="s">
        <v>89</v>
      </c>
      <c r="Y287" s="1394" t="s">
        <v>589</v>
      </c>
      <c r="Z287" s="1395"/>
      <c r="AA287" s="1395"/>
      <c r="AB287" s="1395"/>
      <c r="AC287" s="1395"/>
      <c r="AD287" s="1395"/>
    </row>
    <row r="288" spans="1:51" ht="12.95" customHeight="1">
      <c r="D288" s="4" t="s">
        <v>90</v>
      </c>
      <c r="E288" s="4"/>
      <c r="F288" s="4"/>
      <c r="L288" s="1747" t="s">
        <v>2702</v>
      </c>
      <c r="M288" s="1747"/>
      <c r="N288" s="1747"/>
      <c r="O288" s="1747"/>
      <c r="P288" s="1747"/>
      <c r="Q288" s="1747"/>
      <c r="R288" s="1747"/>
      <c r="S288" s="1747"/>
      <c r="T288" s="1747"/>
      <c r="U288" s="1747"/>
      <c r="V288" s="1747"/>
      <c r="W288" s="1747"/>
      <c r="X288" s="1747"/>
      <c r="Y288" s="1747"/>
      <c r="Z288" s="1747"/>
      <c r="AA288" s="1747"/>
      <c r="AB288" s="1747"/>
      <c r="AC288" s="1747"/>
      <c r="AD288" s="1747"/>
      <c r="AF288" s="4"/>
      <c r="AG288" s="4"/>
      <c r="AH288" s="4"/>
      <c r="AI288" s="4"/>
      <c r="AJ288" s="4"/>
      <c r="AU288" s="3"/>
      <c r="AV288" s="3"/>
      <c r="AW288" s="3"/>
      <c r="AX288" s="3"/>
      <c r="AY288" s="3"/>
    </row>
    <row r="289" spans="1:51" ht="12.95" customHeight="1">
      <c r="D289" s="3" t="s">
        <v>621</v>
      </c>
      <c r="E289" s="3"/>
      <c r="F289" s="3"/>
      <c r="G289" s="3"/>
      <c r="H289" s="3"/>
      <c r="I289" s="3"/>
      <c r="L289" s="1412" t="s">
        <v>2777</v>
      </c>
      <c r="M289" s="1412"/>
      <c r="N289" s="1412"/>
      <c r="O289" s="1412"/>
      <c r="P289" s="1412"/>
      <c r="Q289" s="1412"/>
      <c r="R289" s="1412"/>
      <c r="S289" s="1412"/>
      <c r="T289" s="1412"/>
      <c r="U289" s="1412"/>
      <c r="V289" s="1412"/>
      <c r="W289" s="1412"/>
      <c r="X289" s="1412"/>
      <c r="Y289" s="1412"/>
      <c r="Z289" s="1412"/>
      <c r="AA289" s="1412"/>
      <c r="AB289" s="1412"/>
      <c r="AC289" s="1412"/>
      <c r="AD289" s="1412"/>
      <c r="AK289" s="3"/>
      <c r="AL289" s="3"/>
      <c r="AM289" s="3"/>
      <c r="AN289" s="3"/>
      <c r="AO289" s="3"/>
      <c r="AP289" s="3"/>
      <c r="AQ289" s="3"/>
      <c r="AR289" s="3"/>
      <c r="AS289" s="3"/>
      <c r="AT289" s="3"/>
    </row>
    <row r="290" spans="1:51" ht="12.95" customHeight="1">
      <c r="L290" s="22" t="s">
        <v>622</v>
      </c>
      <c r="AU290" s="95"/>
      <c r="AV290" s="95"/>
      <c r="AW290" s="95"/>
      <c r="AX290" s="95"/>
      <c r="AY290" s="95"/>
    </row>
    <row r="291" spans="1:51" ht="12.95" customHeight="1">
      <c r="A291" s="1441" t="s">
        <v>539</v>
      </c>
      <c r="B291" s="1441"/>
      <c r="C291" s="1441"/>
      <c r="D291" s="1441"/>
      <c r="E291" s="1441"/>
      <c r="F291" s="1441"/>
      <c r="G291" s="1441"/>
      <c r="H291" s="1441"/>
      <c r="I291" s="1441"/>
      <c r="J291" s="1441"/>
      <c r="K291" s="1441"/>
      <c r="L291" s="1441"/>
      <c r="M291" s="1441"/>
      <c r="N291" s="1441"/>
      <c r="O291" s="1441"/>
      <c r="P291" s="1441"/>
      <c r="Q291" s="1441"/>
      <c r="R291" s="1441"/>
      <c r="S291" s="1441"/>
      <c r="T291" s="1441"/>
      <c r="U291" s="1441"/>
      <c r="V291" s="1441"/>
      <c r="W291" s="1441"/>
      <c r="X291" s="1441"/>
      <c r="Y291" s="1441"/>
      <c r="Z291" s="1441"/>
      <c r="AA291" s="1441"/>
      <c r="AB291" s="1441"/>
      <c r="AC291" s="1441"/>
      <c r="AD291" s="1441"/>
      <c r="AE291" s="1441"/>
      <c r="AF291" s="1441"/>
      <c r="AG291" s="1441"/>
      <c r="AH291" s="1441"/>
      <c r="AI291" s="1441"/>
      <c r="AJ291" s="1441"/>
      <c r="AK291" s="1441"/>
      <c r="AL291" s="1441"/>
      <c r="AM291" s="1441"/>
      <c r="AN291" s="1441"/>
      <c r="AO291" s="1441"/>
      <c r="AP291" s="1441"/>
      <c r="AQ291" s="1441"/>
      <c r="AR291" s="1441"/>
      <c r="AS291" s="1441"/>
      <c r="AT291" s="1441"/>
      <c r="AU291" s="95"/>
      <c r="AV291" s="95"/>
      <c r="AW291" s="95"/>
      <c r="AX291" s="95"/>
      <c r="AY291" s="95"/>
    </row>
    <row r="292" spans="1:51" ht="12.95" customHeight="1">
      <c r="A292" s="1441"/>
      <c r="B292" s="1441"/>
      <c r="C292" s="1441"/>
      <c r="D292" s="1441"/>
      <c r="E292" s="1441"/>
      <c r="F292" s="1441"/>
      <c r="G292" s="1441"/>
      <c r="H292" s="1441"/>
      <c r="I292" s="1441"/>
      <c r="J292" s="1441"/>
      <c r="K292" s="1441"/>
      <c r="L292" s="1441"/>
      <c r="M292" s="1441"/>
      <c r="N292" s="1441"/>
      <c r="O292" s="1441"/>
      <c r="P292" s="1441"/>
      <c r="Q292" s="1441"/>
      <c r="R292" s="1441"/>
      <c r="S292" s="1441"/>
      <c r="T292" s="1441"/>
      <c r="U292" s="1441"/>
      <c r="V292" s="1441"/>
      <c r="W292" s="1441"/>
      <c r="X292" s="1441"/>
      <c r="Y292" s="1441"/>
      <c r="Z292" s="1441"/>
      <c r="AA292" s="1441"/>
      <c r="AB292" s="1441"/>
      <c r="AC292" s="1441"/>
      <c r="AD292" s="1441"/>
      <c r="AE292" s="1441"/>
      <c r="AF292" s="1441"/>
      <c r="AG292" s="1441"/>
      <c r="AH292" s="1441"/>
      <c r="AI292" s="1441"/>
      <c r="AJ292" s="1441"/>
      <c r="AK292" s="1441"/>
      <c r="AL292" s="1441"/>
      <c r="AM292" s="1441"/>
      <c r="AN292" s="1441"/>
      <c r="AO292" s="1441"/>
      <c r="AP292" s="1441"/>
      <c r="AQ292" s="1441"/>
      <c r="AR292" s="1441"/>
      <c r="AS292" s="1441"/>
      <c r="AT292" s="1441"/>
      <c r="AU292" s="25"/>
      <c r="AV292" s="25"/>
      <c r="AW292" s="25"/>
      <c r="AX292" s="25"/>
      <c r="AY292" s="25"/>
    </row>
    <row r="293" spans="1:51" ht="12.95"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2.95" customHeight="1">
      <c r="A294" s="2" t="s">
        <v>318</v>
      </c>
      <c r="C294" s="2" t="s">
        <v>623</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5" customHeight="1">
      <c r="B296" s="3" t="s">
        <v>624</v>
      </c>
      <c r="C296" s="3"/>
      <c r="D296" s="3"/>
      <c r="E296" s="3"/>
      <c r="F296" s="3"/>
      <c r="H296" s="1397" t="s">
        <v>2665</v>
      </c>
      <c r="I296" s="1397"/>
      <c r="J296" s="1397"/>
      <c r="K296" s="1397"/>
      <c r="L296" s="1397"/>
      <c r="M296" s="1397"/>
      <c r="N296" s="1397"/>
      <c r="O296" s="1397"/>
      <c r="P296" s="1397"/>
      <c r="Q296" s="1397"/>
      <c r="R296" s="1397"/>
      <c r="T296" s="3" t="s">
        <v>565</v>
      </c>
      <c r="V296" s="3"/>
      <c r="W296" s="3"/>
      <c r="X296" s="3"/>
      <c r="Y296" s="3"/>
      <c r="AA296" s="1397" t="s">
        <v>2703</v>
      </c>
      <c r="AB296" s="1397"/>
      <c r="AC296" s="1397"/>
      <c r="AD296" s="1397"/>
      <c r="AE296" s="1397"/>
      <c r="AF296" s="1397"/>
      <c r="AG296" s="1397"/>
      <c r="AH296" s="1397"/>
      <c r="AI296" s="1397"/>
      <c r="AJ296" s="1397"/>
      <c r="AK296" s="1397"/>
    </row>
    <row r="297" spans="1:51" ht="12.95" customHeight="1">
      <c r="B297" s="3" t="s">
        <v>469</v>
      </c>
      <c r="C297" s="3"/>
      <c r="D297" s="3"/>
      <c r="E297" s="3"/>
      <c r="F297" s="3"/>
      <c r="H297" s="1420" t="s">
        <v>2666</v>
      </c>
      <c r="I297" s="1420"/>
      <c r="J297" s="1420"/>
      <c r="K297" s="1420"/>
      <c r="L297" s="1420"/>
      <c r="M297" s="1420"/>
      <c r="N297" s="1420"/>
      <c r="O297" s="1420"/>
      <c r="P297" s="1420"/>
      <c r="Q297" s="1420"/>
      <c r="R297" s="1420"/>
      <c r="T297" s="3" t="s">
        <v>469</v>
      </c>
      <c r="V297" s="3"/>
      <c r="W297" s="3"/>
      <c r="X297" s="3"/>
      <c r="Y297" s="3"/>
      <c r="AA297" s="1420" t="s">
        <v>2704</v>
      </c>
      <c r="AB297" s="1420"/>
      <c r="AC297" s="1420"/>
      <c r="AD297" s="1420"/>
      <c r="AE297" s="1420"/>
      <c r="AF297" s="1420"/>
      <c r="AG297" s="1420"/>
      <c r="AH297" s="1420"/>
      <c r="AI297" s="1420"/>
      <c r="AJ297" s="1420"/>
      <c r="AK297" s="1420"/>
    </row>
    <row r="298" spans="1:51" ht="12.95" customHeight="1">
      <c r="B298" s="3" t="s">
        <v>470</v>
      </c>
      <c r="C298" s="3"/>
      <c r="D298" s="3"/>
      <c r="E298" s="3"/>
      <c r="F298" s="3"/>
      <c r="H298" s="1420" t="s">
        <v>2667</v>
      </c>
      <c r="I298" s="1420"/>
      <c r="J298" s="1420"/>
      <c r="K298" s="1420"/>
      <c r="L298" s="1420"/>
      <c r="M298" s="1420"/>
      <c r="N298" s="1420"/>
      <c r="O298" s="1420"/>
      <c r="P298" s="1420"/>
      <c r="Q298" s="1420"/>
      <c r="R298" s="1420"/>
      <c r="T298" s="3" t="s">
        <v>75</v>
      </c>
      <c r="V298" s="3"/>
      <c r="W298" s="3"/>
      <c r="X298" s="3"/>
      <c r="Y298" s="3"/>
      <c r="AA298" s="1420" t="s">
        <v>2705</v>
      </c>
      <c r="AB298" s="1420"/>
      <c r="AC298" s="1420"/>
      <c r="AD298" s="1420"/>
      <c r="AE298" s="1420"/>
      <c r="AF298" s="1420"/>
      <c r="AG298" s="1420"/>
      <c r="AH298" s="1420"/>
      <c r="AI298" s="1420"/>
      <c r="AJ298" s="1420"/>
      <c r="AK298" s="1420"/>
    </row>
    <row r="299" spans="1:51" ht="12.95" customHeight="1">
      <c r="B299" s="3" t="s">
        <v>87</v>
      </c>
      <c r="C299" s="3"/>
      <c r="D299" s="3"/>
      <c r="E299" s="3"/>
      <c r="F299" s="3"/>
      <c r="H299" s="1420" t="s">
        <v>2721</v>
      </c>
      <c r="I299" s="1420"/>
      <c r="J299" s="1420"/>
      <c r="K299" s="1420"/>
      <c r="L299" s="1420"/>
      <c r="M299" s="1420"/>
      <c r="N299" s="1420"/>
      <c r="O299" s="1420"/>
      <c r="P299" s="1420"/>
      <c r="Q299" s="1420"/>
      <c r="R299" s="1420"/>
      <c r="T299" s="3" t="s">
        <v>87</v>
      </c>
      <c r="V299" s="3"/>
      <c r="W299" s="3"/>
      <c r="X299" s="3"/>
      <c r="Y299" s="3"/>
      <c r="AA299" s="1420" t="s">
        <v>2706</v>
      </c>
      <c r="AB299" s="1420"/>
      <c r="AC299" s="1420"/>
      <c r="AD299" s="1420"/>
      <c r="AE299" s="1420"/>
      <c r="AF299" s="1420"/>
      <c r="AG299" s="1420"/>
      <c r="AH299" s="1420"/>
      <c r="AI299" s="1420"/>
      <c r="AJ299" s="1420"/>
      <c r="AK299" s="1420"/>
    </row>
    <row r="300" spans="1:51" ht="12.95" customHeight="1">
      <c r="B300" s="3" t="s">
        <v>88</v>
      </c>
      <c r="C300" s="3"/>
      <c r="D300" s="3"/>
      <c r="E300" s="3"/>
      <c r="F300" s="3"/>
      <c r="G300" s="3"/>
      <c r="H300" s="1443" t="s">
        <v>2701</v>
      </c>
      <c r="I300" s="1443"/>
      <c r="J300" s="1443"/>
      <c r="K300" s="1443"/>
      <c r="L300" s="1443"/>
      <c r="M300" s="1443"/>
      <c r="N300" s="4" t="s">
        <v>205</v>
      </c>
      <c r="O300" s="4"/>
      <c r="P300" s="1437"/>
      <c r="Q300" s="1437"/>
      <c r="R300" s="1437"/>
      <c r="S300" s="3"/>
      <c r="T300" s="3" t="s">
        <v>88</v>
      </c>
      <c r="V300" s="3"/>
      <c r="W300" s="3"/>
      <c r="X300" s="3"/>
      <c r="Y300" s="3"/>
      <c r="AA300" s="1442" t="s">
        <v>2707</v>
      </c>
      <c r="AB300" s="1443"/>
      <c r="AC300" s="1443"/>
      <c r="AD300" s="1443"/>
      <c r="AE300" s="1443"/>
      <c r="AF300" s="1443"/>
      <c r="AG300" s="4" t="s">
        <v>205</v>
      </c>
      <c r="AH300" s="4"/>
      <c r="AI300" s="1437"/>
      <c r="AJ300" s="1437"/>
      <c r="AK300" s="1437"/>
    </row>
    <row r="301" spans="1:51" ht="12.95" customHeight="1">
      <c r="B301" s="3" t="s">
        <v>89</v>
      </c>
      <c r="C301" s="3"/>
      <c r="D301" s="3"/>
      <c r="E301" s="3"/>
      <c r="F301" s="3"/>
      <c r="G301" s="3"/>
      <c r="H301" s="1394" t="s">
        <v>589</v>
      </c>
      <c r="I301" s="1395"/>
      <c r="J301" s="1395"/>
      <c r="K301" s="1395"/>
      <c r="L301" s="1395"/>
      <c r="M301" s="1395"/>
      <c r="N301" s="4"/>
      <c r="O301" s="4"/>
      <c r="P301" s="35"/>
      <c r="Q301" s="35"/>
      <c r="R301" s="35"/>
      <c r="S301" s="3"/>
      <c r="T301" s="3" t="s">
        <v>89</v>
      </c>
      <c r="V301" s="3"/>
      <c r="W301" s="3"/>
      <c r="X301" s="3"/>
      <c r="Y301" s="3"/>
      <c r="AA301" s="1395" t="s">
        <v>589</v>
      </c>
      <c r="AB301" s="1395"/>
      <c r="AC301" s="1395"/>
      <c r="AD301" s="1395"/>
      <c r="AE301" s="1395"/>
      <c r="AF301" s="1395"/>
      <c r="AG301" s="4"/>
      <c r="AH301" s="4"/>
      <c r="AI301" s="35"/>
      <c r="AJ301" s="35"/>
      <c r="AK301" s="35"/>
    </row>
    <row r="302" spans="1:51" ht="12.95" customHeight="1">
      <c r="B302" s="3" t="s">
        <v>76</v>
      </c>
      <c r="C302" s="3"/>
      <c r="D302" s="3"/>
      <c r="E302" s="3"/>
      <c r="F302" s="3"/>
      <c r="G302" s="3"/>
      <c r="H302" s="1420" t="s">
        <v>2702</v>
      </c>
      <c r="I302" s="1420"/>
      <c r="J302" s="1420"/>
      <c r="K302" s="1420"/>
      <c r="L302" s="1420"/>
      <c r="M302" s="1420"/>
      <c r="N302" s="1397"/>
      <c r="O302" s="1397"/>
      <c r="P302" s="1397"/>
      <c r="Q302" s="1397"/>
      <c r="R302" s="1397"/>
      <c r="S302" s="3"/>
      <c r="T302" s="3" t="s">
        <v>76</v>
      </c>
      <c r="V302" s="3"/>
      <c r="W302" s="3"/>
      <c r="X302" s="3"/>
      <c r="Y302" s="3"/>
      <c r="AA302" s="1420" t="s">
        <v>2708</v>
      </c>
      <c r="AB302" s="1420"/>
      <c r="AC302" s="1420"/>
      <c r="AD302" s="1420"/>
      <c r="AE302" s="1420"/>
      <c r="AF302" s="1420"/>
      <c r="AG302" s="1397"/>
      <c r="AH302" s="1397"/>
      <c r="AI302" s="1397"/>
      <c r="AJ302" s="1397"/>
      <c r="AK302" s="1397"/>
    </row>
    <row r="303" spans="1:51" ht="12.9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5" customHeight="1">
      <c r="B304" s="3" t="s">
        <v>322</v>
      </c>
      <c r="C304" s="3"/>
      <c r="D304" s="3"/>
      <c r="E304" s="3"/>
      <c r="F304" s="3"/>
      <c r="H304" s="1397" t="s">
        <v>2668</v>
      </c>
      <c r="I304" s="1397"/>
      <c r="J304" s="1397"/>
      <c r="K304" s="1397"/>
      <c r="L304" s="1397"/>
      <c r="M304" s="1397"/>
      <c r="N304" s="1397"/>
      <c r="O304" s="1397"/>
      <c r="P304" s="1397"/>
      <c r="Q304" s="1397"/>
      <c r="R304" s="1397"/>
      <c r="T304" s="3" t="s">
        <v>363</v>
      </c>
      <c r="V304" s="3"/>
      <c r="W304" s="3"/>
      <c r="X304" s="3"/>
      <c r="Y304" s="3"/>
      <c r="AA304" s="1397"/>
      <c r="AB304" s="1397"/>
      <c r="AC304" s="1397"/>
      <c r="AD304" s="1397"/>
      <c r="AE304" s="1397"/>
      <c r="AF304" s="1397"/>
      <c r="AG304" s="1397"/>
      <c r="AH304" s="1397"/>
      <c r="AI304" s="1397"/>
      <c r="AJ304" s="1397"/>
      <c r="AK304" s="1397"/>
    </row>
    <row r="305" spans="2:72" ht="12.95" customHeight="1">
      <c r="B305" s="3" t="s">
        <v>469</v>
      </c>
      <c r="C305" s="3"/>
      <c r="D305" s="3"/>
      <c r="E305" s="3"/>
      <c r="F305" s="3"/>
      <c r="H305" s="1420" t="s">
        <v>2669</v>
      </c>
      <c r="I305" s="1420"/>
      <c r="J305" s="1420"/>
      <c r="K305" s="1420"/>
      <c r="L305" s="1420"/>
      <c r="M305" s="1420"/>
      <c r="N305" s="1420"/>
      <c r="O305" s="1420"/>
      <c r="P305" s="1420"/>
      <c r="Q305" s="1420"/>
      <c r="R305" s="1420"/>
      <c r="T305" s="3" t="s">
        <v>469</v>
      </c>
      <c r="V305" s="3"/>
      <c r="W305" s="3"/>
      <c r="X305" s="3"/>
      <c r="Y305" s="3"/>
      <c r="AA305" s="1420"/>
      <c r="AB305" s="1420"/>
      <c r="AC305" s="1420"/>
      <c r="AD305" s="1420"/>
      <c r="AE305" s="1420"/>
      <c r="AF305" s="1420"/>
      <c r="AG305" s="1420"/>
      <c r="AH305" s="1420"/>
      <c r="AI305" s="1420"/>
      <c r="AJ305" s="1420"/>
      <c r="AK305" s="1420"/>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2.95" customHeight="1">
      <c r="B306" s="3" t="s">
        <v>470</v>
      </c>
      <c r="C306" s="3"/>
      <c r="D306" s="3"/>
      <c r="E306" s="3"/>
      <c r="F306" s="3"/>
      <c r="H306" s="1420" t="s">
        <v>2670</v>
      </c>
      <c r="I306" s="1420"/>
      <c r="J306" s="1420"/>
      <c r="K306" s="1420"/>
      <c r="L306" s="1420"/>
      <c r="M306" s="1420"/>
      <c r="N306" s="1420"/>
      <c r="O306" s="1420"/>
      <c r="P306" s="1420"/>
      <c r="Q306" s="1420"/>
      <c r="R306" s="1420"/>
      <c r="T306" s="3" t="s">
        <v>75</v>
      </c>
      <c r="V306" s="3"/>
      <c r="W306" s="3"/>
      <c r="X306" s="3"/>
      <c r="Y306" s="3"/>
      <c r="AA306" s="1420"/>
      <c r="AB306" s="1420"/>
      <c r="AC306" s="1420"/>
      <c r="AD306" s="1420"/>
      <c r="AE306" s="1420"/>
      <c r="AF306" s="1420"/>
      <c r="AG306" s="1420"/>
      <c r="AH306" s="1420"/>
      <c r="AI306" s="1420"/>
      <c r="AJ306" s="1420"/>
      <c r="AK306" s="1420"/>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2.95" customHeight="1">
      <c r="B307" s="3" t="s">
        <v>87</v>
      </c>
      <c r="C307" s="3"/>
      <c r="D307" s="3"/>
      <c r="E307" s="3"/>
      <c r="F307" s="3"/>
      <c r="H307" s="1420" t="s">
        <v>2671</v>
      </c>
      <c r="I307" s="1420"/>
      <c r="J307" s="1420"/>
      <c r="K307" s="1420"/>
      <c r="L307" s="1420"/>
      <c r="M307" s="1420"/>
      <c r="N307" s="1420"/>
      <c r="O307" s="1420"/>
      <c r="P307" s="1420"/>
      <c r="Q307" s="1420"/>
      <c r="R307" s="1420"/>
      <c r="T307" s="3" t="s">
        <v>87</v>
      </c>
      <c r="V307" s="3"/>
      <c r="W307" s="3"/>
      <c r="X307" s="3"/>
      <c r="Y307" s="3"/>
      <c r="AA307" s="1420"/>
      <c r="AB307" s="1420"/>
      <c r="AC307" s="1420"/>
      <c r="AD307" s="1420"/>
      <c r="AE307" s="1420"/>
      <c r="AF307" s="1420"/>
      <c r="AG307" s="1420"/>
      <c r="AH307" s="1420"/>
      <c r="AI307" s="1420"/>
      <c r="AJ307" s="1420"/>
      <c r="AK307" s="1420"/>
    </row>
    <row r="308" spans="2:72" ht="12.95" customHeight="1">
      <c r="B308" s="3" t="s">
        <v>88</v>
      </c>
      <c r="C308" s="3"/>
      <c r="D308" s="3"/>
      <c r="E308" s="3"/>
      <c r="F308" s="3"/>
      <c r="G308" s="3"/>
      <c r="H308" s="1443" t="s">
        <v>2672</v>
      </c>
      <c r="I308" s="1443"/>
      <c r="J308" s="1443"/>
      <c r="K308" s="1443"/>
      <c r="L308" s="1443"/>
      <c r="M308" s="1443"/>
      <c r="N308" s="4" t="s">
        <v>205</v>
      </c>
      <c r="O308" s="4"/>
      <c r="P308" s="1437"/>
      <c r="Q308" s="1437"/>
      <c r="R308" s="1437"/>
      <c r="S308" s="3"/>
      <c r="T308" s="3" t="s">
        <v>88</v>
      </c>
      <c r="V308" s="3"/>
      <c r="W308" s="3"/>
      <c r="X308" s="3"/>
      <c r="Y308" s="3"/>
      <c r="AA308" s="1442"/>
      <c r="AB308" s="1443"/>
      <c r="AC308" s="1443"/>
      <c r="AD308" s="1443"/>
      <c r="AE308" s="1443"/>
      <c r="AF308" s="1443"/>
      <c r="AG308" s="4" t="s">
        <v>205</v>
      </c>
      <c r="AH308" s="4"/>
      <c r="AI308" s="1437"/>
      <c r="AJ308" s="1437"/>
      <c r="AK308" s="1437"/>
    </row>
    <row r="309" spans="2:72" ht="12.95" customHeight="1">
      <c r="B309" s="3" t="s">
        <v>89</v>
      </c>
      <c r="C309" s="3"/>
      <c r="D309" s="3"/>
      <c r="E309" s="3"/>
      <c r="F309" s="3"/>
      <c r="G309" s="3"/>
      <c r="H309" s="1395" t="s">
        <v>589</v>
      </c>
      <c r="I309" s="1395"/>
      <c r="J309" s="1395"/>
      <c r="K309" s="1395"/>
      <c r="L309" s="1395"/>
      <c r="M309" s="1395"/>
      <c r="N309" s="4"/>
      <c r="O309" s="4"/>
      <c r="P309" s="35"/>
      <c r="Q309" s="35"/>
      <c r="R309" s="35"/>
      <c r="S309" s="3"/>
      <c r="T309" s="3" t="s">
        <v>89</v>
      </c>
      <c r="V309" s="3"/>
      <c r="W309" s="3"/>
      <c r="X309" s="3"/>
      <c r="Y309" s="3"/>
      <c r="AA309" s="1395"/>
      <c r="AB309" s="1395"/>
      <c r="AC309" s="1395"/>
      <c r="AD309" s="1395"/>
      <c r="AE309" s="1395"/>
      <c r="AF309" s="1395"/>
      <c r="AG309" s="4"/>
      <c r="AH309" s="4"/>
      <c r="AI309" s="35"/>
      <c r="AJ309" s="35"/>
      <c r="AK309" s="35"/>
    </row>
    <row r="310" spans="2:72" ht="12.95" customHeight="1">
      <c r="B310" s="3" t="s">
        <v>76</v>
      </c>
      <c r="C310" s="3"/>
      <c r="D310" s="3"/>
      <c r="E310" s="3"/>
      <c r="F310" s="3"/>
      <c r="G310" s="3"/>
      <c r="H310" s="1420" t="s">
        <v>2673</v>
      </c>
      <c r="I310" s="1420"/>
      <c r="J310" s="1420"/>
      <c r="K310" s="1420"/>
      <c r="L310" s="1420"/>
      <c r="M310" s="1420"/>
      <c r="N310" s="1397"/>
      <c r="O310" s="1397"/>
      <c r="P310" s="1397"/>
      <c r="Q310" s="1397"/>
      <c r="R310" s="1397"/>
      <c r="S310" s="3"/>
      <c r="T310" s="3" t="s">
        <v>76</v>
      </c>
      <c r="V310" s="3"/>
      <c r="W310" s="3"/>
      <c r="X310" s="3"/>
      <c r="Y310" s="3"/>
      <c r="AA310" s="1420"/>
      <c r="AB310" s="1420"/>
      <c r="AC310" s="1420"/>
      <c r="AD310" s="1420"/>
      <c r="AE310" s="1420"/>
      <c r="AF310" s="1420"/>
      <c r="AG310" s="1397"/>
      <c r="AH310" s="1397"/>
      <c r="AI310" s="1397"/>
      <c r="AJ310" s="1397"/>
      <c r="AK310" s="1397"/>
    </row>
    <row r="311" spans="2:72" ht="12.95" customHeight="1"/>
    <row r="312" spans="2:72" ht="12.95" customHeight="1">
      <c r="B312" s="3" t="s">
        <v>77</v>
      </c>
      <c r="C312" s="3"/>
      <c r="D312" s="3"/>
      <c r="E312" s="3"/>
      <c r="F312" s="3"/>
      <c r="H312" s="1397" t="s">
        <v>2668</v>
      </c>
      <c r="I312" s="1397"/>
      <c r="J312" s="1397"/>
      <c r="K312" s="1397"/>
      <c r="L312" s="1397"/>
      <c r="M312" s="1397"/>
      <c r="N312" s="1397"/>
      <c r="O312" s="1397"/>
      <c r="P312" s="1397"/>
      <c r="Q312" s="1397"/>
      <c r="R312" s="1397"/>
      <c r="T312" s="4" t="s">
        <v>876</v>
      </c>
      <c r="V312" s="3"/>
      <c r="W312" s="3"/>
      <c r="X312" s="3"/>
      <c r="Y312" s="3"/>
      <c r="AA312" s="1397" t="s">
        <v>589</v>
      </c>
      <c r="AB312" s="1397"/>
      <c r="AC312" s="1397"/>
      <c r="AD312" s="1397"/>
      <c r="AE312" s="1397"/>
      <c r="AF312" s="1397"/>
      <c r="AG312" s="1397"/>
      <c r="AH312" s="1397"/>
      <c r="AI312" s="1397"/>
      <c r="AJ312" s="1397"/>
      <c r="AK312" s="1397"/>
    </row>
    <row r="313" spans="2:72" ht="12.95" customHeight="1">
      <c r="B313" s="3" t="s">
        <v>469</v>
      </c>
      <c r="C313" s="3"/>
      <c r="D313" s="3"/>
      <c r="E313" s="3"/>
      <c r="F313" s="3"/>
      <c r="H313" s="1420" t="s">
        <v>2669</v>
      </c>
      <c r="I313" s="1420"/>
      <c r="J313" s="1420"/>
      <c r="K313" s="1420"/>
      <c r="L313" s="1420"/>
      <c r="M313" s="1420"/>
      <c r="N313" s="1420"/>
      <c r="O313" s="1420"/>
      <c r="P313" s="1420"/>
      <c r="Q313" s="1420"/>
      <c r="R313" s="1420"/>
      <c r="T313" s="3" t="s">
        <v>469</v>
      </c>
      <c r="V313" s="3"/>
      <c r="W313" s="3"/>
      <c r="X313" s="3"/>
      <c r="Y313" s="3"/>
      <c r="AA313" s="1420"/>
      <c r="AB313" s="1420"/>
      <c r="AC313" s="1420"/>
      <c r="AD313" s="1420"/>
      <c r="AE313" s="1420"/>
      <c r="AF313" s="1420"/>
      <c r="AG313" s="1420"/>
      <c r="AH313" s="1420"/>
      <c r="AI313" s="1420"/>
      <c r="AJ313" s="1420"/>
      <c r="AK313" s="1420"/>
    </row>
    <row r="314" spans="2:72" ht="12.95" customHeight="1">
      <c r="B314" s="3" t="s">
        <v>470</v>
      </c>
      <c r="C314" s="3"/>
      <c r="D314" s="3"/>
      <c r="E314" s="3"/>
      <c r="F314" s="3"/>
      <c r="H314" s="1420" t="s">
        <v>2670</v>
      </c>
      <c r="I314" s="1420"/>
      <c r="J314" s="1420"/>
      <c r="K314" s="1420"/>
      <c r="L314" s="1420"/>
      <c r="M314" s="1420"/>
      <c r="N314" s="1420"/>
      <c r="O314" s="1420"/>
      <c r="P314" s="1420"/>
      <c r="Q314" s="1420"/>
      <c r="R314" s="1420"/>
      <c r="T314" s="3" t="s">
        <v>75</v>
      </c>
      <c r="V314" s="3"/>
      <c r="W314" s="3"/>
      <c r="X314" s="3"/>
      <c r="Y314" s="3"/>
      <c r="AA314" s="1420"/>
      <c r="AB314" s="1420"/>
      <c r="AC314" s="1420"/>
      <c r="AD314" s="1420"/>
      <c r="AE314" s="1420"/>
      <c r="AF314" s="1420"/>
      <c r="AG314" s="1420"/>
      <c r="AH314" s="1420"/>
      <c r="AI314" s="1420"/>
      <c r="AJ314" s="1420"/>
      <c r="AK314" s="1420"/>
    </row>
    <row r="315" spans="2:72" ht="12.95" customHeight="1">
      <c r="B315" s="3" t="s">
        <v>87</v>
      </c>
      <c r="C315" s="3"/>
      <c r="D315" s="3"/>
      <c r="E315" s="3"/>
      <c r="F315" s="3"/>
      <c r="H315" s="1420" t="s">
        <v>2671</v>
      </c>
      <c r="I315" s="1420"/>
      <c r="J315" s="1420"/>
      <c r="K315" s="1420"/>
      <c r="L315" s="1420"/>
      <c r="M315" s="1420"/>
      <c r="N315" s="1420"/>
      <c r="O315" s="1420"/>
      <c r="P315" s="1420"/>
      <c r="Q315" s="1420"/>
      <c r="R315" s="1420"/>
      <c r="T315" s="3" t="s">
        <v>87</v>
      </c>
      <c r="V315" s="3"/>
      <c r="W315" s="3"/>
      <c r="X315" s="3"/>
      <c r="Y315" s="3"/>
      <c r="AA315" s="1420"/>
      <c r="AB315" s="1420"/>
      <c r="AC315" s="1420"/>
      <c r="AD315" s="1420"/>
      <c r="AE315" s="1420"/>
      <c r="AF315" s="1420"/>
      <c r="AG315" s="1420"/>
      <c r="AH315" s="1420"/>
      <c r="AI315" s="1420"/>
      <c r="AJ315" s="1420"/>
      <c r="AK315" s="1420"/>
    </row>
    <row r="316" spans="2:72" ht="12.95" customHeight="1">
      <c r="B316" s="3" t="s">
        <v>88</v>
      </c>
      <c r="C316" s="3"/>
      <c r="D316" s="3"/>
      <c r="E316" s="3"/>
      <c r="F316" s="3"/>
      <c r="G316" s="3"/>
      <c r="H316" s="1443" t="s">
        <v>2672</v>
      </c>
      <c r="I316" s="1443"/>
      <c r="J316" s="1443"/>
      <c r="K316" s="1443"/>
      <c r="L316" s="1443"/>
      <c r="M316" s="1443"/>
      <c r="N316" s="4" t="s">
        <v>205</v>
      </c>
      <c r="O316" s="4"/>
      <c r="P316" s="1437"/>
      <c r="Q316" s="1437"/>
      <c r="R316" s="1437"/>
      <c r="S316" s="3"/>
      <c r="T316" s="3" t="s">
        <v>88</v>
      </c>
      <c r="V316" s="3"/>
      <c r="W316" s="3"/>
      <c r="X316" s="3"/>
      <c r="Y316" s="3"/>
      <c r="AA316" s="1443"/>
      <c r="AB316" s="1443"/>
      <c r="AC316" s="1443"/>
      <c r="AD316" s="1443"/>
      <c r="AE316" s="1443"/>
      <c r="AF316" s="1443"/>
      <c r="AG316" s="4" t="s">
        <v>205</v>
      </c>
      <c r="AH316" s="4"/>
      <c r="AI316" s="1437"/>
      <c r="AJ316" s="1437"/>
      <c r="AK316" s="1437"/>
    </row>
    <row r="317" spans="2:72" ht="12.95" customHeight="1">
      <c r="B317" s="3" t="s">
        <v>89</v>
      </c>
      <c r="C317" s="3"/>
      <c r="D317" s="3"/>
      <c r="E317" s="3"/>
      <c r="F317" s="3"/>
      <c r="G317" s="3"/>
      <c r="H317" s="1395" t="s">
        <v>589</v>
      </c>
      <c r="I317" s="1395"/>
      <c r="J317" s="1395"/>
      <c r="K317" s="1395"/>
      <c r="L317" s="1395"/>
      <c r="M317" s="1395"/>
      <c r="N317" s="4"/>
      <c r="O317" s="4"/>
      <c r="P317" s="35"/>
      <c r="Q317" s="35"/>
      <c r="R317" s="35"/>
      <c r="S317" s="3"/>
      <c r="T317" s="3" t="s">
        <v>89</v>
      </c>
      <c r="V317" s="3"/>
      <c r="W317" s="3"/>
      <c r="X317" s="3"/>
      <c r="Y317" s="3"/>
      <c r="AA317" s="1395"/>
      <c r="AB317" s="1395"/>
      <c r="AC317" s="1395"/>
      <c r="AD317" s="1395"/>
      <c r="AE317" s="1395"/>
      <c r="AF317" s="1395"/>
      <c r="AG317" s="4"/>
      <c r="AH317" s="4"/>
      <c r="AI317" s="35"/>
      <c r="AJ317" s="35"/>
      <c r="AK317" s="35"/>
    </row>
    <row r="318" spans="2:72" ht="12.95" customHeight="1">
      <c r="B318" s="3" t="s">
        <v>76</v>
      </c>
      <c r="C318" s="3"/>
      <c r="D318" s="3"/>
      <c r="E318" s="3"/>
      <c r="F318" s="3"/>
      <c r="G318" s="3"/>
      <c r="H318" s="1420" t="s">
        <v>2673</v>
      </c>
      <c r="I318" s="1420"/>
      <c r="J318" s="1420"/>
      <c r="K318" s="1420"/>
      <c r="L318" s="1420"/>
      <c r="M318" s="1420"/>
      <c r="N318" s="1397"/>
      <c r="O318" s="1397"/>
      <c r="P318" s="1397"/>
      <c r="Q318" s="1397"/>
      <c r="R318" s="1397"/>
      <c r="S318" s="3"/>
      <c r="T318" s="3" t="s">
        <v>76</v>
      </c>
      <c r="V318" s="3"/>
      <c r="W318" s="3"/>
      <c r="X318" s="3"/>
      <c r="Y318" s="3"/>
      <c r="AA318" s="1420"/>
      <c r="AB318" s="1420"/>
      <c r="AC318" s="1420"/>
      <c r="AD318" s="1420"/>
      <c r="AE318" s="1420"/>
      <c r="AF318" s="1420"/>
      <c r="AG318" s="1397"/>
      <c r="AH318" s="1397"/>
      <c r="AI318" s="1397"/>
      <c r="AJ318" s="1397"/>
      <c r="AK318" s="1397"/>
    </row>
    <row r="319" spans="2:72" ht="12.95"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2.95" customHeight="1">
      <c r="B320" s="4" t="s">
        <v>905</v>
      </c>
      <c r="C320" s="3"/>
      <c r="D320" s="3"/>
      <c r="E320" s="3"/>
      <c r="F320" s="3"/>
      <c r="H320" s="1397" t="s">
        <v>2674</v>
      </c>
      <c r="I320" s="1397"/>
      <c r="J320" s="1397"/>
      <c r="K320" s="1397"/>
      <c r="L320" s="1397"/>
      <c r="M320" s="1397"/>
      <c r="N320" s="1397"/>
      <c r="O320" s="1397"/>
      <c r="P320" s="1397"/>
      <c r="Q320" s="1397"/>
      <c r="R320" s="1397"/>
      <c r="S320" s="3"/>
      <c r="T320" s="3" t="s">
        <v>364</v>
      </c>
      <c r="V320" s="3"/>
      <c r="W320" s="3"/>
      <c r="X320" s="3"/>
      <c r="Y320" s="3"/>
      <c r="AA320" s="1397" t="s">
        <v>2779</v>
      </c>
      <c r="AB320" s="1397"/>
      <c r="AC320" s="1397"/>
      <c r="AD320" s="1397"/>
      <c r="AE320" s="1397"/>
      <c r="AF320" s="1397"/>
      <c r="AG320" s="1397"/>
      <c r="AH320" s="1397"/>
      <c r="AI320" s="1397"/>
      <c r="AJ320" s="1397"/>
      <c r="AK320" s="1397"/>
    </row>
    <row r="321" spans="2:37" ht="12.95" customHeight="1">
      <c r="B321" s="3" t="s">
        <v>469</v>
      </c>
      <c r="C321" s="3"/>
      <c r="D321" s="3"/>
      <c r="E321" s="3"/>
      <c r="F321" s="3"/>
      <c r="H321" s="1420" t="s">
        <v>2675</v>
      </c>
      <c r="I321" s="1420"/>
      <c r="J321" s="1420"/>
      <c r="K321" s="1420"/>
      <c r="L321" s="1420"/>
      <c r="M321" s="1420"/>
      <c r="N321" s="1420"/>
      <c r="O321" s="1420"/>
      <c r="P321" s="1420"/>
      <c r="Q321" s="1420"/>
      <c r="R321" s="1420"/>
      <c r="S321" s="3"/>
      <c r="T321" s="3" t="s">
        <v>469</v>
      </c>
      <c r="V321" s="3"/>
      <c r="W321" s="3"/>
      <c r="X321" s="3"/>
      <c r="Y321" s="3"/>
      <c r="AA321" s="1420"/>
      <c r="AB321" s="1420"/>
      <c r="AC321" s="1420"/>
      <c r="AD321" s="1420"/>
      <c r="AE321" s="1420"/>
      <c r="AF321" s="1420"/>
      <c r="AG321" s="1420"/>
      <c r="AH321" s="1420"/>
      <c r="AI321" s="1420"/>
      <c r="AJ321" s="1420"/>
      <c r="AK321" s="1420"/>
    </row>
    <row r="322" spans="2:37" ht="12.95" customHeight="1">
      <c r="B322" s="3" t="s">
        <v>470</v>
      </c>
      <c r="C322" s="3"/>
      <c r="D322" s="3"/>
      <c r="E322" s="3"/>
      <c r="F322" s="3"/>
      <c r="H322" s="1420" t="s">
        <v>2676</v>
      </c>
      <c r="I322" s="1420"/>
      <c r="J322" s="1420"/>
      <c r="K322" s="1420"/>
      <c r="L322" s="1420"/>
      <c r="M322" s="1420"/>
      <c r="N322" s="1420"/>
      <c r="O322" s="1420"/>
      <c r="P322" s="1420"/>
      <c r="Q322" s="1420"/>
      <c r="R322" s="1420"/>
      <c r="S322" s="3"/>
      <c r="T322" s="3" t="s">
        <v>75</v>
      </c>
      <c r="V322" s="3"/>
      <c r="W322" s="3"/>
      <c r="X322" s="3"/>
      <c r="Y322" s="3"/>
      <c r="AA322" s="1420"/>
      <c r="AB322" s="1420"/>
      <c r="AC322" s="1420"/>
      <c r="AD322" s="1420"/>
      <c r="AE322" s="1420"/>
      <c r="AF322" s="1420"/>
      <c r="AG322" s="1420"/>
      <c r="AH322" s="1420"/>
      <c r="AI322" s="1420"/>
      <c r="AJ322" s="1420"/>
      <c r="AK322" s="1420"/>
    </row>
    <row r="323" spans="2:37" ht="12.95" customHeight="1">
      <c r="B323" s="3" t="s">
        <v>87</v>
      </c>
      <c r="C323" s="3"/>
      <c r="D323" s="3"/>
      <c r="E323" s="3"/>
      <c r="F323" s="3"/>
      <c r="H323" s="1420" t="s">
        <v>2677</v>
      </c>
      <c r="I323" s="1420"/>
      <c r="J323" s="1420"/>
      <c r="K323" s="1420"/>
      <c r="L323" s="1420"/>
      <c r="M323" s="1420"/>
      <c r="N323" s="1420"/>
      <c r="O323" s="1420"/>
      <c r="P323" s="1420"/>
      <c r="Q323" s="1420"/>
      <c r="R323" s="1420"/>
      <c r="S323" s="3"/>
      <c r="T323" s="3" t="s">
        <v>87</v>
      </c>
      <c r="V323" s="3"/>
      <c r="W323" s="3"/>
      <c r="X323" s="3"/>
      <c r="Y323" s="3"/>
      <c r="AA323" s="1420"/>
      <c r="AB323" s="1420"/>
      <c r="AC323" s="1420"/>
      <c r="AD323" s="1420"/>
      <c r="AE323" s="1420"/>
      <c r="AF323" s="1420"/>
      <c r="AG323" s="1420"/>
      <c r="AH323" s="1420"/>
      <c r="AI323" s="1420"/>
      <c r="AJ323" s="1420"/>
      <c r="AK323" s="1420"/>
    </row>
    <row r="324" spans="2:37" ht="12.95" customHeight="1">
      <c r="B324" s="3" t="s">
        <v>88</v>
      </c>
      <c r="C324" s="3"/>
      <c r="D324" s="3"/>
      <c r="E324" s="3"/>
      <c r="F324" s="3"/>
      <c r="G324" s="3"/>
      <c r="H324" s="1443" t="s">
        <v>2678</v>
      </c>
      <c r="I324" s="1443"/>
      <c r="J324" s="1443"/>
      <c r="K324" s="1443"/>
      <c r="L324" s="1443"/>
      <c r="M324" s="1443"/>
      <c r="N324" s="4" t="s">
        <v>205</v>
      </c>
      <c r="O324" s="4"/>
      <c r="P324" s="1437"/>
      <c r="Q324" s="1437"/>
      <c r="R324" s="1437"/>
      <c r="S324" s="3"/>
      <c r="T324" s="3" t="s">
        <v>88</v>
      </c>
      <c r="V324" s="3"/>
      <c r="W324" s="3"/>
      <c r="X324" s="3"/>
      <c r="Y324" s="3"/>
      <c r="AA324" s="1443"/>
      <c r="AB324" s="1443"/>
      <c r="AC324" s="1443"/>
      <c r="AD324" s="1443"/>
      <c r="AE324" s="1443"/>
      <c r="AF324" s="1443"/>
      <c r="AG324" s="4" t="s">
        <v>205</v>
      </c>
      <c r="AH324" s="4"/>
      <c r="AI324" s="1437"/>
      <c r="AJ324" s="1437"/>
      <c r="AK324" s="1437"/>
    </row>
    <row r="325" spans="2:37" ht="12.95" customHeight="1">
      <c r="B325" s="3" t="s">
        <v>89</v>
      </c>
      <c r="C325" s="3"/>
      <c r="D325" s="3"/>
      <c r="E325" s="3"/>
      <c r="F325" s="3"/>
      <c r="G325" s="3"/>
      <c r="H325" s="1395" t="s">
        <v>2679</v>
      </c>
      <c r="I325" s="1395"/>
      <c r="J325" s="1395"/>
      <c r="K325" s="1395"/>
      <c r="L325" s="1395"/>
      <c r="M325" s="1395"/>
      <c r="N325" s="4"/>
      <c r="O325" s="4"/>
      <c r="P325" s="35"/>
      <c r="Q325" s="35"/>
      <c r="R325" s="35"/>
      <c r="S325" s="3"/>
      <c r="T325" s="3" t="s">
        <v>89</v>
      </c>
      <c r="V325" s="3"/>
      <c r="W325" s="3"/>
      <c r="X325" s="3"/>
      <c r="Y325" s="3"/>
      <c r="AA325" s="1395"/>
      <c r="AB325" s="1395"/>
      <c r="AC325" s="1395"/>
      <c r="AD325" s="1395"/>
      <c r="AE325" s="1395"/>
      <c r="AF325" s="1395"/>
      <c r="AG325" s="4"/>
      <c r="AH325" s="4"/>
      <c r="AI325" s="35"/>
      <c r="AJ325" s="35"/>
      <c r="AK325" s="35"/>
    </row>
    <row r="326" spans="2:37" ht="12.95" customHeight="1">
      <c r="B326" s="3" t="s">
        <v>76</v>
      </c>
      <c r="C326" s="3"/>
      <c r="D326" s="3"/>
      <c r="E326" s="3"/>
      <c r="F326" s="3"/>
      <c r="G326" s="3"/>
      <c r="H326" s="1420" t="s">
        <v>2680</v>
      </c>
      <c r="I326" s="1420"/>
      <c r="J326" s="1420"/>
      <c r="K326" s="1420"/>
      <c r="L326" s="1420"/>
      <c r="M326" s="1420"/>
      <c r="N326" s="1397"/>
      <c r="O326" s="1397"/>
      <c r="P326" s="1397"/>
      <c r="Q326" s="1397"/>
      <c r="R326" s="1397"/>
      <c r="S326" s="3"/>
      <c r="T326" s="3" t="s">
        <v>76</v>
      </c>
      <c r="V326" s="3"/>
      <c r="W326" s="3"/>
      <c r="X326" s="3"/>
      <c r="Y326" s="3"/>
      <c r="AA326" s="1420"/>
      <c r="AB326" s="1420"/>
      <c r="AC326" s="1420"/>
      <c r="AD326" s="1420"/>
      <c r="AE326" s="1420"/>
      <c r="AF326" s="1420"/>
      <c r="AG326" s="1397"/>
      <c r="AH326" s="1397"/>
      <c r="AI326" s="1397"/>
      <c r="AJ326" s="1397"/>
      <c r="AK326" s="1397"/>
    </row>
    <row r="327" spans="2:37" ht="12.95" customHeight="1"/>
    <row r="328" spans="2:37" ht="12.95" customHeight="1">
      <c r="B328" s="4" t="s">
        <v>906</v>
      </c>
      <c r="C328" s="3"/>
      <c r="D328" s="3"/>
      <c r="E328" s="3"/>
      <c r="F328" s="3"/>
      <c r="H328" s="1396" t="s">
        <v>2780</v>
      </c>
      <c r="I328" s="1397"/>
      <c r="J328" s="1397"/>
      <c r="K328" s="1397"/>
      <c r="L328" s="1397"/>
      <c r="M328" s="1397"/>
      <c r="N328" s="1397"/>
      <c r="O328" s="1397"/>
      <c r="P328" s="1397"/>
      <c r="Q328" s="1397"/>
      <c r="R328" s="1397"/>
      <c r="T328" s="3" t="s">
        <v>365</v>
      </c>
      <c r="V328" s="3"/>
      <c r="W328" s="3"/>
      <c r="X328" s="3"/>
      <c r="Y328" s="3"/>
      <c r="AA328" s="1397" t="s">
        <v>2709</v>
      </c>
      <c r="AB328" s="1397"/>
      <c r="AC328" s="1397"/>
      <c r="AD328" s="1397"/>
      <c r="AE328" s="1397"/>
      <c r="AF328" s="1397"/>
      <c r="AG328" s="1397"/>
      <c r="AH328" s="1397"/>
      <c r="AI328" s="1397"/>
      <c r="AJ328" s="1397"/>
      <c r="AK328" s="1397"/>
    </row>
    <row r="329" spans="2:37" ht="12.95" customHeight="1">
      <c r="B329" s="3" t="s">
        <v>469</v>
      </c>
      <c r="C329" s="3"/>
      <c r="D329" s="3"/>
      <c r="E329" s="3"/>
      <c r="F329" s="3"/>
      <c r="H329" s="1420" t="s">
        <v>2756</v>
      </c>
      <c r="I329" s="1420"/>
      <c r="J329" s="1420"/>
      <c r="K329" s="1420"/>
      <c r="L329" s="1420"/>
      <c r="M329" s="1420"/>
      <c r="N329" s="1420"/>
      <c r="O329" s="1420"/>
      <c r="P329" s="1420"/>
      <c r="Q329" s="1420"/>
      <c r="R329" s="1420"/>
      <c r="T329" s="3" t="s">
        <v>469</v>
      </c>
      <c r="V329" s="3"/>
      <c r="W329" s="3"/>
      <c r="X329" s="3"/>
      <c r="Y329" s="3"/>
      <c r="AA329" s="1420" t="s">
        <v>2710</v>
      </c>
      <c r="AB329" s="1420"/>
      <c r="AC329" s="1420"/>
      <c r="AD329" s="1420"/>
      <c r="AE329" s="1420"/>
      <c r="AF329" s="1420"/>
      <c r="AG329" s="1420"/>
      <c r="AH329" s="1420"/>
      <c r="AI329" s="1420"/>
      <c r="AJ329" s="1420"/>
      <c r="AK329" s="1420"/>
    </row>
    <row r="330" spans="2:37" ht="12.95" customHeight="1">
      <c r="B330" s="3" t="s">
        <v>470</v>
      </c>
      <c r="C330" s="3"/>
      <c r="D330" s="3"/>
      <c r="E330" s="3"/>
      <c r="F330" s="3"/>
      <c r="H330" s="1420" t="s">
        <v>2670</v>
      </c>
      <c r="I330" s="1420"/>
      <c r="J330" s="1420"/>
      <c r="K330" s="1420"/>
      <c r="L330" s="1420"/>
      <c r="M330" s="1420"/>
      <c r="N330" s="1420"/>
      <c r="O330" s="1420"/>
      <c r="P330" s="1420"/>
      <c r="Q330" s="1420"/>
      <c r="R330" s="1420"/>
      <c r="T330" s="3" t="s">
        <v>75</v>
      </c>
      <c r="V330" s="3"/>
      <c r="W330" s="3"/>
      <c r="X330" s="3"/>
      <c r="Y330" s="3"/>
      <c r="AA330" s="1420" t="s">
        <v>2711</v>
      </c>
      <c r="AB330" s="1420"/>
      <c r="AC330" s="1420"/>
      <c r="AD330" s="1420"/>
      <c r="AE330" s="1420"/>
      <c r="AF330" s="1420"/>
      <c r="AG330" s="1420"/>
      <c r="AH330" s="1420"/>
      <c r="AI330" s="1420"/>
      <c r="AJ330" s="1420"/>
      <c r="AK330" s="1420"/>
    </row>
    <row r="331" spans="2:37" ht="12.95" customHeight="1">
      <c r="B331" s="3" t="s">
        <v>87</v>
      </c>
      <c r="C331" s="3"/>
      <c r="D331" s="3"/>
      <c r="E331" s="3"/>
      <c r="F331" s="3"/>
      <c r="H331" s="1420" t="s">
        <v>2754</v>
      </c>
      <c r="I331" s="1420"/>
      <c r="J331" s="1420"/>
      <c r="K331" s="1420"/>
      <c r="L331" s="1420"/>
      <c r="M331" s="1420"/>
      <c r="N331" s="1420"/>
      <c r="O331" s="1420"/>
      <c r="P331" s="1420"/>
      <c r="Q331" s="1420"/>
      <c r="R331" s="1420"/>
      <c r="T331" s="3" t="s">
        <v>87</v>
      </c>
      <c r="V331" s="3"/>
      <c r="W331" s="3"/>
      <c r="X331" s="3"/>
      <c r="Y331" s="3"/>
      <c r="AA331" s="1420" t="s">
        <v>2712</v>
      </c>
      <c r="AB331" s="1420"/>
      <c r="AC331" s="1420"/>
      <c r="AD331" s="1420"/>
      <c r="AE331" s="1420"/>
      <c r="AF331" s="1420"/>
      <c r="AG331" s="1420"/>
      <c r="AH331" s="1420"/>
      <c r="AI331" s="1420"/>
      <c r="AJ331" s="1420"/>
      <c r="AK331" s="1420"/>
    </row>
    <row r="332" spans="2:37" ht="12.95" customHeight="1">
      <c r="B332" s="3" t="s">
        <v>88</v>
      </c>
      <c r="C332" s="3"/>
      <c r="D332" s="3"/>
      <c r="E332" s="3"/>
      <c r="F332" s="3"/>
      <c r="G332" s="3"/>
      <c r="H332" s="1442" t="s">
        <v>2757</v>
      </c>
      <c r="I332" s="1443"/>
      <c r="J332" s="1443"/>
      <c r="K332" s="1443"/>
      <c r="L332" s="1443"/>
      <c r="M332" s="1443"/>
      <c r="N332" s="4" t="s">
        <v>205</v>
      </c>
      <c r="O332" s="4"/>
      <c r="P332" s="1437"/>
      <c r="Q332" s="1437"/>
      <c r="R332" s="1437"/>
      <c r="S332" s="3"/>
      <c r="T332" s="3" t="s">
        <v>88</v>
      </c>
      <c r="V332" s="3"/>
      <c r="W332" s="3"/>
      <c r="X332" s="3"/>
      <c r="Y332" s="3"/>
      <c r="AA332" s="1442" t="s">
        <v>2713</v>
      </c>
      <c r="AB332" s="1443"/>
      <c r="AC332" s="1443"/>
      <c r="AD332" s="1443"/>
      <c r="AE332" s="1443"/>
      <c r="AF332" s="1443"/>
      <c r="AG332" s="4" t="s">
        <v>205</v>
      </c>
      <c r="AH332" s="4"/>
      <c r="AI332" s="1437"/>
      <c r="AJ332" s="1437"/>
      <c r="AK332" s="1437"/>
    </row>
    <row r="333" spans="2:37" ht="12.95" customHeight="1">
      <c r="B333" s="3" t="s">
        <v>89</v>
      </c>
      <c r="C333" s="3"/>
      <c r="D333" s="3"/>
      <c r="E333" s="3"/>
      <c r="F333" s="3"/>
      <c r="G333" s="3"/>
      <c r="H333" s="1395" t="s">
        <v>589</v>
      </c>
      <c r="I333" s="1395"/>
      <c r="J333" s="1395"/>
      <c r="K333" s="1395"/>
      <c r="L333" s="1395"/>
      <c r="M333" s="1395"/>
      <c r="N333" s="4"/>
      <c r="O333" s="4"/>
      <c r="P333" s="35"/>
      <c r="Q333" s="35"/>
      <c r="R333" s="35"/>
      <c r="S333" s="3"/>
      <c r="T333" s="3" t="s">
        <v>89</v>
      </c>
      <c r="V333" s="3"/>
      <c r="W333" s="3"/>
      <c r="X333" s="3"/>
      <c r="Y333" s="3"/>
      <c r="AA333" s="1394" t="s">
        <v>2714</v>
      </c>
      <c r="AB333" s="1395"/>
      <c r="AC333" s="1395"/>
      <c r="AD333" s="1395"/>
      <c r="AE333" s="1395"/>
      <c r="AF333" s="1395"/>
      <c r="AG333" s="4"/>
      <c r="AH333" s="4"/>
      <c r="AI333" s="35"/>
      <c r="AJ333" s="35"/>
      <c r="AK333" s="35"/>
    </row>
    <row r="334" spans="2:37" ht="12.95" customHeight="1">
      <c r="B334" s="3" t="s">
        <v>76</v>
      </c>
      <c r="C334" s="3"/>
      <c r="D334" s="3"/>
      <c r="E334" s="3"/>
      <c r="F334" s="3"/>
      <c r="G334" s="3"/>
      <c r="H334" s="1420" t="s">
        <v>2755</v>
      </c>
      <c r="I334" s="1420"/>
      <c r="J334" s="1420"/>
      <c r="K334" s="1420"/>
      <c r="L334" s="1420"/>
      <c r="M334" s="1420"/>
      <c r="N334" s="1397"/>
      <c r="O334" s="1397"/>
      <c r="P334" s="1397"/>
      <c r="Q334" s="1397"/>
      <c r="R334" s="1397"/>
      <c r="S334" s="3"/>
      <c r="T334" s="3" t="s">
        <v>76</v>
      </c>
      <c r="V334" s="3"/>
      <c r="W334" s="3"/>
      <c r="X334" s="3"/>
      <c r="Y334" s="3"/>
      <c r="AA334" s="1420" t="s">
        <v>2715</v>
      </c>
      <c r="AB334" s="1420"/>
      <c r="AC334" s="1420"/>
      <c r="AD334" s="1420"/>
      <c r="AE334" s="1420"/>
      <c r="AF334" s="1420"/>
      <c r="AG334" s="1397"/>
      <c r="AH334" s="1397"/>
      <c r="AI334" s="1397"/>
      <c r="AJ334" s="1397"/>
      <c r="AK334" s="1397"/>
    </row>
    <row r="335" spans="2:37" ht="12.95" customHeight="1">
      <c r="B335" s="3"/>
      <c r="C335" s="3"/>
      <c r="D335" s="3"/>
      <c r="E335" s="3"/>
      <c r="F335" s="3"/>
      <c r="G335" s="3"/>
      <c r="P335" s="163"/>
      <c r="Q335" s="163"/>
      <c r="R335" s="163"/>
      <c r="S335" s="163"/>
      <c r="T335" s="163"/>
      <c r="U335" s="163"/>
      <c r="V335" s="4"/>
      <c r="W335" s="4"/>
      <c r="X335" s="35"/>
      <c r="Y335" s="35"/>
      <c r="Z335" s="35"/>
    </row>
    <row r="336" spans="2:37" ht="12.95" customHeight="1">
      <c r="B336" s="3" t="s">
        <v>366</v>
      </c>
      <c r="C336" s="3"/>
      <c r="D336" s="3"/>
      <c r="E336" s="3"/>
      <c r="F336" s="3"/>
      <c r="H336" s="1397" t="s">
        <v>2709</v>
      </c>
      <c r="I336" s="1397"/>
      <c r="J336" s="1397"/>
      <c r="K336" s="1397"/>
      <c r="L336" s="1397"/>
      <c r="M336" s="1397"/>
      <c r="N336" s="1397"/>
      <c r="O336" s="1397"/>
      <c r="P336" s="1397"/>
      <c r="Q336" s="1397"/>
      <c r="R336" s="1397"/>
      <c r="T336" s="3" t="s">
        <v>367</v>
      </c>
      <c r="V336" s="3"/>
      <c r="W336" s="3"/>
      <c r="X336" s="3"/>
      <c r="Y336" s="3"/>
      <c r="AA336" s="1397" t="s">
        <v>2781</v>
      </c>
      <c r="AB336" s="1397"/>
      <c r="AC336" s="1397"/>
      <c r="AD336" s="1397"/>
      <c r="AE336" s="1397"/>
      <c r="AF336" s="1397"/>
      <c r="AG336" s="1397"/>
      <c r="AH336" s="1397"/>
      <c r="AI336" s="1397"/>
      <c r="AJ336" s="1397"/>
      <c r="AK336" s="1397"/>
    </row>
    <row r="337" spans="2:66" ht="12.95" customHeight="1">
      <c r="B337" s="3" t="s">
        <v>469</v>
      </c>
      <c r="C337" s="3"/>
      <c r="D337" s="3"/>
      <c r="E337" s="3"/>
      <c r="F337" s="3"/>
      <c r="H337" s="1420" t="s">
        <v>2710</v>
      </c>
      <c r="I337" s="1420"/>
      <c r="J337" s="1420"/>
      <c r="K337" s="1420"/>
      <c r="L337" s="1420"/>
      <c r="M337" s="1420"/>
      <c r="N337" s="1420"/>
      <c r="O337" s="1420"/>
      <c r="P337" s="1420"/>
      <c r="Q337" s="1420"/>
      <c r="R337" s="1420"/>
      <c r="T337" s="3" t="s">
        <v>469</v>
      </c>
      <c r="V337" s="3"/>
      <c r="W337" s="3"/>
      <c r="X337" s="3"/>
      <c r="Y337" s="3"/>
      <c r="AA337" s="1420"/>
      <c r="AB337" s="1420"/>
      <c r="AC337" s="1420"/>
      <c r="AD337" s="1420"/>
      <c r="AE337" s="1420"/>
      <c r="AF337" s="1420"/>
      <c r="AG337" s="1420"/>
      <c r="AH337" s="1420"/>
      <c r="AI337" s="1420"/>
      <c r="AJ337" s="1420"/>
      <c r="AK337" s="1420"/>
    </row>
    <row r="338" spans="2:66" ht="12.95" customHeight="1">
      <c r="B338" s="3" t="s">
        <v>470</v>
      </c>
      <c r="C338" s="3"/>
      <c r="D338" s="3"/>
      <c r="E338" s="3"/>
      <c r="F338" s="3"/>
      <c r="H338" s="1420" t="s">
        <v>2711</v>
      </c>
      <c r="I338" s="1420"/>
      <c r="J338" s="1420"/>
      <c r="K338" s="1420"/>
      <c r="L338" s="1420"/>
      <c r="M338" s="1420"/>
      <c r="N338" s="1420"/>
      <c r="O338" s="1420"/>
      <c r="P338" s="1420"/>
      <c r="Q338" s="1420"/>
      <c r="R338" s="1420"/>
      <c r="T338" s="3" t="s">
        <v>75</v>
      </c>
      <c r="V338" s="3"/>
      <c r="W338" s="3"/>
      <c r="X338" s="3"/>
      <c r="Y338" s="3"/>
      <c r="AA338" s="1420"/>
      <c r="AB338" s="1420"/>
      <c r="AC338" s="1420"/>
      <c r="AD338" s="1420"/>
      <c r="AE338" s="1420"/>
      <c r="AF338" s="1420"/>
      <c r="AG338" s="1420"/>
      <c r="AH338" s="1420"/>
      <c r="AI338" s="1420"/>
      <c r="AJ338" s="1420"/>
      <c r="AK338" s="1420"/>
    </row>
    <row r="339" spans="2:66" ht="12.95" customHeight="1">
      <c r="B339" s="3" t="s">
        <v>87</v>
      </c>
      <c r="C339" s="3"/>
      <c r="D339" s="3"/>
      <c r="E339" s="3"/>
      <c r="F339" s="3"/>
      <c r="H339" s="1420" t="s">
        <v>2712</v>
      </c>
      <c r="I339" s="1420"/>
      <c r="J339" s="1420"/>
      <c r="K339" s="1420"/>
      <c r="L339" s="1420"/>
      <c r="M339" s="1420"/>
      <c r="N339" s="1420"/>
      <c r="O339" s="1420"/>
      <c r="P339" s="1420"/>
      <c r="Q339" s="1420"/>
      <c r="R339" s="1420"/>
      <c r="T339" s="3" t="s">
        <v>87</v>
      </c>
      <c r="V339" s="3"/>
      <c r="W339" s="3"/>
      <c r="X339" s="3"/>
      <c r="Y339" s="3"/>
      <c r="AA339" s="1420"/>
      <c r="AB339" s="1420"/>
      <c r="AC339" s="1420"/>
      <c r="AD339" s="1420"/>
      <c r="AE339" s="1420"/>
      <c r="AF339" s="1420"/>
      <c r="AG339" s="1420"/>
      <c r="AH339" s="1420"/>
      <c r="AI339" s="1420"/>
      <c r="AJ339" s="1420"/>
      <c r="AK339" s="1420"/>
    </row>
    <row r="340" spans="2:66" ht="12.95" customHeight="1">
      <c r="B340" s="3" t="s">
        <v>88</v>
      </c>
      <c r="C340" s="3"/>
      <c r="D340" s="3"/>
      <c r="E340" s="3"/>
      <c r="F340" s="3"/>
      <c r="G340" s="3"/>
      <c r="H340" s="1443" t="s">
        <v>2713</v>
      </c>
      <c r="I340" s="1443"/>
      <c r="J340" s="1443"/>
      <c r="K340" s="1443"/>
      <c r="L340" s="1443"/>
      <c r="M340" s="1443"/>
      <c r="N340" s="4" t="s">
        <v>205</v>
      </c>
      <c r="O340" s="4"/>
      <c r="P340" s="1437"/>
      <c r="Q340" s="1437"/>
      <c r="R340" s="1437"/>
      <c r="S340" s="3"/>
      <c r="T340" s="3" t="s">
        <v>88</v>
      </c>
      <c r="V340" s="3"/>
      <c r="W340" s="3"/>
      <c r="X340" s="3"/>
      <c r="Y340" s="3"/>
      <c r="AA340" s="1443"/>
      <c r="AB340" s="1443"/>
      <c r="AC340" s="1443"/>
      <c r="AD340" s="1443"/>
      <c r="AE340" s="1443"/>
      <c r="AF340" s="1443"/>
      <c r="AG340" s="4" t="s">
        <v>205</v>
      </c>
      <c r="AH340" s="4"/>
      <c r="AI340" s="1437"/>
      <c r="AJ340" s="1437"/>
      <c r="AK340" s="1437"/>
    </row>
    <row r="341" spans="2:66" ht="12.95" customHeight="1">
      <c r="B341" s="3" t="s">
        <v>89</v>
      </c>
      <c r="C341" s="3"/>
      <c r="D341" s="3"/>
      <c r="E341" s="3"/>
      <c r="F341" s="3"/>
      <c r="G341" s="3"/>
      <c r="H341" s="1395" t="s">
        <v>2714</v>
      </c>
      <c r="I341" s="1395"/>
      <c r="J341" s="1395"/>
      <c r="K341" s="1395"/>
      <c r="L341" s="1395"/>
      <c r="M341" s="1395"/>
      <c r="N341" s="4"/>
      <c r="O341" s="4"/>
      <c r="P341" s="35"/>
      <c r="Q341" s="35"/>
      <c r="R341" s="35"/>
      <c r="S341" s="3"/>
      <c r="T341" s="3" t="s">
        <v>89</v>
      </c>
      <c r="V341" s="3"/>
      <c r="W341" s="3"/>
      <c r="X341" s="3"/>
      <c r="Y341" s="3"/>
      <c r="AA341" s="1395"/>
      <c r="AB341" s="1395"/>
      <c r="AC341" s="1395"/>
      <c r="AD341" s="1395"/>
      <c r="AE341" s="1395"/>
      <c r="AF341" s="1395"/>
      <c r="AG341" s="4"/>
      <c r="AH341" s="4"/>
      <c r="AI341" s="35"/>
      <c r="AJ341" s="35"/>
      <c r="AK341" s="35"/>
    </row>
    <row r="342" spans="2:66" ht="12.95" customHeight="1">
      <c r="B342" s="3" t="s">
        <v>76</v>
      </c>
      <c r="C342" s="3"/>
      <c r="D342" s="3"/>
      <c r="E342" s="3"/>
      <c r="F342" s="3"/>
      <c r="G342" s="3"/>
      <c r="H342" s="1420" t="s">
        <v>2715</v>
      </c>
      <c r="I342" s="1420"/>
      <c r="J342" s="1420"/>
      <c r="K342" s="1420"/>
      <c r="L342" s="1420"/>
      <c r="M342" s="1420"/>
      <c r="N342" s="1397"/>
      <c r="O342" s="1397"/>
      <c r="P342" s="1397"/>
      <c r="Q342" s="1397"/>
      <c r="R342" s="1397"/>
      <c r="S342" s="3"/>
      <c r="T342" s="3" t="s">
        <v>76</v>
      </c>
      <c r="V342" s="3"/>
      <c r="W342" s="3"/>
      <c r="X342" s="3"/>
      <c r="Y342" s="3"/>
      <c r="AA342" s="1420"/>
      <c r="AB342" s="1420"/>
      <c r="AC342" s="1420"/>
      <c r="AD342" s="1420"/>
      <c r="AE342" s="1420"/>
      <c r="AF342" s="1420"/>
      <c r="AG342" s="1397"/>
      <c r="AH342" s="1397"/>
      <c r="AI342" s="1397"/>
      <c r="AJ342" s="1397"/>
      <c r="AK342" s="1397"/>
    </row>
    <row r="343" spans="2:66" ht="12.95" customHeight="1">
      <c r="B343" s="3"/>
      <c r="C343" s="3"/>
      <c r="D343" s="3"/>
      <c r="E343" s="3"/>
      <c r="F343" s="3"/>
      <c r="G343" s="3"/>
      <c r="P343" s="163"/>
      <c r="Q343" s="163"/>
      <c r="R343" s="163"/>
      <c r="S343" s="163"/>
      <c r="T343" s="163"/>
      <c r="U343" s="163"/>
      <c r="V343" s="4"/>
      <c r="W343" s="4"/>
      <c r="X343" s="35"/>
      <c r="Y343" s="35"/>
      <c r="Z343" s="35"/>
    </row>
    <row r="344" spans="2:66" ht="12.95" customHeight="1">
      <c r="B344" s="3" t="s">
        <v>328</v>
      </c>
      <c r="C344" s="3"/>
      <c r="D344" s="3"/>
      <c r="E344" s="3"/>
      <c r="F344" s="3"/>
      <c r="H344" s="1396" t="s">
        <v>2758</v>
      </c>
      <c r="I344" s="1397"/>
      <c r="J344" s="1397"/>
      <c r="K344" s="1397"/>
      <c r="L344" s="1397"/>
      <c r="M344" s="1397"/>
      <c r="N344" s="1397"/>
      <c r="O344" s="1397"/>
      <c r="P344" s="1397"/>
      <c r="Q344" s="1397"/>
      <c r="R344" s="1397"/>
      <c r="T344" s="204" t="s">
        <v>884</v>
      </c>
      <c r="V344" s="3"/>
      <c r="W344" s="3"/>
      <c r="X344" s="3"/>
      <c r="Y344" s="3"/>
      <c r="AA344" s="1397" t="s">
        <v>2681</v>
      </c>
      <c r="AB344" s="1397"/>
      <c r="AC344" s="1397"/>
      <c r="AD344" s="1397"/>
      <c r="AE344" s="1397"/>
      <c r="AF344" s="1397"/>
      <c r="AG344" s="1397"/>
      <c r="AH344" s="1397"/>
      <c r="AI344" s="1397"/>
      <c r="AJ344" s="1397"/>
      <c r="AK344" s="1397"/>
    </row>
    <row r="345" spans="2:66" ht="12.95" customHeight="1">
      <c r="B345" s="3" t="s">
        <v>469</v>
      </c>
      <c r="C345" s="3"/>
      <c r="D345" s="3"/>
      <c r="E345" s="3"/>
      <c r="F345" s="3"/>
      <c r="H345" s="1420" t="s">
        <v>2760</v>
      </c>
      <c r="I345" s="1420"/>
      <c r="J345" s="1420"/>
      <c r="K345" s="1420"/>
      <c r="L345" s="1420"/>
      <c r="M345" s="1420"/>
      <c r="N345" s="1420"/>
      <c r="O345" s="1420"/>
      <c r="P345" s="1420"/>
      <c r="Q345" s="1420"/>
      <c r="R345" s="1420"/>
      <c r="T345" s="3" t="s">
        <v>469</v>
      </c>
      <c r="V345" s="3"/>
      <c r="W345" s="3"/>
      <c r="X345" s="3"/>
      <c r="Y345" s="3"/>
      <c r="AA345" s="1420" t="s">
        <v>2682</v>
      </c>
      <c r="AB345" s="1420"/>
      <c r="AC345" s="1420"/>
      <c r="AD345" s="1420"/>
      <c r="AE345" s="1420"/>
      <c r="AF345" s="1420"/>
      <c r="AG345" s="1420"/>
      <c r="AH345" s="1420"/>
      <c r="AI345" s="1420"/>
      <c r="AJ345" s="1420"/>
      <c r="AK345" s="1420"/>
    </row>
    <row r="346" spans="2:66" ht="12.95" customHeight="1">
      <c r="B346" s="3" t="s">
        <v>75</v>
      </c>
      <c r="C346" s="3"/>
      <c r="D346" s="3"/>
      <c r="E346" s="3"/>
      <c r="F346" s="3"/>
      <c r="H346" s="1420" t="s">
        <v>2761</v>
      </c>
      <c r="I346" s="1420"/>
      <c r="J346" s="1420"/>
      <c r="K346" s="1420"/>
      <c r="L346" s="1420"/>
      <c r="M346" s="1420"/>
      <c r="N346" s="1420"/>
      <c r="O346" s="1420"/>
      <c r="P346" s="1420"/>
      <c r="Q346" s="1420"/>
      <c r="R346" s="1420"/>
      <c r="T346" s="3" t="s">
        <v>75</v>
      </c>
      <c r="V346" s="3"/>
      <c r="W346" s="3"/>
      <c r="X346" s="3"/>
      <c r="Y346" s="3"/>
      <c r="AA346" s="1420" t="s">
        <v>2683</v>
      </c>
      <c r="AB346" s="1420"/>
      <c r="AC346" s="1420"/>
      <c r="AD346" s="1420"/>
      <c r="AE346" s="1420"/>
      <c r="AF346" s="1420"/>
      <c r="AG346" s="1420"/>
      <c r="AH346" s="1420"/>
      <c r="AI346" s="1420"/>
      <c r="AJ346" s="1420"/>
      <c r="AK346" s="1420"/>
    </row>
    <row r="347" spans="2:66" ht="12.95" customHeight="1">
      <c r="B347" s="3" t="s">
        <v>87</v>
      </c>
      <c r="C347" s="3"/>
      <c r="D347" s="3"/>
      <c r="E347" s="3"/>
      <c r="F347" s="3"/>
      <c r="G347" s="3"/>
      <c r="H347" s="1725" t="s">
        <v>2759</v>
      </c>
      <c r="I347" s="1420"/>
      <c r="J347" s="1420"/>
      <c r="K347" s="1420"/>
      <c r="L347" s="1420"/>
      <c r="M347" s="1420"/>
      <c r="N347" s="1420"/>
      <c r="O347" s="1420"/>
      <c r="P347" s="1420"/>
      <c r="Q347" s="1420"/>
      <c r="R347" s="1420"/>
      <c r="T347" s="3" t="s">
        <v>87</v>
      </c>
      <c r="V347" s="3"/>
      <c r="W347" s="3"/>
      <c r="X347" s="3"/>
      <c r="Y347" s="3"/>
      <c r="AA347" s="1420" t="s">
        <v>2684</v>
      </c>
      <c r="AB347" s="1420"/>
      <c r="AC347" s="1420"/>
      <c r="AD347" s="1420"/>
      <c r="AE347" s="1420"/>
      <c r="AF347" s="1420"/>
      <c r="AG347" s="1420"/>
      <c r="AH347" s="1420"/>
      <c r="AI347" s="1420"/>
      <c r="AJ347" s="1420"/>
      <c r="AK347" s="1420"/>
    </row>
    <row r="348" spans="2:66" ht="12.95" customHeight="1">
      <c r="B348" s="3" t="s">
        <v>88</v>
      </c>
      <c r="C348" s="3"/>
      <c r="D348" s="3"/>
      <c r="E348" s="3"/>
      <c r="F348" s="3"/>
      <c r="G348" s="3"/>
      <c r="H348" s="1442" t="s">
        <v>2762</v>
      </c>
      <c r="I348" s="1443"/>
      <c r="J348" s="1443"/>
      <c r="K348" s="1443"/>
      <c r="L348" s="1443"/>
      <c r="M348" s="1443"/>
      <c r="N348" s="4" t="s">
        <v>205</v>
      </c>
      <c r="O348" s="4"/>
      <c r="P348" s="1437"/>
      <c r="Q348" s="1437"/>
      <c r="R348" s="1437"/>
      <c r="S348" s="3"/>
      <c r="T348" s="3" t="s">
        <v>88</v>
      </c>
      <c r="V348" s="3"/>
      <c r="W348" s="3"/>
      <c r="X348" s="3"/>
      <c r="Y348" s="3"/>
      <c r="AA348" s="1443" t="s">
        <v>2685</v>
      </c>
      <c r="AB348" s="1443"/>
      <c r="AC348" s="1443"/>
      <c r="AD348" s="1443"/>
      <c r="AE348" s="1443"/>
      <c r="AF348" s="1443"/>
      <c r="AG348" s="4" t="s">
        <v>205</v>
      </c>
      <c r="AH348" s="4"/>
      <c r="AI348" s="1437"/>
      <c r="AJ348" s="1437"/>
      <c r="AK348" s="1437"/>
    </row>
    <row r="349" spans="2:66" ht="12.95" customHeight="1">
      <c r="B349" s="3" t="s">
        <v>89</v>
      </c>
      <c r="C349" s="3"/>
      <c r="D349" s="3"/>
      <c r="E349" s="3"/>
      <c r="F349" s="3"/>
      <c r="G349" s="3"/>
      <c r="H349" s="1394" t="s">
        <v>589</v>
      </c>
      <c r="I349" s="1395"/>
      <c r="J349" s="1395"/>
      <c r="K349" s="1395"/>
      <c r="L349" s="1395"/>
      <c r="M349" s="1395"/>
      <c r="N349" s="4"/>
      <c r="O349" s="4"/>
      <c r="P349" s="35"/>
      <c r="Q349" s="35"/>
      <c r="R349" s="35"/>
      <c r="S349" s="3"/>
      <c r="T349" s="3" t="s">
        <v>89</v>
      </c>
      <c r="V349" s="3"/>
      <c r="W349" s="3"/>
      <c r="X349" s="3"/>
      <c r="Y349" s="3"/>
      <c r="AA349" s="1395" t="s">
        <v>589</v>
      </c>
      <c r="AB349" s="1395"/>
      <c r="AC349" s="1395"/>
      <c r="AD349" s="1395"/>
      <c r="AE349" s="1395"/>
      <c r="AF349" s="1395"/>
      <c r="AG349" s="4"/>
      <c r="AH349" s="4"/>
      <c r="AI349" s="35"/>
      <c r="AJ349" s="35"/>
      <c r="AK349" s="35"/>
    </row>
    <row r="350" spans="2:66" ht="12.95" customHeight="1">
      <c r="B350" s="3" t="s">
        <v>76</v>
      </c>
      <c r="C350" s="3"/>
      <c r="D350" s="3"/>
      <c r="E350" s="3"/>
      <c r="F350" s="3"/>
      <c r="G350" s="3"/>
      <c r="H350" s="1420" t="s">
        <v>2763</v>
      </c>
      <c r="I350" s="1420"/>
      <c r="J350" s="1420"/>
      <c r="K350" s="1420"/>
      <c r="L350" s="1420"/>
      <c r="M350" s="1420"/>
      <c r="N350" s="1397"/>
      <c r="O350" s="1397"/>
      <c r="P350" s="1397"/>
      <c r="Q350" s="1397"/>
      <c r="R350" s="1397"/>
      <c r="S350" s="3"/>
      <c r="T350" s="3" t="s">
        <v>76</v>
      </c>
      <c r="V350" s="3"/>
      <c r="W350" s="3"/>
      <c r="X350" s="3"/>
      <c r="Y350" s="3"/>
      <c r="AA350" s="1420" t="s">
        <v>2686</v>
      </c>
      <c r="AB350" s="1420"/>
      <c r="AC350" s="1420"/>
      <c r="AD350" s="1420"/>
      <c r="AE350" s="1420"/>
      <c r="AF350" s="1420"/>
      <c r="AG350" s="1397"/>
      <c r="AH350" s="1397"/>
      <c r="AI350" s="1397"/>
      <c r="AJ350" s="1397"/>
      <c r="AK350" s="1397"/>
    </row>
    <row r="351" spans="2:66" ht="12.95"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589</v>
      </c>
    </row>
    <row r="352" spans="2:66" ht="12.95" customHeight="1">
      <c r="B352" s="3"/>
      <c r="C352" s="4"/>
      <c r="D352" s="4"/>
      <c r="E352" s="4"/>
      <c r="F352" s="4"/>
      <c r="I352" s="204" t="s">
        <v>885</v>
      </c>
      <c r="P352" s="1397" t="s">
        <v>2687</v>
      </c>
      <c r="Q352" s="1397"/>
      <c r="R352" s="1397"/>
      <c r="S352" s="1397"/>
      <c r="T352" s="1397"/>
      <c r="U352" s="1397"/>
      <c r="V352" s="1397"/>
      <c r="W352" s="1397"/>
      <c r="X352" s="1397"/>
      <c r="Y352" s="1397"/>
      <c r="Z352" s="1397"/>
      <c r="AA352" s="1397"/>
      <c r="AB352" s="1397"/>
      <c r="AC352" s="1397"/>
      <c r="AD352" s="1397"/>
      <c r="AE352" s="1397"/>
      <c r="BN352" t="s">
        <v>667</v>
      </c>
    </row>
    <row r="353" spans="1:66" ht="12.95" customHeight="1">
      <c r="B353" s="4"/>
      <c r="C353" s="4"/>
      <c r="D353" s="4"/>
      <c r="E353" s="4"/>
      <c r="F353" s="4"/>
      <c r="I353" s="4" t="s">
        <v>469</v>
      </c>
      <c r="P353" s="1420"/>
      <c r="Q353" s="1420"/>
      <c r="R353" s="1420"/>
      <c r="S353" s="1420"/>
      <c r="T353" s="1420"/>
      <c r="U353" s="1420"/>
      <c r="V353" s="1420"/>
      <c r="W353" s="1420"/>
      <c r="X353" s="1420"/>
      <c r="Y353" s="1420"/>
      <c r="Z353" s="1420"/>
      <c r="AA353" s="1420"/>
      <c r="AB353" s="1420"/>
      <c r="AC353" s="1420"/>
      <c r="AD353" s="1420"/>
      <c r="AE353" s="1420"/>
      <c r="BN353" t="s">
        <v>543</v>
      </c>
    </row>
    <row r="354" spans="1:66" ht="12.95" customHeight="1">
      <c r="B354" s="4"/>
      <c r="C354" s="4"/>
      <c r="D354" s="4"/>
      <c r="E354" s="4"/>
      <c r="F354" s="4"/>
      <c r="I354" s="4" t="s">
        <v>75</v>
      </c>
      <c r="P354" s="1420"/>
      <c r="Q354" s="1420"/>
      <c r="R354" s="1420"/>
      <c r="S354" s="1420"/>
      <c r="T354" s="1420"/>
      <c r="U354" s="1420"/>
      <c r="V354" s="1420"/>
      <c r="W354" s="1420"/>
      <c r="X354" s="1420"/>
      <c r="Y354" s="1420"/>
      <c r="Z354" s="1420"/>
      <c r="AA354" s="1420"/>
      <c r="AB354" s="1420"/>
      <c r="AC354" s="1420"/>
      <c r="AD354" s="1420"/>
      <c r="AE354" s="1420"/>
    </row>
    <row r="355" spans="1:66" ht="12.95" customHeight="1">
      <c r="B355" s="4"/>
      <c r="C355" s="4"/>
      <c r="D355" s="4"/>
      <c r="E355" s="4"/>
      <c r="F355" s="4"/>
      <c r="G355" s="4"/>
      <c r="I355" s="4" t="s">
        <v>87</v>
      </c>
      <c r="P355" s="1420"/>
      <c r="Q355" s="1420"/>
      <c r="R355" s="1420"/>
      <c r="S355" s="1420"/>
      <c r="T355" s="1420"/>
      <c r="U355" s="1420"/>
      <c r="V355" s="1420"/>
      <c r="W355" s="1420"/>
      <c r="X355" s="1420"/>
      <c r="Y355" s="1420"/>
      <c r="Z355" s="1420"/>
      <c r="AA355" s="1420"/>
      <c r="AB355" s="1420"/>
      <c r="AC355" s="1420"/>
      <c r="AD355" s="1420"/>
      <c r="AE355" s="1420"/>
    </row>
    <row r="356" spans="1:66" ht="12.95" customHeight="1">
      <c r="B356" s="4"/>
      <c r="C356" s="4"/>
      <c r="D356" s="4"/>
      <c r="E356" s="4"/>
      <c r="F356" s="4"/>
      <c r="G356" s="4"/>
      <c r="H356" s="302"/>
      <c r="I356" s="4" t="s">
        <v>88</v>
      </c>
      <c r="P356" s="1395"/>
      <c r="Q356" s="1395"/>
      <c r="R356" s="1395"/>
      <c r="S356" s="1395"/>
      <c r="T356" s="1395"/>
      <c r="U356" s="1395"/>
      <c r="V356" s="1395"/>
      <c r="W356" s="1395"/>
      <c r="X356" s="1395"/>
      <c r="Y356" s="1395"/>
      <c r="Z356" s="1395"/>
      <c r="AA356" s="4" t="s">
        <v>205</v>
      </c>
      <c r="AB356" s="4"/>
      <c r="AC356" s="1426"/>
      <c r="AD356" s="1426"/>
      <c r="AE356" s="1426"/>
      <c r="AF356" s="302"/>
      <c r="AG356" s="4"/>
      <c r="AH356" s="4"/>
      <c r="AI356" s="4"/>
      <c r="AJ356" s="4"/>
      <c r="AK356" s="4"/>
    </row>
    <row r="357" spans="1:66" ht="12.95" customHeight="1">
      <c r="B357" s="4"/>
      <c r="C357" s="4"/>
      <c r="D357" s="4"/>
      <c r="E357" s="4"/>
      <c r="F357" s="4"/>
      <c r="G357" s="4"/>
      <c r="H357" s="302"/>
      <c r="I357" s="4" t="s">
        <v>89</v>
      </c>
      <c r="P357" s="1395"/>
      <c r="Q357" s="1395"/>
      <c r="R357" s="1395"/>
      <c r="S357" s="1395"/>
      <c r="T357" s="1395"/>
      <c r="U357" s="1395"/>
      <c r="V357" s="1395"/>
      <c r="W357" s="1395"/>
      <c r="X357" s="1395"/>
      <c r="Y357" s="1395"/>
      <c r="Z357" s="1395"/>
      <c r="AF357" s="302"/>
      <c r="AG357" s="4"/>
      <c r="AH357" s="4"/>
      <c r="AI357" s="35"/>
      <c r="AJ357" s="35"/>
      <c r="AK357" s="35"/>
    </row>
    <row r="358" spans="1:66" ht="12.95" customHeight="1">
      <c r="B358" s="4"/>
      <c r="C358" s="4"/>
      <c r="D358" s="4"/>
      <c r="E358" s="4"/>
      <c r="F358" s="4"/>
      <c r="G358" s="4"/>
      <c r="I358" s="4" t="s">
        <v>76</v>
      </c>
      <c r="P358" s="1397"/>
      <c r="Q358" s="1397"/>
      <c r="R358" s="1397"/>
      <c r="S358" s="1397"/>
      <c r="T358" s="1397"/>
      <c r="U358" s="1397"/>
      <c r="V358" s="1397"/>
      <c r="W358" s="1397"/>
      <c r="X358" s="1397"/>
      <c r="Y358" s="1397"/>
      <c r="Z358" s="1397"/>
      <c r="AA358" s="1397"/>
      <c r="AB358" s="1397"/>
      <c r="AC358" s="1397"/>
      <c r="AD358" s="1397"/>
      <c r="AE358" s="1397"/>
    </row>
    <row r="359" spans="1:66" ht="12.95" customHeight="1">
      <c r="T359" s="8"/>
      <c r="U359" s="8"/>
      <c r="V359" s="8"/>
      <c r="W359" s="8"/>
      <c r="X359" s="8"/>
      <c r="Y359" s="8"/>
      <c r="Z359" s="8"/>
      <c r="AU359" s="95"/>
      <c r="AV359" s="95"/>
      <c r="AW359" s="95"/>
      <c r="AX359" s="95"/>
      <c r="AY359" s="95"/>
    </row>
    <row r="360" spans="1:66" ht="12.95" customHeight="1">
      <c r="A360" s="1441" t="s">
        <v>540</v>
      </c>
      <c r="B360" s="1441"/>
      <c r="C360" s="1441"/>
      <c r="D360" s="1441"/>
      <c r="E360" s="1441"/>
      <c r="F360" s="1441"/>
      <c r="G360" s="1441"/>
      <c r="H360" s="1441"/>
      <c r="I360" s="1441"/>
      <c r="J360" s="1441"/>
      <c r="K360" s="1441"/>
      <c r="L360" s="1441"/>
      <c r="M360" s="1441"/>
      <c r="N360" s="1441"/>
      <c r="O360" s="1441"/>
      <c r="P360" s="1441"/>
      <c r="Q360" s="1441"/>
      <c r="R360" s="1441"/>
      <c r="S360" s="1441"/>
      <c r="T360" s="1441"/>
      <c r="U360" s="1441"/>
      <c r="V360" s="1441"/>
      <c r="W360" s="1441"/>
      <c r="X360" s="1441"/>
      <c r="Y360" s="1441"/>
      <c r="Z360" s="1441"/>
      <c r="AA360" s="1441"/>
      <c r="AB360" s="1441"/>
      <c r="AC360" s="1441"/>
      <c r="AD360" s="1441"/>
      <c r="AE360" s="1441"/>
      <c r="AF360" s="1441"/>
      <c r="AG360" s="1441"/>
      <c r="AH360" s="1441"/>
      <c r="AI360" s="1441"/>
      <c r="AJ360" s="1441"/>
      <c r="AK360" s="1441"/>
      <c r="AL360" s="1441"/>
      <c r="AM360" s="1441"/>
      <c r="AN360" s="1441"/>
      <c r="AO360" s="1441"/>
      <c r="AP360" s="1441"/>
      <c r="AQ360" s="1441"/>
      <c r="AR360" s="1441"/>
      <c r="AS360" s="1441"/>
      <c r="AT360" s="1441"/>
      <c r="AU360" s="95"/>
      <c r="AV360" s="95"/>
      <c r="AW360" s="95"/>
      <c r="AX360" s="95"/>
      <c r="AY360" s="95"/>
    </row>
    <row r="361" spans="1:66" ht="12.95" customHeight="1">
      <c r="A361" s="1441"/>
      <c r="B361" s="1441"/>
      <c r="C361" s="1441"/>
      <c r="D361" s="1441"/>
      <c r="E361" s="1441"/>
      <c r="F361" s="1441"/>
      <c r="G361" s="1441"/>
      <c r="H361" s="1441"/>
      <c r="I361" s="1441"/>
      <c r="J361" s="1441"/>
      <c r="K361" s="1441"/>
      <c r="L361" s="1441"/>
      <c r="M361" s="1441"/>
      <c r="N361" s="1441"/>
      <c r="O361" s="1441"/>
      <c r="P361" s="1441"/>
      <c r="Q361" s="1441"/>
      <c r="R361" s="1441"/>
      <c r="S361" s="1441"/>
      <c r="T361" s="1441"/>
      <c r="U361" s="1441"/>
      <c r="V361" s="1441"/>
      <c r="W361" s="1441"/>
      <c r="X361" s="1441"/>
      <c r="Y361" s="1441"/>
      <c r="Z361" s="1441"/>
      <c r="AA361" s="1441"/>
      <c r="AB361" s="1441"/>
      <c r="AC361" s="1441"/>
      <c r="AD361" s="1441"/>
      <c r="AE361" s="1441"/>
      <c r="AF361" s="1441"/>
      <c r="AG361" s="1441"/>
      <c r="AH361" s="1441"/>
      <c r="AI361" s="1441"/>
      <c r="AJ361" s="1441"/>
      <c r="AK361" s="1441"/>
      <c r="AL361" s="1441"/>
      <c r="AM361" s="1441"/>
      <c r="AN361" s="1441"/>
      <c r="AO361" s="1441"/>
      <c r="AP361" s="1441"/>
      <c r="AQ361" s="1441"/>
      <c r="AR361" s="1441"/>
      <c r="AS361" s="1441"/>
      <c r="AT361" s="1441"/>
      <c r="AU361" s="25"/>
      <c r="AV361" s="25"/>
      <c r="AW361" s="25"/>
      <c r="AX361" s="25"/>
      <c r="AY361" s="25"/>
    </row>
    <row r="362" spans="1:66" ht="12.95"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2.95" customHeight="1">
      <c r="A363" s="2" t="s">
        <v>318</v>
      </c>
      <c r="B363" s="2"/>
      <c r="C363" s="2" t="s">
        <v>780</v>
      </c>
    </row>
    <row r="364" spans="1:66" ht="12.95" customHeight="1">
      <c r="D364" s="3" t="s">
        <v>2046</v>
      </c>
      <c r="M364" s="1296" t="s">
        <v>543</v>
      </c>
      <c r="N364" s="1296"/>
      <c r="P364" t="s">
        <v>1636</v>
      </c>
      <c r="AJ364" s="1296" t="s">
        <v>543</v>
      </c>
      <c r="AK364" s="1296"/>
    </row>
    <row r="365" spans="1:66" ht="12.95" customHeight="1">
      <c r="D365" s="3" t="s">
        <v>1625</v>
      </c>
      <c r="M365" s="1296" t="s">
        <v>589</v>
      </c>
      <c r="N365" s="1296"/>
      <c r="P365" s="3" t="s">
        <v>1705</v>
      </c>
      <c r="AJ365" s="1422">
        <v>0</v>
      </c>
      <c r="AK365" s="1422"/>
    </row>
    <row r="366" spans="1:66" ht="12.95" customHeight="1">
      <c r="D366" s="3" t="s">
        <v>702</v>
      </c>
      <c r="M366" s="1296" t="s">
        <v>589</v>
      </c>
      <c r="N366" s="1296"/>
      <c r="P366" t="s">
        <v>1635</v>
      </c>
      <c r="AJ366" s="1296" t="s">
        <v>589</v>
      </c>
      <c r="AK366" s="1296"/>
    </row>
    <row r="367" spans="1:66" ht="12.95" customHeight="1">
      <c r="D367" s="3" t="s">
        <v>703</v>
      </c>
      <c r="M367" s="1296" t="s">
        <v>589</v>
      </c>
      <c r="N367" s="1296"/>
      <c r="Q367" s="4"/>
    </row>
    <row r="368" spans="1:66" ht="12.95" customHeight="1">
      <c r="Q368" s="4"/>
    </row>
    <row r="369" spans="1:34" ht="12.95" customHeight="1">
      <c r="Q369" s="4"/>
    </row>
    <row r="370" spans="1:34" ht="12.95" customHeight="1">
      <c r="A370" s="2" t="s">
        <v>574</v>
      </c>
      <c r="B370" s="2"/>
      <c r="C370" s="2" t="s">
        <v>550</v>
      </c>
      <c r="D370" s="2"/>
    </row>
    <row r="371" spans="1:34" ht="12.95" customHeight="1">
      <c r="D371" s="39" t="s">
        <v>184</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2.95" customHeight="1">
      <c r="D372" s="39" t="s">
        <v>185</v>
      </c>
      <c r="E372" s="40"/>
      <c r="F372" s="40"/>
      <c r="G372" s="40"/>
      <c r="H372" s="40"/>
      <c r="I372" s="40"/>
      <c r="J372" s="40"/>
      <c r="K372" s="40"/>
      <c r="L372" s="40"/>
      <c r="M372" s="40"/>
      <c r="N372" s="1296" t="s">
        <v>589</v>
      </c>
      <c r="O372" s="1296"/>
      <c r="P372" s="40"/>
      <c r="Q372" s="40"/>
      <c r="R372" s="40"/>
      <c r="S372" s="40"/>
      <c r="T372" s="40"/>
      <c r="U372" s="40"/>
      <c r="V372" s="40"/>
      <c r="W372" s="40"/>
      <c r="X372" s="40"/>
      <c r="Y372" s="40"/>
      <c r="Z372" s="40"/>
      <c r="AC372" s="40"/>
      <c r="AD372" s="40"/>
      <c r="AE372" s="40"/>
    </row>
    <row r="373" spans="1:34" ht="12.95" customHeight="1">
      <c r="E373" t="s">
        <v>369</v>
      </c>
      <c r="Y373" s="1296" t="s">
        <v>589</v>
      </c>
      <c r="Z373" s="1296"/>
    </row>
    <row r="374" spans="1:34" ht="12.95" customHeight="1">
      <c r="D374" s="4" t="s">
        <v>976</v>
      </c>
      <c r="Q374" s="1397"/>
      <c r="R374" s="1397"/>
      <c r="S374" s="1397"/>
      <c r="T374" s="1397"/>
      <c r="U374" s="1397"/>
      <c r="V374" s="1397"/>
      <c r="W374" s="1397"/>
      <c r="X374" s="1397"/>
      <c r="Y374" s="1397"/>
      <c r="Z374" s="1397"/>
      <c r="AA374" s="1397"/>
      <c r="AB374" s="1397"/>
      <c r="AC374" s="1397"/>
      <c r="AD374" s="1397"/>
      <c r="AE374" s="1397"/>
      <c r="AF374" s="1397"/>
      <c r="AG374" s="1397"/>
    </row>
    <row r="375" spans="1:34" ht="12.95" customHeight="1">
      <c r="D375" t="s">
        <v>186</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2.95" customHeight="1">
      <c r="D376" t="s">
        <v>187</v>
      </c>
      <c r="E376" s="40"/>
      <c r="F376" s="40"/>
      <c r="G376" s="40"/>
      <c r="H376" s="40"/>
      <c r="I376" s="40"/>
      <c r="J376" s="1296" t="s">
        <v>589</v>
      </c>
      <c r="K376" s="1296"/>
      <c r="L376" s="40"/>
      <c r="M376" s="40"/>
      <c r="N376" s="40"/>
      <c r="O376" s="40"/>
      <c r="P376" s="40"/>
      <c r="Q376" s="40"/>
      <c r="R376" s="40"/>
      <c r="S376" s="40"/>
      <c r="T376" s="40"/>
      <c r="U376" s="40"/>
      <c r="V376" s="40"/>
      <c r="W376" s="40"/>
      <c r="X376" s="40"/>
      <c r="Y376" s="40"/>
      <c r="Z376" s="40"/>
      <c r="AC376" s="40"/>
      <c r="AD376" s="40"/>
      <c r="AE376" s="40"/>
    </row>
    <row r="377" spans="1:34" ht="12.95" customHeight="1">
      <c r="E377" s="1436" t="s">
        <v>704</v>
      </c>
      <c r="F377" s="1436"/>
      <c r="G377" s="1436"/>
      <c r="H377" s="1436"/>
      <c r="I377" s="1436"/>
      <c r="J377" s="1436"/>
      <c r="K377" s="1436"/>
      <c r="L377" s="1436"/>
      <c r="M377" s="1436"/>
      <c r="N377" s="1436"/>
      <c r="O377" s="1436"/>
      <c r="P377" s="1436"/>
      <c r="Q377" s="1436"/>
      <c r="R377" s="1436"/>
      <c r="S377" s="1436"/>
      <c r="T377" s="1436"/>
      <c r="U377" s="1436"/>
      <c r="V377" s="1436"/>
      <c r="W377" s="1436"/>
      <c r="X377" s="1436"/>
      <c r="Y377" s="1436"/>
      <c r="Z377" s="1436"/>
      <c r="AA377" s="1436"/>
      <c r="AB377" s="1436"/>
      <c r="AC377" s="1436"/>
      <c r="AD377" s="1436"/>
      <c r="AE377" s="1436"/>
      <c r="AF377" s="1436"/>
      <c r="AG377" s="1436"/>
      <c r="AH377" s="1436"/>
    </row>
    <row r="378" spans="1:34" ht="12.95" customHeight="1">
      <c r="E378" s="1436"/>
      <c r="F378" s="1436"/>
      <c r="G378" s="1436"/>
      <c r="H378" s="1436"/>
      <c r="I378" s="1436"/>
      <c r="J378" s="1436"/>
      <c r="K378" s="1436"/>
      <c r="L378" s="1436"/>
      <c r="M378" s="1436"/>
      <c r="N378" s="1436"/>
      <c r="O378" s="1436"/>
      <c r="P378" s="1436"/>
      <c r="Q378" s="1436"/>
      <c r="R378" s="1436"/>
      <c r="S378" s="1436"/>
      <c r="T378" s="1436"/>
      <c r="U378" s="1436"/>
      <c r="V378" s="1436"/>
      <c r="W378" s="1436"/>
      <c r="X378" s="1436"/>
      <c r="Y378" s="1436"/>
      <c r="Z378" s="1436"/>
      <c r="AA378" s="1436"/>
      <c r="AB378" s="1436"/>
      <c r="AC378" s="1436"/>
      <c r="AD378" s="1436"/>
      <c r="AE378" s="1436"/>
      <c r="AF378" s="1436"/>
      <c r="AG378" s="1436"/>
      <c r="AH378" s="1436"/>
    </row>
    <row r="379" spans="1:34" ht="12.95" customHeight="1">
      <c r="E379" s="4" t="s">
        <v>446</v>
      </c>
      <c r="F379" s="4"/>
      <c r="G379" s="4"/>
      <c r="H379" s="4"/>
      <c r="I379" s="4"/>
      <c r="J379" s="4"/>
      <c r="K379" s="4"/>
      <c r="L379" s="4"/>
      <c r="N379" s="1467"/>
      <c r="O379" s="1467"/>
      <c r="P379" s="1467"/>
      <c r="Q379" s="1467"/>
      <c r="R379" s="4"/>
      <c r="U379" s="4" t="s">
        <v>447</v>
      </c>
      <c r="V379" s="4"/>
      <c r="W379" s="4"/>
      <c r="X379" s="4"/>
      <c r="Y379" s="4"/>
      <c r="Z379" s="4"/>
      <c r="AA379" s="4"/>
      <c r="AB379" s="4"/>
      <c r="AC379" s="1467"/>
      <c r="AD379" s="1467"/>
      <c r="AE379" s="1467"/>
      <c r="AF379" s="1467"/>
    </row>
    <row r="380" spans="1:34" ht="12.95" customHeight="1">
      <c r="E380" s="4" t="s">
        <v>448</v>
      </c>
      <c r="F380" s="4"/>
      <c r="G380" s="4"/>
      <c r="H380" s="4"/>
      <c r="I380" s="4"/>
      <c r="J380" s="4"/>
      <c r="K380" s="4"/>
      <c r="L380" s="4"/>
      <c r="N380" s="1467"/>
      <c r="O380" s="1467"/>
      <c r="P380" s="1467"/>
      <c r="Q380" s="1467"/>
      <c r="R380" s="4"/>
      <c r="U380" s="4" t="s">
        <v>0</v>
      </c>
      <c r="V380" s="4"/>
      <c r="W380" s="4"/>
      <c r="X380" s="4"/>
      <c r="Y380" s="4"/>
      <c r="Z380" s="4"/>
      <c r="AA380" s="4"/>
      <c r="AB380" s="4"/>
      <c r="AC380" s="1467"/>
      <c r="AD380" s="1467"/>
      <c r="AE380" s="1467"/>
      <c r="AF380" s="1467"/>
    </row>
    <row r="381" spans="1:34" ht="12.95" customHeight="1">
      <c r="E381" s="4" t="s">
        <v>1</v>
      </c>
      <c r="F381" s="4"/>
      <c r="G381" s="4"/>
      <c r="H381" s="4"/>
      <c r="I381" s="4"/>
      <c r="J381" s="4"/>
      <c r="K381" s="4"/>
      <c r="L381" s="4"/>
      <c r="N381" s="1467"/>
      <c r="O381" s="1467"/>
      <c r="P381" s="1467"/>
      <c r="Q381" s="1467"/>
      <c r="R381" s="4"/>
      <c r="V381" s="4"/>
      <c r="W381" s="4"/>
      <c r="X381" s="4"/>
      <c r="Y381" s="4"/>
      <c r="Z381" s="4"/>
      <c r="AA381" s="4"/>
      <c r="AB381" s="4"/>
    </row>
    <row r="382" spans="1:34" ht="12.95" customHeight="1">
      <c r="E382" s="4" t="s">
        <v>2</v>
      </c>
      <c r="F382" s="4"/>
      <c r="G382" s="4"/>
      <c r="H382" s="4"/>
      <c r="I382" s="4"/>
      <c r="J382" s="4"/>
      <c r="K382" s="4"/>
      <c r="L382" s="4"/>
      <c r="N382" s="1742"/>
      <c r="O382" s="1742"/>
      <c r="P382" s="1742"/>
      <c r="Q382" s="1742"/>
      <c r="R382" s="1742"/>
      <c r="S382" s="1742"/>
      <c r="T382" s="1742"/>
      <c r="U382" s="1742"/>
      <c r="V382" s="1742"/>
      <c r="W382" s="1742"/>
      <c r="X382" s="1742"/>
      <c r="Y382" s="1742"/>
      <c r="Z382" s="1742"/>
      <c r="AA382" s="1742"/>
      <c r="AB382" s="1742"/>
      <c r="AC382" s="1742"/>
      <c r="AD382" s="1742"/>
      <c r="AE382" s="1742"/>
      <c r="AF382" s="1742"/>
    </row>
    <row r="383" spans="1:34" ht="12.95" customHeight="1">
      <c r="E383" s="4"/>
      <c r="F383" s="4"/>
      <c r="G383" s="4"/>
      <c r="H383" s="4"/>
      <c r="I383" s="4"/>
      <c r="J383" s="4"/>
      <c r="K383" s="4"/>
      <c r="L383" s="4"/>
      <c r="N383" s="1743"/>
      <c r="O383" s="1743"/>
      <c r="P383" s="1743"/>
      <c r="Q383" s="1743"/>
      <c r="R383" s="1743"/>
      <c r="S383" s="1743"/>
      <c r="T383" s="1743"/>
      <c r="U383" s="1743"/>
      <c r="V383" s="1743"/>
      <c r="W383" s="1743"/>
      <c r="X383" s="1743"/>
      <c r="Y383" s="1743"/>
      <c r="Z383" s="1743"/>
      <c r="AA383" s="1743"/>
      <c r="AB383" s="1743"/>
      <c r="AC383" s="1743"/>
      <c r="AD383" s="1743"/>
      <c r="AE383" s="1743"/>
      <c r="AF383" s="1743"/>
    </row>
    <row r="384" spans="1:34" ht="12.95" customHeight="1">
      <c r="C384" s="508"/>
      <c r="E384" s="4"/>
      <c r="F384" s="4"/>
      <c r="G384" s="4"/>
      <c r="H384" s="4"/>
      <c r="I384" s="4"/>
      <c r="J384" s="4"/>
      <c r="K384" s="4"/>
      <c r="L384" s="4"/>
    </row>
    <row r="385" spans="1:36" ht="12.95" customHeight="1">
      <c r="D385" s="2" t="s">
        <v>973</v>
      </c>
      <c r="E385" s="2"/>
      <c r="F385" s="4"/>
      <c r="G385" s="4"/>
      <c r="H385" s="4"/>
      <c r="I385" s="4"/>
      <c r="J385" s="4"/>
      <c r="K385" s="4"/>
      <c r="L385" s="4"/>
    </row>
    <row r="386" spans="1:36" ht="12.95" customHeight="1">
      <c r="E386" s="4" t="s">
        <v>2032</v>
      </c>
      <c r="F386" s="4"/>
      <c r="G386" s="4"/>
      <c r="H386" s="4"/>
      <c r="I386" s="4"/>
      <c r="J386" s="4"/>
      <c r="K386" s="4"/>
      <c r="L386" s="4"/>
      <c r="N386" t="s">
        <v>2028</v>
      </c>
      <c r="R386" s="27" t="s">
        <v>304</v>
      </c>
      <c r="S386" s="1724"/>
      <c r="T386" s="1724"/>
      <c r="U386" s="1" t="s">
        <v>305</v>
      </c>
      <c r="V386" s="1724"/>
      <c r="W386" s="1724"/>
      <c r="Y386" t="s">
        <v>2028</v>
      </c>
      <c r="AC386" s="27" t="s">
        <v>304</v>
      </c>
      <c r="AD386" s="1724"/>
      <c r="AE386" s="1724"/>
      <c r="AF386" s="1" t="s">
        <v>305</v>
      </c>
      <c r="AG386" s="1724"/>
      <c r="AH386" s="1724"/>
    </row>
    <row r="387" spans="1:36" ht="12.95" customHeight="1">
      <c r="E387" s="4" t="s">
        <v>985</v>
      </c>
      <c r="F387" s="4"/>
      <c r="G387" s="4"/>
      <c r="H387" s="4"/>
      <c r="I387" s="4"/>
      <c r="J387" s="4"/>
      <c r="K387" s="4"/>
      <c r="L387" s="4"/>
      <c r="N387" s="1724"/>
      <c r="O387" s="1724"/>
      <c r="P387" s="1724"/>
    </row>
    <row r="388" spans="1:36" ht="12.95" customHeight="1">
      <c r="E388" s="204" t="s">
        <v>2033</v>
      </c>
      <c r="F388" s="4"/>
      <c r="G388" s="4"/>
      <c r="H388" s="4"/>
      <c r="I388" s="4"/>
      <c r="J388" s="4"/>
      <c r="K388" s="4"/>
      <c r="L388" s="4"/>
      <c r="AG388" s="1732" t="s">
        <v>589</v>
      </c>
      <c r="AH388" s="1732"/>
    </row>
    <row r="389" spans="1:36" ht="12.95" customHeight="1">
      <c r="E389" s="4"/>
      <c r="F389" s="4"/>
      <c r="G389" s="4" t="s">
        <v>2034</v>
      </c>
      <c r="H389" s="4"/>
      <c r="I389" s="4"/>
      <c r="J389" s="4"/>
      <c r="K389" s="4"/>
      <c r="L389" s="4"/>
      <c r="AG389" s="1732" t="s">
        <v>589</v>
      </c>
      <c r="AH389" s="1732"/>
    </row>
    <row r="390" spans="1:36" ht="12.95" customHeight="1">
      <c r="E390" s="4"/>
      <c r="F390" s="4"/>
      <c r="G390" s="317" t="s">
        <v>986</v>
      </c>
      <c r="H390" s="4"/>
      <c r="I390" s="4"/>
      <c r="J390" s="4"/>
      <c r="K390" s="4"/>
      <c r="L390" s="4"/>
      <c r="V390" s="1296" t="s">
        <v>589</v>
      </c>
      <c r="W390" s="1296"/>
      <c r="Y390" s="22" t="s">
        <v>978</v>
      </c>
    </row>
    <row r="391" spans="1:36" ht="12.95" customHeight="1">
      <c r="E391" s="4" t="s">
        <v>979</v>
      </c>
      <c r="F391" s="4"/>
      <c r="G391" s="4"/>
      <c r="H391" s="4"/>
      <c r="I391" s="4"/>
      <c r="J391" s="4"/>
      <c r="K391" s="4"/>
      <c r="L391" s="4"/>
      <c r="V391" s="1296" t="s">
        <v>589</v>
      </c>
      <c r="W391" s="1296"/>
      <c r="Y391" s="4" t="s">
        <v>980</v>
      </c>
    </row>
    <row r="392" spans="1:36" ht="12.95" customHeight="1"/>
    <row r="393" spans="1:36" ht="12.95" customHeight="1">
      <c r="A393" s="2" t="s">
        <v>78</v>
      </c>
      <c r="B393" s="2"/>
    </row>
    <row r="394" spans="1:36" ht="12.95" customHeight="1">
      <c r="D394" t="s">
        <v>427</v>
      </c>
      <c r="J394" s="1397" t="s">
        <v>2847</v>
      </c>
      <c r="K394" s="1397"/>
      <c r="L394" s="1397"/>
      <c r="M394" s="1397"/>
      <c r="N394" s="1397"/>
      <c r="O394" s="1397"/>
      <c r="P394" s="1397"/>
      <c r="Q394" s="1397"/>
      <c r="R394" s="1397"/>
      <c r="S394" s="1397"/>
      <c r="T394" s="1397"/>
      <c r="U394" s="1397"/>
      <c r="V394" s="8" t="s">
        <v>83</v>
      </c>
      <c r="W394" s="8"/>
      <c r="X394" s="8"/>
      <c r="Y394" s="8"/>
      <c r="Z394" s="8"/>
      <c r="AA394" s="8"/>
      <c r="AB394" s="8"/>
      <c r="AC394" s="1397" t="s">
        <v>2722</v>
      </c>
      <c r="AD394" s="1397"/>
      <c r="AE394" s="1397"/>
      <c r="AF394" s="1397"/>
      <c r="AG394" s="1397"/>
      <c r="AH394" s="1397"/>
      <c r="AI394" s="1397"/>
      <c r="AJ394" s="1397"/>
    </row>
    <row r="395" spans="1:36" ht="12.95" customHeight="1">
      <c r="D395" s="3" t="s">
        <v>1179</v>
      </c>
      <c r="J395" s="1420" t="s">
        <v>2722</v>
      </c>
      <c r="K395" s="1420"/>
      <c r="L395" s="1420"/>
      <c r="M395" s="1420"/>
      <c r="N395" s="1420"/>
      <c r="O395" s="1420"/>
      <c r="P395" s="1420"/>
      <c r="Q395" s="1420"/>
      <c r="R395" s="1420"/>
      <c r="S395" s="1420"/>
      <c r="T395" s="1420"/>
      <c r="U395" s="1420"/>
      <c r="V395" s="3" t="s">
        <v>1179</v>
      </c>
      <c r="W395" s="8"/>
      <c r="X395" s="8"/>
      <c r="Y395" s="8"/>
      <c r="Z395" s="8"/>
      <c r="AA395" s="8"/>
      <c r="AB395" s="8"/>
      <c r="AC395" s="1397"/>
      <c r="AD395" s="1397"/>
      <c r="AE395" s="1397"/>
      <c r="AF395" s="1397"/>
      <c r="AG395" s="1397"/>
      <c r="AH395" s="1397"/>
      <c r="AI395" s="1397"/>
      <c r="AJ395" s="1397"/>
    </row>
    <row r="396" spans="1:36" ht="12.95" customHeight="1">
      <c r="D396" s="3" t="s">
        <v>439</v>
      </c>
      <c r="J396" s="1420" t="s">
        <v>2723</v>
      </c>
      <c r="K396" s="1420"/>
      <c r="L396" s="1420"/>
      <c r="M396" s="1420"/>
      <c r="N396" s="1420"/>
      <c r="O396" s="1420"/>
      <c r="P396" s="1420"/>
      <c r="Q396" s="1420"/>
      <c r="R396" s="1420"/>
      <c r="S396" s="1420"/>
      <c r="T396" s="1420"/>
      <c r="U396" s="1420"/>
      <c r="V396" s="3" t="s">
        <v>439</v>
      </c>
      <c r="W396" s="8"/>
      <c r="X396" s="8"/>
      <c r="Y396" s="8"/>
      <c r="Z396" s="8"/>
      <c r="AA396" s="8"/>
      <c r="AB396" s="8"/>
      <c r="AC396" s="1397"/>
      <c r="AD396" s="1397"/>
      <c r="AE396" s="1397"/>
      <c r="AF396" s="1397"/>
      <c r="AG396" s="1397"/>
      <c r="AH396" s="1397"/>
      <c r="AI396" s="1397"/>
      <c r="AJ396" s="1397"/>
    </row>
    <row r="397" spans="1:36" ht="12.95" customHeight="1">
      <c r="D397" t="s">
        <v>1175</v>
      </c>
      <c r="J397" s="1335" t="s">
        <v>2724</v>
      </c>
      <c r="K397" s="1335"/>
      <c r="L397" s="1335"/>
      <c r="M397" s="1335"/>
      <c r="N397" s="1335"/>
      <c r="O397" s="1335"/>
      <c r="P397" s="1335"/>
      <c r="Q397" s="1335"/>
      <c r="R397" s="1335"/>
      <c r="S397" s="1335"/>
      <c r="T397" s="1335"/>
      <c r="U397" s="1335"/>
      <c r="V397" s="1397"/>
      <c r="W397" s="1397"/>
      <c r="X397" s="1397"/>
      <c r="Y397" s="1397"/>
      <c r="Z397" s="1397"/>
      <c r="AA397" s="1397"/>
      <c r="AB397" s="1397"/>
      <c r="AC397" s="1397"/>
      <c r="AD397" s="1397"/>
      <c r="AE397" s="1397"/>
      <c r="AF397" s="1397"/>
      <c r="AG397" s="1397"/>
      <c r="AH397" s="1397"/>
      <c r="AI397" s="1397"/>
      <c r="AJ397" s="1397"/>
    </row>
    <row r="398" spans="1:36" ht="12.95" customHeight="1">
      <c r="D398" t="s">
        <v>4</v>
      </c>
      <c r="Q398" s="1479">
        <v>46045</v>
      </c>
      <c r="R398" s="1479"/>
      <c r="S398" s="1479"/>
      <c r="T398" s="1479"/>
      <c r="U398" s="1479"/>
      <c r="V398" t="s">
        <v>308</v>
      </c>
      <c r="AI398" s="1296" t="s">
        <v>543</v>
      </c>
      <c r="AJ398" s="1296"/>
    </row>
    <row r="399" spans="1:36" ht="12.95" customHeight="1">
      <c r="D399" t="s">
        <v>5</v>
      </c>
      <c r="Q399" s="1587">
        <v>46752</v>
      </c>
      <c r="R399" s="1788"/>
      <c r="S399" s="1788"/>
      <c r="T399" s="1788"/>
      <c r="U399" s="1788"/>
      <c r="W399" s="21" t="s">
        <v>74</v>
      </c>
      <c r="AG399" s="1779" t="s">
        <v>589</v>
      </c>
      <c r="AH399" s="1726"/>
      <c r="AI399" s="1726"/>
      <c r="AJ399" s="1726"/>
    </row>
    <row r="400" spans="1:36" ht="12.95" customHeight="1">
      <c r="D400" t="s">
        <v>426</v>
      </c>
      <c r="Q400" s="1780">
        <v>5041189</v>
      </c>
      <c r="R400" s="1780"/>
      <c r="S400" s="1780"/>
      <c r="T400" s="1780"/>
      <c r="U400" s="1780"/>
      <c r="V400" s="3" t="s">
        <v>1178</v>
      </c>
      <c r="AG400" s="1490">
        <v>46539</v>
      </c>
      <c r="AH400" s="1490"/>
      <c r="AI400" s="1490"/>
      <c r="AJ400" s="1490"/>
    </row>
    <row r="401" spans="4:36" ht="12.95" customHeight="1">
      <c r="D401" t="s">
        <v>88</v>
      </c>
      <c r="I401" s="1442" t="s">
        <v>2844</v>
      </c>
      <c r="J401" s="1443"/>
      <c r="K401" s="1443"/>
      <c r="L401" s="1443"/>
      <c r="M401" s="1443"/>
      <c r="N401" s="1443"/>
      <c r="Q401" s="4" t="s">
        <v>205</v>
      </c>
      <c r="S401" s="1778"/>
      <c r="T401" s="1778"/>
      <c r="U401" s="1778"/>
      <c r="V401" t="s">
        <v>73</v>
      </c>
      <c r="AI401" s="1296" t="s">
        <v>667</v>
      </c>
      <c r="AJ401" s="1296"/>
    </row>
    <row r="402" spans="4:36" ht="12.95" customHeight="1">
      <c r="D402" t="s">
        <v>309</v>
      </c>
      <c r="Q402" s="1367">
        <v>0</v>
      </c>
      <c r="R402" s="1367"/>
      <c r="S402" s="1367"/>
      <c r="T402" s="1367"/>
      <c r="U402" s="1367"/>
      <c r="V402" t="s">
        <v>310</v>
      </c>
      <c r="AG402" s="1726">
        <v>0</v>
      </c>
      <c r="AH402" s="1726"/>
      <c r="AI402" s="1726"/>
      <c r="AJ402" s="1726"/>
    </row>
    <row r="403" spans="4:36" ht="12.95" customHeight="1">
      <c r="D403" t="s">
        <v>311</v>
      </c>
      <c r="Q403" s="1739"/>
      <c r="R403" s="1739"/>
      <c r="S403" s="1739"/>
      <c r="T403" s="1739"/>
      <c r="U403" s="1739"/>
      <c r="V403" t="s">
        <v>1160</v>
      </c>
      <c r="AG403" s="1726">
        <v>0</v>
      </c>
      <c r="AH403" s="1726"/>
      <c r="AI403" s="1726"/>
      <c r="AJ403" s="1726"/>
    </row>
    <row r="404" spans="4:36" ht="12.95" customHeight="1">
      <c r="D404" t="s">
        <v>1159</v>
      </c>
      <c r="AG404" s="1726">
        <v>0</v>
      </c>
      <c r="AH404" s="1726"/>
      <c r="AI404" s="1726"/>
      <c r="AJ404" s="1726"/>
    </row>
    <row r="405" spans="4:36" ht="12.95" customHeight="1">
      <c r="AG405" s="452"/>
      <c r="AH405" s="452"/>
      <c r="AI405" s="452"/>
      <c r="AJ405" s="452"/>
    </row>
    <row r="406" spans="4:36" ht="12.95" customHeight="1">
      <c r="D406" s="3" t="s">
        <v>2090</v>
      </c>
      <c r="AG406" s="452"/>
      <c r="AH406" s="452"/>
      <c r="AI406" s="1296" t="s">
        <v>667</v>
      </c>
      <c r="AJ406" s="1296"/>
    </row>
    <row r="407" spans="4:36" ht="12.95" customHeight="1">
      <c r="D407" s="3" t="s">
        <v>1653</v>
      </c>
      <c r="T407" s="1730"/>
      <c r="U407" s="1730"/>
      <c r="V407" s="1730"/>
      <c r="W407" s="1730"/>
      <c r="X407" s="1730"/>
      <c r="Y407" s="1730"/>
      <c r="Z407" s="1730"/>
      <c r="AA407" s="1730"/>
      <c r="AB407" s="1730"/>
      <c r="AC407" s="1730"/>
      <c r="AD407" s="1730"/>
      <c r="AE407" s="1730"/>
      <c r="AF407" s="1730"/>
      <c r="AG407" s="1730"/>
      <c r="AH407" s="1730"/>
      <c r="AI407" s="1730"/>
      <c r="AJ407" s="1730"/>
    </row>
    <row r="408" spans="4:36" ht="12.95" customHeight="1">
      <c r="D408" s="3" t="s">
        <v>1652</v>
      </c>
      <c r="T408" s="1730"/>
      <c r="U408" s="1730"/>
      <c r="V408" s="1730"/>
      <c r="W408" s="1730"/>
      <c r="X408" s="1730"/>
      <c r="Y408" s="1730"/>
      <c r="Z408" s="1730"/>
      <c r="AA408" s="1730"/>
      <c r="AB408" s="1730"/>
      <c r="AC408" s="1730"/>
      <c r="AD408" s="1730"/>
      <c r="AE408" s="1730"/>
      <c r="AF408" s="1730"/>
      <c r="AG408" s="1730"/>
      <c r="AH408" s="1730"/>
      <c r="AI408" s="1730"/>
      <c r="AJ408" s="1730"/>
    </row>
    <row r="409" spans="4:36" ht="12.95" customHeight="1">
      <c r="AG409" s="452"/>
      <c r="AH409" s="452"/>
      <c r="AI409" s="452"/>
      <c r="AJ409" s="452"/>
    </row>
    <row r="410" spans="4:36" ht="12.95" customHeight="1">
      <c r="D410" s="3" t="s">
        <v>1646</v>
      </c>
      <c r="S410" s="1730" t="s">
        <v>667</v>
      </c>
      <c r="T410" s="1730"/>
      <c r="U410" s="1730"/>
      <c r="V410" t="s">
        <v>1647</v>
      </c>
      <c r="AG410" s="1731"/>
      <c r="AH410" s="1731"/>
      <c r="AI410" s="1731"/>
      <c r="AJ410" s="1731"/>
    </row>
    <row r="411" spans="4:36" ht="12.95" customHeight="1">
      <c r="D411" s="3" t="s">
        <v>1644</v>
      </c>
      <c r="S411" s="1730" t="s">
        <v>589</v>
      </c>
      <c r="T411" s="1730"/>
      <c r="U411" s="1730"/>
      <c r="V411" t="s">
        <v>1649</v>
      </c>
      <c r="AE411" s="1782"/>
      <c r="AF411" s="1782"/>
      <c r="AG411" s="1782"/>
      <c r="AH411" s="1782"/>
      <c r="AI411" s="1782"/>
      <c r="AJ411" s="1782"/>
    </row>
    <row r="412" spans="4:36" ht="12.95" customHeight="1">
      <c r="D412" s="3" t="s">
        <v>1645</v>
      </c>
      <c r="K412" s="1491"/>
      <c r="L412" s="1491"/>
      <c r="M412" s="1491"/>
      <c r="N412" s="1491"/>
      <c r="O412" s="1491"/>
      <c r="P412" s="1491"/>
      <c r="Q412" s="1491"/>
      <c r="R412" s="1491"/>
      <c r="S412" s="1491"/>
      <c r="T412" s="1491"/>
      <c r="U412" s="1491"/>
      <c r="V412" s="1491"/>
      <c r="W412" s="1491"/>
      <c r="X412" s="1491"/>
      <c r="Y412" s="1491"/>
      <c r="Z412" s="1491"/>
      <c r="AA412" s="1491"/>
      <c r="AB412" s="1491"/>
      <c r="AC412" s="1491"/>
      <c r="AD412" s="1491"/>
      <c r="AE412" s="1491"/>
      <c r="AF412" s="1491"/>
      <c r="AG412" s="1491"/>
      <c r="AH412" s="1491"/>
      <c r="AI412" s="1491"/>
      <c r="AJ412" s="1491"/>
    </row>
    <row r="413" spans="4:36" ht="12.95" customHeight="1">
      <c r="D413" s="3" t="s">
        <v>1648</v>
      </c>
      <c r="K413" s="1491"/>
      <c r="L413" s="1491"/>
      <c r="M413" s="1491"/>
      <c r="N413" s="1491"/>
      <c r="O413" s="1491"/>
      <c r="P413" s="1491"/>
      <c r="Q413" s="1491"/>
      <c r="R413" s="1491"/>
      <c r="S413" s="1491"/>
      <c r="T413" s="1491"/>
      <c r="U413" s="1491"/>
      <c r="V413" s="1491"/>
      <c r="W413" s="1491"/>
      <c r="X413" s="1491"/>
      <c r="Y413" s="1491"/>
      <c r="Z413" s="1491"/>
      <c r="AA413" s="1491"/>
      <c r="AB413" s="1491"/>
      <c r="AC413" s="1491"/>
      <c r="AD413" s="1491"/>
      <c r="AE413" s="1491"/>
      <c r="AF413" s="1491"/>
      <c r="AG413" s="1491"/>
      <c r="AH413" s="1491"/>
      <c r="AI413" s="1491"/>
      <c r="AJ413" s="1491"/>
    </row>
    <row r="414" spans="4:36" ht="12.95" customHeight="1">
      <c r="D414" s="3" t="s">
        <v>1651</v>
      </c>
      <c r="E414" s="473"/>
      <c r="F414" s="473"/>
      <c r="G414" s="473"/>
      <c r="H414" s="473"/>
      <c r="I414" s="473"/>
      <c r="J414" s="473"/>
      <c r="K414" s="473"/>
      <c r="L414" s="473"/>
      <c r="M414" s="473"/>
      <c r="N414" s="473"/>
      <c r="O414" s="473"/>
      <c r="P414" s="473"/>
      <c r="Q414" s="473"/>
      <c r="R414" s="473"/>
      <c r="S414" s="1781" t="s">
        <v>1181</v>
      </c>
      <c r="T414" s="1781"/>
      <c r="U414" s="1781"/>
      <c r="V414" s="1781"/>
      <c r="W414" s="1781"/>
      <c r="X414" s="1781"/>
      <c r="Y414" s="1781"/>
      <c r="Z414" s="1781"/>
      <c r="AA414" s="1781"/>
      <c r="AB414" s="1781"/>
      <c r="AC414" s="1781"/>
      <c r="AD414" s="1781"/>
      <c r="AE414" s="1781"/>
      <c r="AF414" s="1781"/>
      <c r="AG414" s="1781"/>
      <c r="AH414" s="1781"/>
      <c r="AI414" s="1781"/>
      <c r="AJ414" s="1781"/>
    </row>
    <row r="415" spans="4:36" ht="12.95" customHeight="1">
      <c r="D415" s="1362" t="s">
        <v>1650</v>
      </c>
      <c r="E415" s="1362"/>
      <c r="F415" s="1362"/>
      <c r="G415" s="1362"/>
      <c r="H415" s="1362"/>
      <c r="I415" s="1362"/>
      <c r="J415" s="1362"/>
      <c r="K415" s="1362"/>
      <c r="L415" s="1362"/>
      <c r="M415" s="1362"/>
      <c r="N415" s="1362"/>
      <c r="O415" s="1362"/>
      <c r="P415" s="1362"/>
      <c r="Q415" s="1362"/>
      <c r="R415" s="1362"/>
      <c r="S415" s="1362"/>
      <c r="T415" s="1362"/>
      <c r="U415" s="1362"/>
      <c r="V415" s="1362"/>
      <c r="W415" s="1362"/>
      <c r="X415" s="1362"/>
      <c r="Y415" s="1362"/>
      <c r="Z415" s="1362"/>
      <c r="AA415" s="1362"/>
      <c r="AB415" s="1362"/>
      <c r="AC415" s="1362"/>
      <c r="AD415" s="1362"/>
      <c r="AE415" s="1362"/>
      <c r="AF415" s="1362"/>
      <c r="AG415" s="1362"/>
      <c r="AH415" s="1362"/>
      <c r="AI415" s="1362"/>
      <c r="AJ415" s="1362"/>
    </row>
    <row r="416" spans="4:36" ht="12.95" customHeight="1">
      <c r="D416" s="1362"/>
      <c r="E416" s="1362"/>
      <c r="F416" s="1362"/>
      <c r="G416" s="1362"/>
      <c r="H416" s="1362"/>
      <c r="I416" s="1362"/>
      <c r="J416" s="1362"/>
      <c r="K416" s="1362"/>
      <c r="L416" s="1362"/>
      <c r="M416" s="1362"/>
      <c r="N416" s="1362"/>
      <c r="O416" s="1362"/>
      <c r="P416" s="1362"/>
      <c r="Q416" s="1362"/>
      <c r="R416" s="1362"/>
      <c r="S416" s="1362"/>
      <c r="T416" s="1362"/>
      <c r="U416" s="1362"/>
      <c r="V416" s="1362"/>
      <c r="W416" s="1362"/>
      <c r="X416" s="1362"/>
      <c r="Y416" s="1362"/>
      <c r="Z416" s="1362"/>
      <c r="AA416" s="1362"/>
      <c r="AB416" s="1362"/>
      <c r="AC416" s="1362"/>
      <c r="AD416" s="1362"/>
      <c r="AE416" s="1362"/>
      <c r="AF416" s="1362"/>
      <c r="AG416" s="1362"/>
      <c r="AH416" s="1362"/>
      <c r="AI416" s="1362"/>
      <c r="AJ416" s="1362"/>
    </row>
    <row r="417" spans="1:39" ht="12.95" customHeight="1">
      <c r="AG417" s="452"/>
      <c r="AH417" s="452"/>
      <c r="AI417" s="452"/>
      <c r="AJ417" s="452"/>
    </row>
    <row r="418" spans="1:39" ht="12.95" customHeight="1">
      <c r="A418" s="2" t="s">
        <v>587</v>
      </c>
      <c r="B418" s="2"/>
      <c r="C418" s="2" t="s">
        <v>111</v>
      </c>
    </row>
    <row r="419" spans="1:39" ht="12.95" customHeight="1">
      <c r="B419" s="2"/>
      <c r="C419" s="2"/>
      <c r="D419" s="2" t="s">
        <v>1201</v>
      </c>
      <c r="I419" s="1396" t="s">
        <v>2725</v>
      </c>
      <c r="J419" s="1396"/>
      <c r="K419" s="1396"/>
      <c r="L419" s="1396"/>
      <c r="M419" s="1396"/>
      <c r="N419" s="1396"/>
      <c r="O419" s="1396"/>
      <c r="P419" s="1396"/>
      <c r="Q419" s="1396"/>
      <c r="R419" s="1396"/>
      <c r="S419" s="1396"/>
      <c r="T419" s="1396"/>
      <c r="U419" s="1396"/>
      <c r="V419" s="1396"/>
      <c r="W419" s="1396"/>
      <c r="X419" s="1396"/>
      <c r="Y419" s="1396"/>
      <c r="Z419" s="1396"/>
      <c r="AA419" s="1396"/>
      <c r="AB419" s="1396"/>
      <c r="AC419" s="1396"/>
      <c r="AD419" s="1396"/>
      <c r="AE419" s="1396"/>
    </row>
    <row r="420" spans="1:39" ht="12.95" customHeight="1">
      <c r="E420" t="s">
        <v>106</v>
      </c>
      <c r="R420" s="1296" t="s">
        <v>543</v>
      </c>
      <c r="S420" s="1296"/>
      <c r="AC420" s="27" t="s">
        <v>568</v>
      </c>
      <c r="AD420" s="1467">
        <v>5</v>
      </c>
      <c r="AE420" s="1467"/>
    </row>
    <row r="421" spans="1:39" ht="12.95" customHeight="1">
      <c r="E421" t="s">
        <v>107</v>
      </c>
      <c r="R421" s="1296" t="s">
        <v>589</v>
      </c>
      <c r="S421" s="1296"/>
      <c r="AC421" s="27" t="s">
        <v>568</v>
      </c>
      <c r="AD421" s="1467"/>
      <c r="AE421" s="1467"/>
    </row>
    <row r="422" spans="1:39" ht="12.95" customHeight="1">
      <c r="E422" t="s">
        <v>108</v>
      </c>
      <c r="S422" s="1296" t="s">
        <v>589</v>
      </c>
      <c r="T422" s="1296"/>
    </row>
    <row r="423" spans="1:39" ht="12.95" customHeight="1">
      <c r="E423" t="s">
        <v>169</v>
      </c>
      <c r="H423" s="1740" t="s">
        <v>333</v>
      </c>
      <c r="I423" s="1740"/>
      <c r="J423" s="1740"/>
      <c r="K423" s="1740"/>
      <c r="L423" s="1740"/>
      <c r="M423" s="1740"/>
      <c r="N423" s="1740"/>
      <c r="O423" s="1740"/>
      <c r="P423" s="1740"/>
      <c r="Q423" s="1740"/>
      <c r="R423" s="1740"/>
      <c r="S423" s="1740"/>
      <c r="T423" s="1740"/>
      <c r="U423" s="1740"/>
      <c r="V423" s="1740"/>
      <c r="W423" s="1740"/>
      <c r="X423" s="1740"/>
      <c r="Y423" s="1740"/>
      <c r="Z423" s="1740"/>
      <c r="AA423" s="1740"/>
      <c r="AB423" s="1740"/>
      <c r="AC423" s="1740"/>
      <c r="AD423" s="1740"/>
      <c r="AE423" s="1740"/>
    </row>
    <row r="424" spans="1:39" ht="12.95" customHeight="1">
      <c r="H424" s="1741"/>
      <c r="I424" s="1741"/>
      <c r="J424" s="1741"/>
      <c r="K424" s="1741"/>
      <c r="L424" s="1741"/>
      <c r="M424" s="1741"/>
      <c r="N424" s="1741"/>
      <c r="O424" s="1741"/>
      <c r="P424" s="1741"/>
      <c r="Q424" s="1741"/>
      <c r="R424" s="1741"/>
      <c r="S424" s="1741"/>
      <c r="T424" s="1741"/>
      <c r="U424" s="1741"/>
      <c r="V424" s="1741"/>
      <c r="W424" s="1741"/>
      <c r="X424" s="1741"/>
      <c r="Y424" s="1741"/>
      <c r="Z424" s="1741"/>
      <c r="AA424" s="1741"/>
      <c r="AB424" s="1741"/>
      <c r="AC424" s="1741"/>
      <c r="AD424" s="1741"/>
      <c r="AE424" s="1741"/>
    </row>
    <row r="425" spans="1:39" ht="12.95" customHeight="1"/>
    <row r="426" spans="1:39" ht="12.95" customHeight="1">
      <c r="A426" s="2" t="s">
        <v>588</v>
      </c>
      <c r="B426" s="2"/>
      <c r="C426" s="2"/>
      <c r="D426" s="2" t="s">
        <v>114</v>
      </c>
      <c r="AF426" s="2" t="s">
        <v>955</v>
      </c>
    </row>
    <row r="427" spans="1:39" ht="12.95" customHeight="1">
      <c r="E427" s="1724"/>
      <c r="F427" s="1724"/>
      <c r="G427" s="1724"/>
      <c r="H427" s="13" t="s">
        <v>115</v>
      </c>
      <c r="I427" s="1724"/>
      <c r="J427" s="1724"/>
      <c r="K427" s="1724"/>
      <c r="L427" t="s">
        <v>116</v>
      </c>
      <c r="N427" s="27" t="s">
        <v>573</v>
      </c>
      <c r="P427" s="1784">
        <f>44097/43560</f>
        <v>1.0123278236914601</v>
      </c>
      <c r="Q427" s="1784"/>
      <c r="R427" s="1784"/>
      <c r="S427" t="s">
        <v>117</v>
      </c>
      <c r="W427" s="1783">
        <f>IF(E427&gt;0,(E427*I427),(P427*43560))</f>
        <v>44097</v>
      </c>
      <c r="X427" s="1783"/>
      <c r="Y427" s="1783"/>
      <c r="Z427" t="s">
        <v>118</v>
      </c>
      <c r="AF427" s="1728">
        <f>IFERROR(IF(P427&gt;0,(AG446/P427),(AG446/(W427/43560))),0)</f>
        <v>107.67263079121028</v>
      </c>
      <c r="AG427" s="1728"/>
      <c r="AH427" s="1728"/>
      <c r="AM427" s="3"/>
    </row>
    <row r="428" spans="1:39" ht="12.95" customHeight="1">
      <c r="E428" t="s">
        <v>51</v>
      </c>
    </row>
    <row r="429" spans="1:39" ht="12.95" customHeight="1">
      <c r="E429" s="1789"/>
      <c r="F429" s="1789"/>
      <c r="G429" s="1789"/>
      <c r="H429" s="1789"/>
      <c r="I429" s="1789"/>
      <c r="J429" s="1789"/>
      <c r="K429" s="1789"/>
      <c r="L429" s="1789"/>
      <c r="M429" s="1789"/>
      <c r="N429" s="1789"/>
      <c r="O429" s="1789"/>
      <c r="P429" s="1789"/>
      <c r="Q429" s="1789"/>
      <c r="R429" s="1789"/>
      <c r="S429" s="1789"/>
      <c r="T429" s="1789"/>
      <c r="U429" s="1789"/>
      <c r="V429" s="1789"/>
      <c r="W429" s="1789"/>
      <c r="X429" s="1789"/>
      <c r="Y429" s="1789"/>
      <c r="Z429" s="1789"/>
      <c r="AA429" s="1789"/>
      <c r="AB429" s="1789"/>
      <c r="AC429" s="1789"/>
      <c r="AD429" s="1789"/>
      <c r="AE429" s="1789"/>
      <c r="AF429" s="1789"/>
      <c r="AG429" s="1789"/>
      <c r="AH429" s="1789"/>
      <c r="AI429" s="1789"/>
      <c r="AJ429" s="1789"/>
    </row>
    <row r="430" spans="1:39" ht="12.95" customHeight="1">
      <c r="E430" s="118" t="s">
        <v>1721</v>
      </c>
      <c r="F430" s="1003"/>
      <c r="G430" s="1003"/>
      <c r="H430" s="1003"/>
      <c r="I430" s="1791">
        <f>P427</f>
        <v>1.0123278236914601</v>
      </c>
      <c r="J430" s="1791"/>
      <c r="K430" s="1791"/>
      <c r="L430" s="1003"/>
      <c r="M430" s="118"/>
      <c r="N430" s="1003"/>
      <c r="O430" s="1003"/>
      <c r="P430" s="1478">
        <f>(DU763+DU786+DU808)/I430</f>
        <v>190.64970406150076</v>
      </c>
      <c r="Q430" s="1478"/>
      <c r="R430" s="1478"/>
      <c r="S430" s="118" t="s">
        <v>1722</v>
      </c>
      <c r="T430" s="1003"/>
      <c r="U430" s="1003"/>
      <c r="V430" s="1003"/>
      <c r="W430" s="1003"/>
      <c r="X430" s="1003"/>
      <c r="Y430" s="1003"/>
      <c r="Z430" s="1003"/>
      <c r="AA430" s="1003"/>
      <c r="AB430" s="1003"/>
      <c r="AC430" s="1003"/>
      <c r="AD430" s="1003"/>
      <c r="AE430" s="1003"/>
      <c r="AF430" s="1003"/>
      <c r="AG430" s="1003"/>
      <c r="AH430" s="1003"/>
      <c r="AI430" s="1003"/>
      <c r="AJ430" s="1003"/>
    </row>
    <row r="431" spans="1:39" ht="12.95" customHeight="1"/>
    <row r="432" spans="1:39" ht="12.95" customHeight="1">
      <c r="A432" s="2" t="s">
        <v>590</v>
      </c>
      <c r="B432" s="2"/>
      <c r="C432" s="2"/>
      <c r="D432" s="2" t="s">
        <v>120</v>
      </c>
    </row>
    <row r="433" spans="1:36" ht="12.95" customHeight="1">
      <c r="E433" t="s">
        <v>121</v>
      </c>
      <c r="P433" s="1296">
        <v>1</v>
      </c>
      <c r="Q433" s="1296"/>
      <c r="S433" t="s">
        <v>188</v>
      </c>
      <c r="AE433" s="1296">
        <v>1</v>
      </c>
      <c r="AF433" s="1296"/>
    </row>
    <row r="434" spans="1:36" ht="12.95" customHeight="1">
      <c r="E434" t="s">
        <v>189</v>
      </c>
      <c r="P434" s="1296">
        <v>0</v>
      </c>
      <c r="Q434" s="1296"/>
      <c r="S434" t="s">
        <v>131</v>
      </c>
      <c r="AE434" s="1296" t="s">
        <v>589</v>
      </c>
      <c r="AF434" s="1296"/>
    </row>
    <row r="435" spans="1:36" ht="12.95" customHeight="1">
      <c r="F435" s="28" t="s">
        <v>132</v>
      </c>
    </row>
    <row r="436" spans="1:36" ht="12.95" customHeight="1">
      <c r="F436" s="1727"/>
      <c r="G436" s="1727"/>
      <c r="H436" s="1727"/>
      <c r="I436" s="1727"/>
      <c r="J436" s="1727"/>
      <c r="K436" s="1727"/>
      <c r="L436" s="1727"/>
      <c r="M436" s="1727"/>
      <c r="N436" s="1727"/>
      <c r="O436" s="1727"/>
      <c r="P436" s="1727"/>
      <c r="Q436" s="1727"/>
      <c r="R436" s="1727"/>
      <c r="S436" s="1727"/>
      <c r="T436" s="1727"/>
      <c r="U436" s="1727"/>
      <c r="V436" s="1727"/>
      <c r="W436" s="1727"/>
      <c r="X436" s="1727"/>
      <c r="Y436" s="1727"/>
      <c r="Z436" s="1727"/>
      <c r="AA436" s="1727"/>
      <c r="AB436" s="1727"/>
      <c r="AC436" s="1727"/>
      <c r="AD436" s="1727"/>
      <c r="AE436" s="1727"/>
      <c r="AF436" s="1727"/>
      <c r="AG436" s="1727"/>
      <c r="AH436" s="1727"/>
    </row>
    <row r="437" spans="1:36" ht="12.95" customHeight="1">
      <c r="F437" s="1721"/>
      <c r="G437" s="1721"/>
      <c r="H437" s="1721"/>
      <c r="I437" s="1721"/>
      <c r="J437" s="1721"/>
      <c r="K437" s="1721"/>
      <c r="L437" s="1721"/>
      <c r="M437" s="1721"/>
      <c r="N437" s="1721"/>
      <c r="O437" s="1721"/>
      <c r="P437" s="1721"/>
      <c r="Q437" s="1721"/>
      <c r="R437" s="1721"/>
      <c r="S437" s="1721"/>
      <c r="T437" s="1721"/>
      <c r="U437" s="1721"/>
      <c r="V437" s="1721"/>
      <c r="W437" s="1721"/>
      <c r="X437" s="1721"/>
      <c r="Y437" s="1721"/>
      <c r="Z437" s="1721"/>
      <c r="AA437" s="1721"/>
      <c r="AB437" s="1721"/>
      <c r="AC437" s="1721"/>
      <c r="AD437" s="1721"/>
      <c r="AE437" s="1721"/>
      <c r="AF437" s="1721"/>
      <c r="AG437" s="1721"/>
      <c r="AH437" s="1721"/>
    </row>
    <row r="438" spans="1:36" ht="12.95" customHeight="1">
      <c r="E438" t="s">
        <v>606</v>
      </c>
      <c r="P438" s="1"/>
      <c r="Q438" s="1296" t="s">
        <v>543</v>
      </c>
      <c r="R438" s="1296"/>
    </row>
    <row r="439" spans="1:36" ht="12.95" customHeight="1">
      <c r="F439" t="s">
        <v>607</v>
      </c>
      <c r="P439" s="1"/>
      <c r="Q439" s="1"/>
      <c r="AF439" s="1296" t="s">
        <v>589</v>
      </c>
      <c r="AG439" s="1790"/>
    </row>
    <row r="440" spans="1:36" ht="12.95" customHeight="1"/>
    <row r="441" spans="1:36" ht="12.95" customHeight="1">
      <c r="A441" s="2"/>
      <c r="B441" s="2"/>
      <c r="C441" s="2"/>
      <c r="E441" s="4" t="s">
        <v>307</v>
      </c>
      <c r="Z441" s="1296" t="s">
        <v>667</v>
      </c>
      <c r="AA441" s="1296"/>
    </row>
    <row r="442" spans="1:36" ht="12.95" customHeight="1">
      <c r="F442" s="39" t="s">
        <v>44</v>
      </c>
      <c r="G442" s="40"/>
      <c r="H442" s="40"/>
      <c r="I442" s="40"/>
      <c r="J442" s="40"/>
      <c r="K442" s="40"/>
      <c r="L442" s="40"/>
      <c r="M442" s="40"/>
      <c r="N442" s="40"/>
      <c r="O442" s="40"/>
      <c r="P442" s="40"/>
      <c r="Q442" s="40"/>
      <c r="R442" s="40"/>
      <c r="S442" s="40"/>
      <c r="T442" s="40"/>
      <c r="U442" s="40"/>
      <c r="V442" s="40"/>
      <c r="W442" s="40"/>
      <c r="AB442" s="40"/>
    </row>
    <row r="443" spans="1:36" ht="12.95" customHeight="1">
      <c r="F443" t="s">
        <v>705</v>
      </c>
      <c r="G443" s="40"/>
      <c r="I443" s="40"/>
      <c r="J443" s="40"/>
      <c r="K443" s="40"/>
      <c r="L443" s="40"/>
      <c r="M443" s="40"/>
      <c r="N443" s="40"/>
      <c r="O443" s="28"/>
      <c r="P443" s="40"/>
      <c r="Q443" s="40"/>
      <c r="R443" s="40"/>
      <c r="S443" s="40"/>
      <c r="T443" s="40"/>
      <c r="U443" s="40"/>
      <c r="V443" s="40"/>
      <c r="W443" s="40"/>
      <c r="Z443" s="1296" t="s">
        <v>589</v>
      </c>
      <c r="AA443" s="1296"/>
    </row>
    <row r="444" spans="1:36" ht="12.95" customHeight="1"/>
    <row r="445" spans="1:36" ht="12.95" customHeight="1">
      <c r="A445" s="2" t="s">
        <v>465</v>
      </c>
      <c r="B445" s="2"/>
      <c r="C445" s="2"/>
      <c r="D445" s="2" t="s">
        <v>762</v>
      </c>
      <c r="AF445" s="48"/>
    </row>
    <row r="446" spans="1:36" ht="12.95" customHeight="1">
      <c r="D446" s="1614" t="s">
        <v>43</v>
      </c>
      <c r="E446" s="1615"/>
      <c r="F446" s="1615"/>
      <c r="G446" s="1615"/>
      <c r="H446" s="1615"/>
      <c r="I446" s="1615"/>
      <c r="J446" s="1615"/>
      <c r="K446" s="1615"/>
      <c r="L446" s="1615"/>
      <c r="M446" s="1615"/>
      <c r="N446" s="1615"/>
      <c r="O446" s="1615"/>
      <c r="P446" s="1615"/>
      <c r="Q446" s="1615"/>
      <c r="R446" s="1615"/>
      <c r="S446" s="1615"/>
      <c r="T446" s="1615"/>
      <c r="U446" s="1615"/>
      <c r="V446" s="1615"/>
      <c r="W446" s="1615"/>
      <c r="X446" s="1615"/>
      <c r="Y446" s="1615"/>
      <c r="Z446" s="1615"/>
      <c r="AA446" s="1615"/>
      <c r="AB446" s="1615"/>
      <c r="AC446" s="1615"/>
      <c r="AD446" s="1615"/>
      <c r="AE446" s="1615"/>
      <c r="AF446" s="1787"/>
      <c r="AG446" s="1709">
        <v>109</v>
      </c>
      <c r="AH446" s="1709"/>
      <c r="AI446" s="1709"/>
      <c r="AJ446" s="1709"/>
    </row>
    <row r="447" spans="1:36" ht="12.95" customHeight="1">
      <c r="D447" s="1712" t="s">
        <v>1219</v>
      </c>
      <c r="E447" s="1713"/>
      <c r="F447" s="1713"/>
      <c r="G447" s="1713"/>
      <c r="H447" s="1713"/>
      <c r="I447" s="1713"/>
      <c r="J447" s="1713"/>
      <c r="K447" s="1713"/>
      <c r="L447" s="1713"/>
      <c r="M447" s="1713"/>
      <c r="N447" s="1713"/>
      <c r="O447" s="1713"/>
      <c r="P447" s="1713"/>
      <c r="Q447" s="1713"/>
      <c r="R447" s="1713"/>
      <c r="S447" s="1713"/>
      <c r="T447" s="1713"/>
      <c r="U447" s="1713"/>
      <c r="V447" s="1713"/>
      <c r="W447" s="1713"/>
      <c r="X447" s="1713"/>
      <c r="Y447" s="1713"/>
      <c r="Z447" s="1713"/>
      <c r="AA447" s="1713"/>
      <c r="AB447" s="1713"/>
      <c r="AC447" s="1713"/>
      <c r="AD447" s="1713"/>
      <c r="AE447" s="1713"/>
      <c r="AF447" s="1714"/>
      <c r="AG447" s="1785">
        <v>0</v>
      </c>
      <c r="AH447" s="1409"/>
      <c r="AI447" s="1409"/>
      <c r="AJ447" s="1409"/>
    </row>
    <row r="448" spans="1:36" ht="12.95" customHeight="1">
      <c r="D448" s="1712" t="s">
        <v>1029</v>
      </c>
      <c r="E448" s="1713"/>
      <c r="F448" s="1713"/>
      <c r="G448" s="1713"/>
      <c r="H448" s="1713"/>
      <c r="I448" s="1713"/>
      <c r="J448" s="1713"/>
      <c r="K448" s="1713"/>
      <c r="L448" s="1713"/>
      <c r="M448" s="1713"/>
      <c r="N448" s="1713"/>
      <c r="O448" s="1713"/>
      <c r="P448" s="1713"/>
      <c r="Q448" s="1713"/>
      <c r="R448" s="1713"/>
      <c r="S448" s="1713"/>
      <c r="T448" s="1713"/>
      <c r="U448" s="1713"/>
      <c r="V448" s="1713"/>
      <c r="W448" s="1713"/>
      <c r="X448" s="1713"/>
      <c r="Y448" s="1713"/>
      <c r="Z448" s="1713"/>
      <c r="AA448" s="1713"/>
      <c r="AB448" s="1713"/>
      <c r="AC448" s="1713"/>
      <c r="AD448" s="1713"/>
      <c r="AE448" s="1713"/>
      <c r="AF448" s="1714"/>
      <c r="AG448" s="1709">
        <v>108</v>
      </c>
      <c r="AH448" s="1709"/>
      <c r="AI448" s="1709"/>
      <c r="AJ448" s="1709"/>
    </row>
    <row r="449" spans="4:55" ht="12.95" customHeight="1">
      <c r="D449" s="1712" t="s">
        <v>1030</v>
      </c>
      <c r="E449" s="1713"/>
      <c r="F449" s="1713"/>
      <c r="G449" s="1713"/>
      <c r="H449" s="1713"/>
      <c r="I449" s="1713"/>
      <c r="J449" s="1713"/>
      <c r="K449" s="1713"/>
      <c r="L449" s="1713"/>
      <c r="M449" s="1713"/>
      <c r="N449" s="1713"/>
      <c r="O449" s="1713"/>
      <c r="P449" s="1713"/>
      <c r="Q449" s="1713"/>
      <c r="R449" s="1713"/>
      <c r="S449" s="1713"/>
      <c r="T449" s="1713"/>
      <c r="U449" s="1713"/>
      <c r="V449" s="1713"/>
      <c r="W449" s="1713"/>
      <c r="X449" s="1713"/>
      <c r="Y449" s="1713"/>
      <c r="Z449" s="1713"/>
      <c r="AA449" s="1713"/>
      <c r="AB449" s="1713"/>
      <c r="AC449" s="1713"/>
      <c r="AD449" s="1713"/>
      <c r="AE449" s="1713"/>
      <c r="AF449" s="1714"/>
      <c r="AG449" s="1709">
        <v>108</v>
      </c>
      <c r="AH449" s="1709"/>
      <c r="AI449" s="1709"/>
      <c r="AJ449" s="1709"/>
    </row>
    <row r="450" spans="4:55" ht="12.95" customHeight="1">
      <c r="D450" s="1712" t="s">
        <v>1032</v>
      </c>
      <c r="E450" s="1713"/>
      <c r="F450" s="1713"/>
      <c r="G450" s="1713"/>
      <c r="H450" s="1713"/>
      <c r="I450" s="1713"/>
      <c r="J450" s="1713"/>
      <c r="K450" s="1713"/>
      <c r="L450" s="1713"/>
      <c r="M450" s="1713"/>
      <c r="N450" s="1713"/>
      <c r="O450" s="1713"/>
      <c r="P450" s="1713"/>
      <c r="Q450" s="1713"/>
      <c r="R450" s="1713"/>
      <c r="S450" s="1713"/>
      <c r="T450" s="1713"/>
      <c r="U450" s="1713"/>
      <c r="V450" s="1713"/>
      <c r="W450" s="1713"/>
      <c r="X450" s="1713"/>
      <c r="Y450" s="1713"/>
      <c r="Z450" s="1713"/>
      <c r="AA450" s="1713"/>
      <c r="AB450" s="1713"/>
      <c r="AC450" s="1713"/>
      <c r="AD450" s="1713"/>
      <c r="AE450" s="1713"/>
      <c r="AF450" s="1714"/>
      <c r="AG450" s="1792">
        <f>IF(ISERROR(AG449/AG448),0,AG449/AG448)</f>
        <v>1</v>
      </c>
      <c r="AH450" s="1792"/>
      <c r="AI450" s="1792"/>
      <c r="AJ450" s="1792"/>
    </row>
    <row r="451" spans="4:55" ht="12.95" customHeight="1">
      <c r="D451" s="1712" t="s">
        <v>1031</v>
      </c>
      <c r="E451" s="1713"/>
      <c r="F451" s="1713"/>
      <c r="G451" s="1713"/>
      <c r="H451" s="1713"/>
      <c r="I451" s="1713"/>
      <c r="J451" s="1713"/>
      <c r="K451" s="1713"/>
      <c r="L451" s="1713"/>
      <c r="M451" s="1713"/>
      <c r="N451" s="1713"/>
      <c r="O451" s="1713"/>
      <c r="P451" s="1713"/>
      <c r="Q451" s="1713"/>
      <c r="R451" s="1713"/>
      <c r="S451" s="1713"/>
      <c r="T451" s="1713"/>
      <c r="U451" s="1713"/>
      <c r="V451" s="1713"/>
      <c r="W451" s="1713"/>
      <c r="X451" s="1713"/>
      <c r="Y451" s="1713"/>
      <c r="Z451" s="1713"/>
      <c r="AA451" s="1713"/>
      <c r="AB451" s="1713"/>
      <c r="AC451" s="1713"/>
      <c r="AD451" s="1713"/>
      <c r="AE451" s="1713"/>
      <c r="AF451" s="1714"/>
      <c r="AG451" s="1711">
        <f>88500-1080</f>
        <v>87420</v>
      </c>
      <c r="AH451" s="1711"/>
      <c r="AI451" s="1711"/>
      <c r="AJ451" s="1711"/>
    </row>
    <row r="452" spans="4:55" ht="12.95" customHeight="1">
      <c r="D452" s="1712" t="s">
        <v>1033</v>
      </c>
      <c r="E452" s="1713"/>
      <c r="F452" s="1713"/>
      <c r="G452" s="1713"/>
      <c r="H452" s="1713"/>
      <c r="I452" s="1713"/>
      <c r="J452" s="1713"/>
      <c r="K452" s="1713"/>
      <c r="L452" s="1713"/>
      <c r="M452" s="1713"/>
      <c r="N452" s="1713"/>
      <c r="O452" s="1713"/>
      <c r="P452" s="1713"/>
      <c r="Q452" s="1713"/>
      <c r="R452" s="1713"/>
      <c r="S452" s="1713"/>
      <c r="T452" s="1713"/>
      <c r="U452" s="1713"/>
      <c r="V452" s="1713"/>
      <c r="W452" s="1713"/>
      <c r="X452" s="1713"/>
      <c r="Y452" s="1713"/>
      <c r="Z452" s="1713"/>
      <c r="AA452" s="1713"/>
      <c r="AB452" s="1713"/>
      <c r="AC452" s="1713"/>
      <c r="AD452" s="1713"/>
      <c r="AE452" s="1713"/>
      <c r="AF452" s="1714"/>
      <c r="AG452" s="1711">
        <f>AG451</f>
        <v>87420</v>
      </c>
      <c r="AH452" s="1711"/>
      <c r="AI452" s="1711"/>
      <c r="AJ452" s="1711"/>
    </row>
    <row r="453" spans="4:55" ht="12.95" customHeight="1">
      <c r="D453" s="1712" t="s">
        <v>1034</v>
      </c>
      <c r="E453" s="1713"/>
      <c r="F453" s="1713"/>
      <c r="G453" s="1713"/>
      <c r="H453" s="1713"/>
      <c r="I453" s="1713"/>
      <c r="J453" s="1713"/>
      <c r="K453" s="1713"/>
      <c r="L453" s="1713"/>
      <c r="M453" s="1713"/>
      <c r="N453" s="1713"/>
      <c r="O453" s="1713"/>
      <c r="P453" s="1713"/>
      <c r="Q453" s="1713"/>
      <c r="R453" s="1713"/>
      <c r="S453" s="1713"/>
      <c r="T453" s="1713"/>
      <c r="U453" s="1713"/>
      <c r="V453" s="1713"/>
      <c r="W453" s="1713"/>
      <c r="X453" s="1713"/>
      <c r="Y453" s="1713"/>
      <c r="Z453" s="1713"/>
      <c r="AA453" s="1713"/>
      <c r="AB453" s="1713"/>
      <c r="AC453" s="1713"/>
      <c r="AD453" s="1713"/>
      <c r="AE453" s="1713"/>
      <c r="AF453" s="1714"/>
      <c r="AG453" s="1792">
        <f>IF(ISERROR(AG452/AG451),0,AG452/AG451)</f>
        <v>1</v>
      </c>
      <c r="AH453" s="1792"/>
      <c r="AI453" s="1792"/>
      <c r="AJ453" s="1792"/>
    </row>
    <row r="454" spans="4:55" ht="12.95" customHeight="1">
      <c r="D454" s="1712" t="s">
        <v>1035</v>
      </c>
      <c r="E454" s="1713"/>
      <c r="F454" s="1713"/>
      <c r="G454" s="1713"/>
      <c r="H454" s="1713"/>
      <c r="I454" s="1713"/>
      <c r="J454" s="1713"/>
      <c r="K454" s="1713"/>
      <c r="L454" s="1713"/>
      <c r="M454" s="1713"/>
      <c r="N454" s="1713"/>
      <c r="O454" s="1713"/>
      <c r="P454" s="1713"/>
      <c r="Q454" s="1713"/>
      <c r="R454" s="1713"/>
      <c r="S454" s="1713"/>
      <c r="T454" s="1713"/>
      <c r="U454" s="1713"/>
      <c r="V454" s="1713"/>
      <c r="W454" s="1713"/>
      <c r="X454" s="1713"/>
      <c r="Y454" s="1713"/>
      <c r="Z454" s="1713"/>
      <c r="AA454" s="1713"/>
      <c r="AB454" s="1713"/>
      <c r="AC454" s="1713"/>
      <c r="AD454" s="1713"/>
      <c r="AE454" s="1713"/>
      <c r="AF454" s="1714"/>
      <c r="AG454" s="1792">
        <f>MIN(IF(AG450&gt;AG453,AG453,AG450),1)</f>
        <v>1</v>
      </c>
      <c r="AH454" s="1792"/>
      <c r="AI454" s="1792"/>
      <c r="AJ454" s="1792"/>
    </row>
    <row r="455" spans="4:55" ht="12.95" customHeight="1">
      <c r="D455" s="1712" t="s">
        <v>2035</v>
      </c>
      <c r="E455" s="1615"/>
      <c r="F455" s="1615"/>
      <c r="G455" s="1615"/>
      <c r="H455" s="1615"/>
      <c r="I455" s="1615"/>
      <c r="J455" s="1615"/>
      <c r="K455" s="1615"/>
      <c r="L455" s="1615"/>
      <c r="M455" s="1615"/>
      <c r="N455" s="1615"/>
      <c r="O455" s="1615"/>
      <c r="P455" s="1615"/>
      <c r="Q455" s="1615"/>
      <c r="R455" s="1615"/>
      <c r="S455" s="1615"/>
      <c r="T455" s="1615"/>
      <c r="U455" s="1615"/>
      <c r="V455" s="1615"/>
      <c r="W455" s="1615"/>
      <c r="X455" s="1615"/>
      <c r="Y455" s="1615"/>
      <c r="Z455" s="1615"/>
      <c r="AA455" s="1615"/>
      <c r="AB455" s="1615"/>
      <c r="AC455" s="1615"/>
      <c r="AD455" s="1615"/>
      <c r="AE455" s="1615"/>
      <c r="AF455" s="1787"/>
      <c r="AG455" s="1711">
        <f>9400+2680-4283</f>
        <v>7797</v>
      </c>
      <c r="AH455" s="1711"/>
      <c r="AI455" s="1711"/>
      <c r="AJ455" s="1711"/>
      <c r="AZ455" s="34"/>
      <c r="BA455" s="34"/>
      <c r="BB455" s="34"/>
      <c r="BC455" s="34"/>
    </row>
    <row r="456" spans="4:55" ht="12.95" customHeight="1">
      <c r="D456" s="1614" t="s">
        <v>567</v>
      </c>
      <c r="E456" s="1615"/>
      <c r="F456" s="1615"/>
      <c r="G456" s="1615"/>
      <c r="H456" s="1615"/>
      <c r="I456" s="1615"/>
      <c r="J456" s="1615"/>
      <c r="K456" s="1615"/>
      <c r="L456" s="1615"/>
      <c r="M456" s="1615"/>
      <c r="N456" s="1615"/>
      <c r="O456" s="1615"/>
      <c r="P456" s="1615"/>
      <c r="Q456" s="1615"/>
      <c r="R456" s="1615"/>
      <c r="S456" s="1615"/>
      <c r="T456" s="1615"/>
      <c r="U456" s="1615"/>
      <c r="V456" s="1615"/>
      <c r="W456" s="1615"/>
      <c r="X456" s="1615"/>
      <c r="Y456" s="1615"/>
      <c r="Z456" s="1615"/>
      <c r="AA456" s="1615"/>
      <c r="AB456" s="1615"/>
      <c r="AC456" s="1615"/>
      <c r="AD456" s="1615"/>
      <c r="AE456" s="1615"/>
      <c r="AF456" s="1787"/>
      <c r="AG456" s="1711">
        <v>0</v>
      </c>
      <c r="AH456" s="1711"/>
      <c r="AI456" s="1711"/>
      <c r="AJ456" s="1711"/>
      <c r="AZ456" s="3"/>
      <c r="BA456" s="3"/>
      <c r="BB456" s="3"/>
      <c r="BC456" s="3"/>
    </row>
    <row r="457" spans="4:55" ht="12.95" customHeight="1">
      <c r="D457" s="1712" t="s">
        <v>1202</v>
      </c>
      <c r="E457" s="1615"/>
      <c r="F457" s="1615"/>
      <c r="G457" s="1615"/>
      <c r="H457" s="1615"/>
      <c r="I457" s="1615"/>
      <c r="J457" s="1615"/>
      <c r="K457" s="1615"/>
      <c r="L457" s="1615"/>
      <c r="M457" s="1615"/>
      <c r="N457" s="1615"/>
      <c r="O457" s="1615"/>
      <c r="P457" s="1615"/>
      <c r="Q457" s="1615"/>
      <c r="R457" s="1615"/>
      <c r="S457" s="1615"/>
      <c r="T457" s="1615"/>
      <c r="U457" s="1615"/>
      <c r="V457" s="1615"/>
      <c r="W457" s="1615"/>
      <c r="X457" s="1615"/>
      <c r="Y457" s="1615"/>
      <c r="Z457" s="1615"/>
      <c r="AA457" s="1615"/>
      <c r="AB457" s="1615"/>
      <c r="AC457" s="1615"/>
      <c r="AD457" s="1615"/>
      <c r="AE457" s="1615"/>
      <c r="AF457" s="1787"/>
      <c r="AG457" s="1710">
        <f>19800+1080+4283</f>
        <v>25163</v>
      </c>
      <c r="AH457" s="1711"/>
      <c r="AI457" s="1711"/>
      <c r="AJ457" s="1711"/>
      <c r="AZ457" s="3"/>
      <c r="BA457" s="3"/>
      <c r="BB457" s="3"/>
      <c r="BC457" s="3"/>
    </row>
    <row r="458" spans="4:55" ht="12.95" customHeight="1">
      <c r="D458" s="1712" t="s">
        <v>1036</v>
      </c>
      <c r="E458" s="1615"/>
      <c r="F458" s="1615"/>
      <c r="G458" s="1615"/>
      <c r="H458" s="1615"/>
      <c r="I458" s="1615"/>
      <c r="J458" s="1615"/>
      <c r="K458" s="1615"/>
      <c r="L458" s="1615"/>
      <c r="M458" s="1615"/>
      <c r="N458" s="1615"/>
      <c r="O458" s="1615"/>
      <c r="P458" s="1615"/>
      <c r="Q458" s="1615"/>
      <c r="R458" s="1615"/>
      <c r="S458" s="1615"/>
      <c r="T458" s="1615"/>
      <c r="U458" s="1615"/>
      <c r="V458" s="1615"/>
      <c r="W458" s="1615"/>
      <c r="X458" s="1615"/>
      <c r="Y458" s="1615"/>
      <c r="Z458" s="1615"/>
      <c r="AA458" s="1615"/>
      <c r="AB458" s="1615"/>
      <c r="AC458" s="1615"/>
      <c r="AD458" s="1615"/>
      <c r="AE458" s="1615"/>
      <c r="AF458" s="1787"/>
      <c r="AG458" s="1711">
        <v>24640</v>
      </c>
      <c r="AH458" s="1711"/>
      <c r="AI458" s="1711"/>
      <c r="AJ458" s="1711"/>
      <c r="BB458" s="3"/>
      <c r="BC458" s="3"/>
    </row>
    <row r="459" spans="4:55" ht="12.95" customHeight="1">
      <c r="D459" s="1733" t="s">
        <v>1037</v>
      </c>
      <c r="E459" s="1734"/>
      <c r="F459" s="1734"/>
      <c r="G459" s="1734"/>
      <c r="H459" s="1734"/>
      <c r="I459" s="1734"/>
      <c r="J459" s="1734"/>
      <c r="K459" s="1734"/>
      <c r="L459" s="1734"/>
      <c r="M459" s="1734"/>
      <c r="N459" s="1734"/>
      <c r="O459" s="1734"/>
      <c r="P459" s="1734"/>
      <c r="Q459" s="1734"/>
      <c r="R459" s="1734"/>
      <c r="S459" s="1734"/>
      <c r="T459" s="1734"/>
      <c r="U459" s="1734"/>
      <c r="V459" s="1734"/>
      <c r="W459" s="1734"/>
      <c r="X459" s="1734"/>
      <c r="Y459" s="1734"/>
      <c r="Z459" s="1734"/>
      <c r="AA459" s="1734"/>
      <c r="AB459" s="1734"/>
      <c r="AC459" s="1734"/>
      <c r="AD459" s="1734"/>
      <c r="AE459" s="1734"/>
      <c r="AF459" s="1735"/>
      <c r="AG459" s="1817">
        <f>AG451+AG455+AG457+AG458</f>
        <v>145020</v>
      </c>
      <c r="AH459" s="1817"/>
      <c r="AI459" s="1817"/>
      <c r="AJ459" s="1817"/>
      <c r="AZ459" s="3"/>
      <c r="BA459" s="3"/>
      <c r="BB459" s="3"/>
      <c r="BC459" s="3"/>
    </row>
    <row r="460" spans="4:55" ht="12.95" customHeight="1">
      <c r="D460" s="1715" t="s">
        <v>1203</v>
      </c>
      <c r="E460" s="1715"/>
      <c r="F460" s="1715"/>
      <c r="G460" s="1715"/>
      <c r="H460" s="1715"/>
      <c r="I460" s="1715"/>
      <c r="J460" s="1715"/>
      <c r="K460" s="1715"/>
      <c r="L460" s="1715"/>
      <c r="M460" s="1715"/>
      <c r="N460" s="1715"/>
      <c r="O460" s="1715"/>
      <c r="P460" s="1715"/>
      <c r="Q460" s="1715"/>
      <c r="R460" s="1715"/>
      <c r="S460" s="1715"/>
      <c r="T460" s="1715"/>
      <c r="U460" s="1715"/>
      <c r="V460" s="1715"/>
      <c r="W460" s="1715"/>
      <c r="X460" s="1715"/>
      <c r="Y460" s="1715"/>
      <c r="Z460" s="1715"/>
      <c r="AA460" s="1715"/>
      <c r="AB460" s="1715"/>
      <c r="AC460" s="1715"/>
      <c r="AD460" s="1715"/>
      <c r="AE460" s="1715"/>
      <c r="AF460" s="1715"/>
      <c r="AG460" s="1715"/>
      <c r="AH460" s="1715"/>
      <c r="AI460" s="1715"/>
      <c r="AJ460" s="1715"/>
      <c r="AZ460" s="3"/>
      <c r="BA460" s="3"/>
      <c r="BB460" s="3"/>
      <c r="BC460" s="3"/>
    </row>
    <row r="461" spans="4:55" ht="12.95" customHeight="1">
      <c r="D461" s="1716"/>
      <c r="E461" s="1716"/>
      <c r="F461" s="1716"/>
      <c r="G461" s="1716"/>
      <c r="H461" s="1716"/>
      <c r="I461" s="1716"/>
      <c r="J461" s="1716"/>
      <c r="K461" s="1716"/>
      <c r="L461" s="1716"/>
      <c r="M461" s="1716"/>
      <c r="N461" s="1716"/>
      <c r="O461" s="1716"/>
      <c r="P461" s="1716"/>
      <c r="Q461" s="1716"/>
      <c r="R461" s="1716"/>
      <c r="S461" s="1716"/>
      <c r="T461" s="1716"/>
      <c r="U461" s="1716"/>
      <c r="V461" s="1716"/>
      <c r="W461" s="1716"/>
      <c r="X461" s="1716"/>
      <c r="Y461" s="1716"/>
      <c r="Z461" s="1716"/>
      <c r="AA461" s="1716"/>
      <c r="AB461" s="1716"/>
      <c r="AC461" s="1716"/>
      <c r="AD461" s="1716"/>
      <c r="AE461" s="1716"/>
      <c r="AF461" s="1716"/>
      <c r="AG461" s="1716"/>
      <c r="AH461" s="1716"/>
      <c r="AI461" s="1716"/>
      <c r="AJ461" s="1716"/>
      <c r="AZ461" s="3"/>
      <c r="BA461" s="3"/>
      <c r="BB461" s="3"/>
      <c r="BC461" s="3"/>
    </row>
    <row r="462" spans="4:55" ht="12.95"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2.95" customHeight="1">
      <c r="D463" s="205" t="s">
        <v>812</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723">
        <f>IF(AG446=0,"",'Sources and Uses Budget'!B105/Application!AG446)</f>
        <v>781672.66972477059</v>
      </c>
      <c r="AD463" s="1723"/>
      <c r="AE463" s="1723"/>
      <c r="AF463" s="1723"/>
      <c r="AG463" s="177"/>
      <c r="AH463" s="177"/>
      <c r="AI463" s="177"/>
      <c r="AJ463" s="183"/>
      <c r="AZ463" s="3"/>
      <c r="BA463" s="3" t="str">
        <f>AG583</f>
        <v>Yes</v>
      </c>
      <c r="BB463" s="3"/>
      <c r="BC463" s="3"/>
    </row>
    <row r="464" spans="4:55" ht="12.95" customHeight="1">
      <c r="D464" s="205" t="s">
        <v>813</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723">
        <f>IF(AG446=0,"",'Sources and Uses Budget'!C105/Application!AG446)</f>
        <v>781672.66972477059</v>
      </c>
      <c r="AD464" s="1723"/>
      <c r="AE464" s="1723"/>
      <c r="AF464" s="1723"/>
      <c r="AG464" s="177"/>
      <c r="AH464" s="177"/>
      <c r="AI464" s="177"/>
      <c r="AJ464" s="183"/>
      <c r="AZ464" s="3"/>
      <c r="BA464" s="3"/>
      <c r="BB464" s="3"/>
      <c r="BC464" s="3"/>
    </row>
    <row r="465" spans="1:55" ht="12.95" customHeight="1">
      <c r="D465" s="205" t="s">
        <v>861</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723">
        <f>IF(AG446=0,"",('Sources and Uses Budget'!$S$107+'Sources and Uses Budget'!$T$107)/Application!AG446)</f>
        <v>675469.14678899082</v>
      </c>
      <c r="AD465" s="1723"/>
      <c r="AE465" s="1723"/>
      <c r="AF465" s="1723"/>
      <c r="AG465" s="177"/>
      <c r="AH465" s="177"/>
      <c r="AI465" s="177"/>
      <c r="AJ465" s="183"/>
      <c r="AZ465" s="3"/>
      <c r="BA465" s="3"/>
      <c r="BB465" s="3"/>
      <c r="BC465" s="3"/>
    </row>
    <row r="466" spans="1:55" ht="12.95"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2.95" customHeight="1">
      <c r="A467" s="2" t="s">
        <v>611</v>
      </c>
      <c r="D467" s="2" t="s">
        <v>247</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2.95" customHeight="1">
      <c r="D468" s="184" t="s">
        <v>1842</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2.95" customHeight="1">
      <c r="D469" s="184" t="s">
        <v>1843</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2.95" customHeight="1">
      <c r="D470" s="184" t="s">
        <v>1844</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2.95"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2.95" customHeight="1">
      <c r="A472" s="3"/>
      <c r="B472" s="3"/>
      <c r="C472" s="3"/>
      <c r="D472" s="185" t="s">
        <v>690</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2.95" customHeight="1">
      <c r="A473" s="3"/>
      <c r="B473" s="3"/>
      <c r="C473" s="3"/>
      <c r="D473" s="1795" t="s">
        <v>2047</v>
      </c>
      <c r="E473" s="1737"/>
      <c r="F473" s="1737"/>
      <c r="G473" s="1737"/>
      <c r="H473" s="1737"/>
      <c r="I473" s="1737"/>
      <c r="J473" s="1737"/>
      <c r="K473" s="1737"/>
      <c r="L473" s="1737"/>
      <c r="M473" s="1737"/>
      <c r="N473" s="1737"/>
      <c r="O473" s="1737"/>
      <c r="P473" s="1737"/>
      <c r="Q473" s="1737"/>
      <c r="R473" s="1737"/>
      <c r="S473" s="1737"/>
      <c r="T473" s="1737"/>
      <c r="U473" s="1737"/>
      <c r="V473" s="1738"/>
      <c r="W473" s="1460">
        <v>0</v>
      </c>
      <c r="X473" s="1461"/>
      <c r="Y473" s="1462"/>
      <c r="Z473" s="184"/>
      <c r="AA473" s="184"/>
      <c r="AB473" s="184"/>
      <c r="AC473" s="184"/>
      <c r="AD473" s="177"/>
      <c r="AE473" s="177"/>
      <c r="AF473" s="177"/>
      <c r="AG473" s="177"/>
      <c r="AH473" s="177"/>
      <c r="AI473" s="177"/>
      <c r="AJ473" s="183"/>
      <c r="AZ473" s="3"/>
      <c r="BA473" s="3"/>
      <c r="BB473" s="3"/>
      <c r="BC473" s="3"/>
    </row>
    <row r="474" spans="1:55" ht="12.95" customHeight="1">
      <c r="A474" s="3"/>
      <c r="B474" s="3"/>
      <c r="C474" s="3"/>
      <c r="D474" s="1736" t="s">
        <v>691</v>
      </c>
      <c r="E474" s="1737"/>
      <c r="F474" s="1737"/>
      <c r="G474" s="1737"/>
      <c r="H474" s="1737"/>
      <c r="I474" s="1737"/>
      <c r="J474" s="1737"/>
      <c r="K474" s="1737"/>
      <c r="L474" s="1737"/>
      <c r="M474" s="1737"/>
      <c r="N474" s="1737"/>
      <c r="O474" s="1737"/>
      <c r="P474" s="1737"/>
      <c r="Q474" s="1737"/>
      <c r="R474" s="1737"/>
      <c r="S474" s="1737"/>
      <c r="T474" s="1737"/>
      <c r="U474" s="1737"/>
      <c r="V474" s="1738"/>
      <c r="W474" s="1460">
        <v>0</v>
      </c>
      <c r="X474" s="1461"/>
      <c r="Y474" s="1462"/>
      <c r="Z474" s="184"/>
      <c r="AA474" s="184"/>
      <c r="AB474" s="184"/>
      <c r="AC474" s="184"/>
      <c r="AD474" s="177"/>
      <c r="AE474" s="177"/>
      <c r="AF474" s="177"/>
      <c r="AG474" s="177"/>
      <c r="AH474" s="177"/>
      <c r="AI474" s="177"/>
      <c r="AJ474" s="183"/>
      <c r="AZ474" s="3"/>
      <c r="BA474" s="3"/>
      <c r="BB474" s="3"/>
      <c r="BC474" s="3"/>
    </row>
    <row r="475" spans="1:55" ht="12.95" customHeight="1">
      <c r="A475" s="3"/>
      <c r="B475" s="3"/>
      <c r="C475" s="3"/>
      <c r="D475" s="1736" t="s">
        <v>692</v>
      </c>
      <c r="E475" s="1737"/>
      <c r="F475" s="1737"/>
      <c r="G475" s="1737"/>
      <c r="H475" s="1737"/>
      <c r="I475" s="1737"/>
      <c r="J475" s="1737"/>
      <c r="K475" s="1737"/>
      <c r="L475" s="1737"/>
      <c r="M475" s="1737"/>
      <c r="N475" s="1737"/>
      <c r="O475" s="1737"/>
      <c r="P475" s="1737"/>
      <c r="Q475" s="1737"/>
      <c r="R475" s="1737"/>
      <c r="S475" s="1737"/>
      <c r="T475" s="1737"/>
      <c r="U475" s="1737"/>
      <c r="V475" s="1738"/>
      <c r="W475" s="1460">
        <v>0</v>
      </c>
      <c r="X475" s="1461"/>
      <c r="Y475" s="1462"/>
      <c r="Z475" s="184"/>
      <c r="AA475" s="184"/>
      <c r="AB475" s="184"/>
      <c r="AC475" s="184"/>
      <c r="AD475" s="177"/>
      <c r="AE475" s="177"/>
      <c r="AF475" s="177"/>
      <c r="AG475" s="177"/>
      <c r="AH475" s="177"/>
      <c r="AI475" s="177"/>
      <c r="AJ475" s="183"/>
      <c r="AZ475" s="3"/>
      <c r="BA475" s="3"/>
      <c r="BB475" s="3"/>
      <c r="BC475" s="3"/>
    </row>
    <row r="476" spans="1:55" ht="12.95" customHeight="1">
      <c r="A476" s="3"/>
      <c r="B476" s="3"/>
      <c r="C476" s="3"/>
      <c r="D476" s="1736" t="s">
        <v>693</v>
      </c>
      <c r="E476" s="1737"/>
      <c r="F476" s="1737"/>
      <c r="G476" s="1737"/>
      <c r="H476" s="1737"/>
      <c r="I476" s="1737"/>
      <c r="J476" s="1737"/>
      <c r="K476" s="1737"/>
      <c r="L476" s="1737"/>
      <c r="M476" s="1737"/>
      <c r="N476" s="1737"/>
      <c r="O476" s="1737"/>
      <c r="P476" s="1737"/>
      <c r="Q476" s="1737"/>
      <c r="R476" s="1737"/>
      <c r="S476" s="1737"/>
      <c r="T476" s="1737"/>
      <c r="U476" s="1737"/>
      <c r="V476" s="1738"/>
      <c r="W476" s="1460">
        <v>0</v>
      </c>
      <c r="X476" s="1461"/>
      <c r="Y476" s="1462"/>
      <c r="Z476" s="184"/>
      <c r="AA476" s="184"/>
      <c r="AB476" s="184"/>
      <c r="AC476" s="184"/>
      <c r="AD476" s="177"/>
      <c r="AE476" s="177"/>
      <c r="AF476" s="177"/>
      <c r="AG476" s="177"/>
      <c r="AH476" s="177"/>
      <c r="AI476" s="177"/>
      <c r="AJ476" s="183"/>
      <c r="AZ476" s="3"/>
      <c r="BA476" s="3"/>
      <c r="BB476" s="3"/>
      <c r="BC476" s="3"/>
    </row>
    <row r="477" spans="1:55" ht="12.95" customHeight="1">
      <c r="A477" s="3"/>
      <c r="B477" s="3"/>
      <c r="C477" s="3"/>
      <c r="D477" s="1736" t="s">
        <v>879</v>
      </c>
      <c r="E477" s="1737"/>
      <c r="F477" s="1737"/>
      <c r="G477" s="1737"/>
      <c r="H477" s="1737"/>
      <c r="I477" s="1737"/>
      <c r="J477" s="1737"/>
      <c r="K477" s="1737"/>
      <c r="L477" s="1737"/>
      <c r="M477" s="1737"/>
      <c r="N477" s="1737"/>
      <c r="O477" s="1737"/>
      <c r="P477" s="1737"/>
      <c r="Q477" s="1737"/>
      <c r="R477" s="1737"/>
      <c r="S477" s="1737"/>
      <c r="T477" s="1737"/>
      <c r="U477" s="1737"/>
      <c r="V477" s="1738"/>
      <c r="W477" s="1460">
        <v>0</v>
      </c>
      <c r="X477" s="1461"/>
      <c r="Y477" s="1462"/>
      <c r="Z477" s="184"/>
      <c r="AA477" s="184"/>
      <c r="AB477" s="184"/>
      <c r="AC477" s="184"/>
      <c r="AD477" s="177"/>
      <c r="AE477" s="177"/>
      <c r="AF477" s="177"/>
      <c r="AG477" s="177"/>
      <c r="AH477" s="177"/>
      <c r="AI477" s="177"/>
      <c r="AJ477" s="183"/>
      <c r="AZ477" s="3"/>
      <c r="BA477" s="3" t="str">
        <f>N599</f>
        <v>Yes</v>
      </c>
      <c r="BB477" s="3"/>
      <c r="BC477" s="3"/>
    </row>
    <row r="478" spans="1:55" ht="12.95" customHeight="1">
      <c r="A478" s="3"/>
      <c r="B478" s="3"/>
      <c r="C478" s="3"/>
      <c r="D478" s="1736" t="s">
        <v>694</v>
      </c>
      <c r="E478" s="1737"/>
      <c r="F478" s="1737"/>
      <c r="G478" s="1737"/>
      <c r="H478" s="1737"/>
      <c r="I478" s="1737"/>
      <c r="J478" s="1737"/>
      <c r="K478" s="1737"/>
      <c r="L478" s="1737"/>
      <c r="M478" s="1737"/>
      <c r="N478" s="1737"/>
      <c r="O478" s="1737"/>
      <c r="P478" s="1737"/>
      <c r="Q478" s="1737"/>
      <c r="R478" s="1737"/>
      <c r="S478" s="1737"/>
      <c r="T478" s="1737"/>
      <c r="U478" s="1737"/>
      <c r="V478" s="1738"/>
      <c r="W478" s="1460">
        <v>0</v>
      </c>
      <c r="X478" s="1461"/>
      <c r="Y478" s="1462"/>
      <c r="Z478" s="184"/>
      <c r="AA478" s="184"/>
      <c r="AB478" s="184"/>
      <c r="AC478" s="184"/>
      <c r="AD478" s="177"/>
      <c r="AE478" s="177"/>
      <c r="AF478" s="177"/>
      <c r="AG478" s="177"/>
      <c r="AH478" s="177"/>
      <c r="AI478" s="177"/>
      <c r="AJ478" s="183"/>
      <c r="AZ478" s="3"/>
      <c r="BA478" s="3" t="str">
        <f>AG599</f>
        <v>Yes</v>
      </c>
      <c r="BB478" s="3"/>
      <c r="BC478" s="3"/>
    </row>
    <row r="479" spans="1:55" ht="12.95" customHeight="1">
      <c r="A479" s="3"/>
      <c r="B479" s="3"/>
      <c r="C479" s="3"/>
      <c r="D479" s="1736" t="s">
        <v>1010</v>
      </c>
      <c r="E479" s="1737"/>
      <c r="F479" s="1737"/>
      <c r="G479" s="1737"/>
      <c r="H479" s="1737"/>
      <c r="I479" s="1737"/>
      <c r="J479" s="1737"/>
      <c r="K479" s="1737"/>
      <c r="L479" s="1737"/>
      <c r="M479" s="1737"/>
      <c r="N479" s="1737"/>
      <c r="O479" s="1737"/>
      <c r="P479" s="1737"/>
      <c r="Q479" s="1737"/>
      <c r="R479" s="1737"/>
      <c r="S479" s="1737"/>
      <c r="T479" s="1737"/>
      <c r="U479" s="1737"/>
      <c r="V479" s="1738"/>
      <c r="W479" s="1460">
        <v>0</v>
      </c>
      <c r="X479" s="1461"/>
      <c r="Y479" s="1462"/>
      <c r="Z479" s="184"/>
      <c r="AA479" s="184"/>
      <c r="AB479" s="184"/>
      <c r="AC479" s="184"/>
      <c r="AD479" s="177"/>
      <c r="AE479" s="177"/>
      <c r="AF479" s="177"/>
      <c r="AG479" s="177"/>
      <c r="AH479" s="177"/>
      <c r="AI479" s="177"/>
      <c r="AJ479" s="183"/>
      <c r="AZ479" s="3"/>
      <c r="BA479" s="3"/>
      <c r="BB479" s="3"/>
      <c r="BC479" s="3"/>
    </row>
    <row r="480" spans="1:55" ht="12.95" customHeight="1">
      <c r="A480" s="3"/>
      <c r="B480" s="3"/>
      <c r="C480" s="3"/>
      <c r="D480" s="1795" t="s">
        <v>2137</v>
      </c>
      <c r="E480" s="1796"/>
      <c r="F480" s="1796"/>
      <c r="G480" s="1796"/>
      <c r="H480" s="1796"/>
      <c r="I480" s="1796"/>
      <c r="J480" s="1796"/>
      <c r="K480" s="1796"/>
      <c r="L480" s="1796"/>
      <c r="M480" s="1796"/>
      <c r="N480" s="1796"/>
      <c r="O480" s="1796"/>
      <c r="P480" s="1796"/>
      <c r="Q480" s="1796"/>
      <c r="R480" s="1796"/>
      <c r="S480" s="1796"/>
      <c r="T480" s="1796"/>
      <c r="U480" s="1796"/>
      <c r="V480" s="1797"/>
      <c r="W480" s="1460">
        <v>0</v>
      </c>
      <c r="X480" s="1461"/>
      <c r="Y480" s="1462"/>
      <c r="Z480" s="184"/>
      <c r="AA480" s="184"/>
      <c r="AB480" s="184"/>
      <c r="AC480" s="184"/>
      <c r="AD480" s="177"/>
      <c r="AE480" s="177"/>
      <c r="AF480" s="177"/>
      <c r="AG480" s="177"/>
      <c r="AH480" s="177"/>
      <c r="AI480" s="177"/>
      <c r="AJ480" s="183"/>
      <c r="AZ480" s="3"/>
      <c r="BA480" s="3"/>
      <c r="BB480" s="3"/>
      <c r="BC480" s="3"/>
    </row>
    <row r="481" spans="1:55" ht="12.95" customHeight="1">
      <c r="A481" s="3"/>
      <c r="B481" s="3"/>
      <c r="C481" s="3"/>
      <c r="D481" s="1795" t="s">
        <v>1640</v>
      </c>
      <c r="E481" s="1737"/>
      <c r="F481" s="1737"/>
      <c r="G481" s="1737"/>
      <c r="H481" s="1737"/>
      <c r="I481" s="1737"/>
      <c r="J481" s="1737"/>
      <c r="K481" s="1737"/>
      <c r="L481" s="1737"/>
      <c r="M481" s="1737"/>
      <c r="N481" s="1737"/>
      <c r="O481" s="1737"/>
      <c r="P481" s="1737"/>
      <c r="Q481" s="1737"/>
      <c r="R481" s="1737"/>
      <c r="S481" s="1737"/>
      <c r="T481" s="1737"/>
      <c r="U481" s="1737"/>
      <c r="V481" s="1738"/>
      <c r="W481" s="1460">
        <v>0</v>
      </c>
      <c r="X481" s="1461"/>
      <c r="Y481" s="1462"/>
      <c r="Z481" s="184"/>
      <c r="AA481" s="184"/>
      <c r="AB481" s="184"/>
      <c r="AC481" s="184"/>
      <c r="AD481" s="177"/>
      <c r="AE481" s="177"/>
      <c r="AF481" s="177"/>
      <c r="AG481" s="177"/>
      <c r="AH481" s="177"/>
      <c r="AI481" s="177"/>
      <c r="AJ481" s="183"/>
      <c r="AZ481" s="3"/>
      <c r="BA481" s="3"/>
      <c r="BB481" s="3"/>
      <c r="BC481" s="3"/>
    </row>
    <row r="482" spans="1:55" ht="12.95" customHeight="1">
      <c r="A482" s="3"/>
      <c r="B482" s="3"/>
      <c r="C482" s="3"/>
      <c r="D482" s="243" t="s">
        <v>169</v>
      </c>
      <c r="E482" s="244"/>
      <c r="F482" s="245"/>
      <c r="G482" s="1486"/>
      <c r="H482" s="1487"/>
      <c r="I482" s="1487"/>
      <c r="J482" s="1487"/>
      <c r="K482" s="1487"/>
      <c r="L482" s="1487"/>
      <c r="M482" s="1487"/>
      <c r="N482" s="1487"/>
      <c r="O482" s="1487"/>
      <c r="P482" s="1487"/>
      <c r="Q482" s="1487"/>
      <c r="R482" s="1487"/>
      <c r="S482" s="1487"/>
      <c r="T482" s="1487"/>
      <c r="U482" s="1487"/>
      <c r="V482" s="1488"/>
      <c r="W482" s="1460">
        <v>0</v>
      </c>
      <c r="X482" s="1461"/>
      <c r="Y482" s="1462"/>
      <c r="Z482" s="184"/>
      <c r="AA482" s="184"/>
      <c r="AB482" s="184"/>
      <c r="AC482" s="184"/>
      <c r="AD482" s="177"/>
      <c r="AE482" s="177"/>
      <c r="AF482" s="177"/>
      <c r="AG482" s="177"/>
      <c r="AH482" s="177"/>
      <c r="AI482" s="177"/>
      <c r="AJ482" s="183"/>
      <c r="AZ482" s="3"/>
      <c r="BA482" s="3"/>
      <c r="BB482" s="3"/>
      <c r="BC482" s="3"/>
    </row>
    <row r="483" spans="1:55" ht="12.95" customHeight="1">
      <c r="A483" s="3"/>
      <c r="B483" s="3"/>
      <c r="C483" s="3"/>
      <c r="D483" s="246" t="s">
        <v>880</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2.95"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2.95"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2.95"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Yes</v>
      </c>
      <c r="BB486" s="3"/>
      <c r="BC486" s="3"/>
    </row>
    <row r="487" spans="1:55" ht="12.95" customHeight="1">
      <c r="AU487" s="95"/>
      <c r="AV487" s="95"/>
      <c r="AW487" s="95"/>
      <c r="AX487" s="95"/>
      <c r="AY487" s="95"/>
      <c r="AZ487" s="3"/>
      <c r="BA487" s="3" t="str">
        <f>AG607</f>
        <v>Yes</v>
      </c>
      <c r="BB487" s="3"/>
      <c r="BC487" s="3"/>
    </row>
    <row r="488" spans="1:55" ht="12.95" customHeight="1">
      <c r="A488" s="1441" t="s">
        <v>808</v>
      </c>
      <c r="B488" s="1441"/>
      <c r="C488" s="1441"/>
      <c r="D488" s="1441"/>
      <c r="E488" s="1441"/>
      <c r="F488" s="1441"/>
      <c r="G488" s="1441"/>
      <c r="H488" s="1441"/>
      <c r="I488" s="1441"/>
      <c r="J488" s="1441"/>
      <c r="K488" s="1441"/>
      <c r="L488" s="1441"/>
      <c r="M488" s="1441"/>
      <c r="N488" s="1441"/>
      <c r="O488" s="1441"/>
      <c r="P488" s="1441"/>
      <c r="Q488" s="1441"/>
      <c r="R488" s="1441"/>
      <c r="S488" s="1441"/>
      <c r="T488" s="1441"/>
      <c r="U488" s="1441"/>
      <c r="V488" s="1441"/>
      <c r="W488" s="1441"/>
      <c r="X488" s="1441"/>
      <c r="Y488" s="1441"/>
      <c r="Z488" s="1441"/>
      <c r="AA488" s="1441"/>
      <c r="AB488" s="1441"/>
      <c r="AC488" s="1441"/>
      <c r="AD488" s="1441"/>
      <c r="AE488" s="1441"/>
      <c r="AF488" s="1441"/>
      <c r="AG488" s="1441"/>
      <c r="AH488" s="1441"/>
      <c r="AI488" s="1441"/>
      <c r="AJ488" s="1441"/>
      <c r="AK488" s="1441"/>
      <c r="AL488" s="1441"/>
      <c r="AM488" s="1441"/>
      <c r="AN488" s="1441"/>
      <c r="AO488" s="1441"/>
      <c r="AP488" s="1441"/>
      <c r="AQ488" s="1441"/>
      <c r="AR488" s="1441"/>
      <c r="AS488" s="1441"/>
      <c r="AT488" s="1441"/>
      <c r="AU488" s="95"/>
      <c r="AV488" s="95"/>
      <c r="AW488" s="95"/>
      <c r="AX488" s="95"/>
      <c r="AY488" s="95"/>
      <c r="AZ488" s="3"/>
      <c r="BB488" s="3"/>
      <c r="BC488" s="3"/>
    </row>
    <row r="489" spans="1:55" ht="12.95" customHeight="1">
      <c r="A489" s="1441"/>
      <c r="B489" s="1441"/>
      <c r="C489" s="1441"/>
      <c r="D489" s="1441"/>
      <c r="E489" s="1441"/>
      <c r="F489" s="1441"/>
      <c r="G489" s="1441"/>
      <c r="H489" s="1441"/>
      <c r="I489" s="1441"/>
      <c r="J489" s="1441"/>
      <c r="K489" s="1441"/>
      <c r="L489" s="1441"/>
      <c r="M489" s="1441"/>
      <c r="N489" s="1441"/>
      <c r="O489" s="1441"/>
      <c r="P489" s="1441"/>
      <c r="Q489" s="1441"/>
      <c r="R489" s="1441"/>
      <c r="S489" s="1441"/>
      <c r="T489" s="1441"/>
      <c r="U489" s="1441"/>
      <c r="V489" s="1441"/>
      <c r="W489" s="1441"/>
      <c r="X489" s="1441"/>
      <c r="Y489" s="1441"/>
      <c r="Z489" s="1441"/>
      <c r="AA489" s="1441"/>
      <c r="AB489" s="1441"/>
      <c r="AC489" s="1441"/>
      <c r="AD489" s="1441"/>
      <c r="AE489" s="1441"/>
      <c r="AF489" s="1441"/>
      <c r="AG489" s="1441"/>
      <c r="AH489" s="1441"/>
      <c r="AI489" s="1441"/>
      <c r="AJ489" s="1441"/>
      <c r="AK489" s="1441"/>
      <c r="AL489" s="1441"/>
      <c r="AM489" s="1441"/>
      <c r="AN489" s="1441"/>
      <c r="AO489" s="1441"/>
      <c r="AP489" s="1441"/>
      <c r="AQ489" s="1441"/>
      <c r="AR489" s="1441"/>
      <c r="AS489" s="1441"/>
      <c r="AT489" s="1441"/>
      <c r="AZ489" s="3"/>
      <c r="BB489" s="3"/>
      <c r="BC489" s="3"/>
    </row>
    <row r="490" spans="1:55" ht="12.95" customHeight="1">
      <c r="AZ490" s="3"/>
      <c r="BB490" s="3"/>
      <c r="BC490" s="3"/>
    </row>
    <row r="491" spans="1:55" ht="12.95" customHeight="1">
      <c r="A491" s="2" t="s">
        <v>318</v>
      </c>
      <c r="C491" s="2" t="s">
        <v>806</v>
      </c>
      <c r="AZ491" s="3"/>
      <c r="BB491" s="3"/>
      <c r="BC491" s="3"/>
    </row>
    <row r="492" spans="1:55" ht="12.95" customHeight="1">
      <c r="AZ492" s="3"/>
      <c r="BB492" s="3"/>
      <c r="BC492" s="3"/>
    </row>
    <row r="493" spans="1:55" ht="12.95" customHeight="1">
      <c r="B493" s="45"/>
      <c r="C493" s="5"/>
      <c r="D493" s="5"/>
      <c r="E493" s="5"/>
      <c r="F493" s="5"/>
      <c r="G493" s="5"/>
      <c r="H493" s="5"/>
      <c r="I493" s="5"/>
      <c r="J493" s="5"/>
      <c r="K493" s="5"/>
      <c r="L493" s="5"/>
      <c r="M493" s="5"/>
      <c r="N493" s="5"/>
      <c r="O493" s="5"/>
      <c r="P493" s="46"/>
      <c r="Q493" s="1494" t="s">
        <v>392</v>
      </c>
      <c r="R493" s="1495"/>
      <c r="S493" s="1495"/>
      <c r="T493" s="1495"/>
      <c r="U493" s="1495"/>
      <c r="V493" s="1495"/>
      <c r="W493" s="1495"/>
      <c r="X493" s="1495"/>
      <c r="Y493" s="1495"/>
      <c r="Z493" s="1495"/>
      <c r="AA493" s="1495"/>
      <c r="AB493" s="1495"/>
      <c r="AC493" s="1495"/>
      <c r="AD493" s="1495"/>
      <c r="AE493" s="1495"/>
      <c r="AF493" s="1495"/>
      <c r="AG493" s="1495"/>
      <c r="AH493" s="1495"/>
      <c r="AI493" s="1495"/>
      <c r="AJ493" s="1495"/>
      <c r="AK493" s="1496"/>
      <c r="AZ493" s="3"/>
      <c r="BB493" s="3"/>
      <c r="BC493" s="3"/>
    </row>
    <row r="494" spans="1:55" ht="12.95" customHeight="1">
      <c r="B494" s="45" t="s">
        <v>393</v>
      </c>
      <c r="C494" s="5"/>
      <c r="D494" s="5"/>
      <c r="E494" s="5"/>
      <c r="F494" s="5"/>
      <c r="G494" s="5"/>
      <c r="H494" s="5"/>
      <c r="I494" s="5"/>
      <c r="J494" s="5"/>
      <c r="K494" s="5"/>
      <c r="L494" s="5"/>
      <c r="M494" s="5"/>
      <c r="N494" s="5"/>
      <c r="O494" s="5"/>
      <c r="P494" s="5"/>
      <c r="Q494" s="1492" t="s">
        <v>2752</v>
      </c>
      <c r="R494" s="1420"/>
      <c r="S494" s="1420"/>
      <c r="T494" s="1420"/>
      <c r="U494" s="1420"/>
      <c r="V494" s="1420"/>
      <c r="W494" s="1420"/>
      <c r="X494" s="1420"/>
      <c r="Y494" s="1420"/>
      <c r="Z494" s="1420"/>
      <c r="AA494" s="1420"/>
      <c r="AB494" s="1420"/>
      <c r="AC494" s="1420"/>
      <c r="AD494" s="1420"/>
      <c r="AE494" s="1420"/>
      <c r="AF494" s="1420"/>
      <c r="AG494" s="1420"/>
      <c r="AH494" s="1420"/>
      <c r="AI494" s="1420"/>
      <c r="AJ494" s="1420"/>
      <c r="AK494" s="1493"/>
      <c r="AZ494" s="3"/>
      <c r="BB494" s="3"/>
      <c r="BC494" s="3"/>
    </row>
    <row r="495" spans="1:55" ht="12.95" customHeight="1">
      <c r="B495" s="45" t="s">
        <v>394</v>
      </c>
      <c r="C495" s="5"/>
      <c r="D495" s="5"/>
      <c r="E495" s="5"/>
      <c r="F495" s="5"/>
      <c r="G495" s="5"/>
      <c r="H495" s="5"/>
      <c r="I495" s="5"/>
      <c r="J495" s="5"/>
      <c r="K495" s="5"/>
      <c r="L495" s="5"/>
      <c r="M495" s="5"/>
      <c r="N495" s="5"/>
      <c r="O495" s="5"/>
      <c r="P495" s="5"/>
      <c r="Q495" s="1492" t="s">
        <v>2753</v>
      </c>
      <c r="R495" s="1420"/>
      <c r="S495" s="1420"/>
      <c r="T495" s="1420"/>
      <c r="U495" s="1420"/>
      <c r="V495" s="1420"/>
      <c r="W495" s="1420"/>
      <c r="X495" s="1420"/>
      <c r="Y495" s="1420"/>
      <c r="Z495" s="1420"/>
      <c r="AA495" s="1420"/>
      <c r="AB495" s="1420"/>
      <c r="AC495" s="1420"/>
      <c r="AD495" s="1420"/>
      <c r="AE495" s="1420"/>
      <c r="AF495" s="1420"/>
      <c r="AG495" s="1420"/>
      <c r="AH495" s="1420"/>
      <c r="AI495" s="1420"/>
      <c r="AJ495" s="1420"/>
      <c r="AK495" s="1493"/>
      <c r="AZ495" s="3"/>
      <c r="BB495" s="3"/>
      <c r="BC495" s="3"/>
    </row>
    <row r="496" spans="1:55" ht="12.95" customHeight="1">
      <c r="B496" s="45" t="s">
        <v>395</v>
      </c>
      <c r="C496" s="5"/>
      <c r="D496" s="5"/>
      <c r="E496" s="5"/>
      <c r="F496" s="5"/>
      <c r="G496" s="5"/>
      <c r="H496" s="5"/>
      <c r="I496" s="5"/>
      <c r="J496" s="5"/>
      <c r="K496" s="5"/>
      <c r="L496" s="5"/>
      <c r="M496" s="5"/>
      <c r="N496" s="5"/>
      <c r="O496" s="5"/>
      <c r="P496" s="5"/>
      <c r="Q496" s="1492"/>
      <c r="R496" s="1420"/>
      <c r="S496" s="1420"/>
      <c r="T496" s="1420"/>
      <c r="U496" s="1420"/>
      <c r="V496" s="1420"/>
      <c r="W496" s="1420"/>
      <c r="X496" s="1420"/>
      <c r="Y496" s="1420"/>
      <c r="Z496" s="1420"/>
      <c r="AA496" s="1420"/>
      <c r="AB496" s="1420"/>
      <c r="AC496" s="1420"/>
      <c r="AD496" s="1420"/>
      <c r="AE496" s="1420"/>
      <c r="AF496" s="1420"/>
      <c r="AG496" s="1420"/>
      <c r="AH496" s="1420"/>
      <c r="AI496" s="1420"/>
      <c r="AJ496" s="1420"/>
      <c r="AK496" s="1493"/>
      <c r="AZ496" s="3"/>
      <c r="BA496" s="3"/>
      <c r="BB496" s="3"/>
      <c r="BC496" s="3"/>
    </row>
    <row r="497" spans="1:66" ht="12.95" customHeight="1">
      <c r="B497" s="1802" t="s">
        <v>396</v>
      </c>
      <c r="C497" s="1803"/>
      <c r="D497" s="1803"/>
      <c r="E497" s="1803"/>
      <c r="F497" s="1803"/>
      <c r="G497" s="1803"/>
      <c r="H497" s="1803"/>
      <c r="I497" s="1803"/>
      <c r="J497" s="1803"/>
      <c r="K497" s="1803"/>
      <c r="L497" s="1803"/>
      <c r="M497" s="1803"/>
      <c r="N497" s="1803"/>
      <c r="O497" s="1803"/>
      <c r="P497" s="1804"/>
      <c r="Q497" s="1808" t="s">
        <v>543</v>
      </c>
      <c r="R497" s="1809"/>
      <c r="S497" s="1717" t="s">
        <v>2849</v>
      </c>
      <c r="T497" s="1718"/>
      <c r="U497" s="1718"/>
      <c r="V497" s="1718"/>
      <c r="W497" s="1718"/>
      <c r="X497" s="1718"/>
      <c r="Y497" s="1718"/>
      <c r="Z497" s="1718"/>
      <c r="AA497" s="1718"/>
      <c r="AB497" s="1718"/>
      <c r="AC497" s="1718"/>
      <c r="AD497" s="1718"/>
      <c r="AE497" s="1718"/>
      <c r="AF497" s="1718"/>
      <c r="AG497" s="1718"/>
      <c r="AH497" s="1718"/>
      <c r="AI497" s="1718"/>
      <c r="AJ497" s="1718"/>
      <c r="AK497" s="1719"/>
      <c r="AZ497" s="3"/>
      <c r="BA497" s="3"/>
      <c r="BB497" s="3"/>
      <c r="BC497" s="3"/>
    </row>
    <row r="498" spans="1:66" ht="12.95" customHeight="1">
      <c r="B498" s="1805"/>
      <c r="C498" s="1806"/>
      <c r="D498" s="1806"/>
      <c r="E498" s="1806"/>
      <c r="F498" s="1806"/>
      <c r="G498" s="1806"/>
      <c r="H498" s="1806"/>
      <c r="I498" s="1806"/>
      <c r="J498" s="1806"/>
      <c r="K498" s="1806"/>
      <c r="L498" s="1806"/>
      <c r="M498" s="1806"/>
      <c r="N498" s="1806"/>
      <c r="O498" s="1806"/>
      <c r="P498" s="1807"/>
      <c r="Q498" s="1810"/>
      <c r="R498" s="1811"/>
      <c r="S498" s="1720"/>
      <c r="T498" s="1721"/>
      <c r="U498" s="1721"/>
      <c r="V498" s="1721"/>
      <c r="W498" s="1721"/>
      <c r="X498" s="1721"/>
      <c r="Y498" s="1721"/>
      <c r="Z498" s="1721"/>
      <c r="AA498" s="1721"/>
      <c r="AB498" s="1721"/>
      <c r="AC498" s="1721"/>
      <c r="AD498" s="1721"/>
      <c r="AE498" s="1721"/>
      <c r="AF498" s="1721"/>
      <c r="AG498" s="1721"/>
      <c r="AH498" s="1721"/>
      <c r="AI498" s="1721"/>
      <c r="AJ498" s="1721"/>
      <c r="AK498" s="1722"/>
      <c r="AZ498" s="3"/>
      <c r="BA498" s="3"/>
      <c r="BB498" s="3"/>
      <c r="BC498" s="3"/>
    </row>
    <row r="499" spans="1:66" ht="12.95" customHeight="1">
      <c r="B499" s="886" t="s">
        <v>1657</v>
      </c>
      <c r="C499" s="864"/>
      <c r="D499" s="864"/>
      <c r="E499" s="864"/>
      <c r="F499" s="864"/>
      <c r="G499" s="864"/>
      <c r="H499" s="864"/>
      <c r="I499" s="864"/>
      <c r="J499" s="864"/>
      <c r="K499" s="864"/>
      <c r="L499" s="864"/>
      <c r="M499" s="864"/>
      <c r="N499" s="864"/>
      <c r="O499" s="864"/>
      <c r="P499" s="864"/>
      <c r="Q499" s="1813" t="s">
        <v>667</v>
      </c>
      <c r="R499" s="1814"/>
      <c r="S499" s="1814"/>
      <c r="T499" s="1814"/>
      <c r="U499" s="1814"/>
      <c r="V499" s="1814"/>
      <c r="W499" s="1814"/>
      <c r="X499" s="1814"/>
      <c r="Y499" s="1814"/>
      <c r="Z499" s="1814"/>
      <c r="AA499" s="1814"/>
      <c r="AB499" s="1814"/>
      <c r="AC499" s="1814"/>
      <c r="AD499" s="1814"/>
      <c r="AE499" s="1814"/>
      <c r="AF499" s="1814"/>
      <c r="AG499" s="1814"/>
      <c r="AH499" s="1814"/>
      <c r="AI499" s="1814"/>
      <c r="AJ499" s="1814"/>
      <c r="AK499" s="1815"/>
      <c r="AZ499" s="3"/>
      <c r="BA499" s="3"/>
      <c r="BB499" s="3"/>
      <c r="BC499" s="3"/>
    </row>
    <row r="500" spans="1:66" ht="12.95" customHeight="1">
      <c r="B500" s="45" t="s">
        <v>397</v>
      </c>
      <c r="C500" s="5"/>
      <c r="D500" s="5"/>
      <c r="E500" s="5"/>
      <c r="F500" s="5"/>
      <c r="G500" s="5"/>
      <c r="H500" s="5"/>
      <c r="I500" s="5"/>
      <c r="J500" s="5"/>
      <c r="K500" s="5"/>
      <c r="L500" s="5"/>
      <c r="M500" s="5"/>
      <c r="N500" s="5"/>
      <c r="O500" s="5"/>
      <c r="P500" s="5"/>
      <c r="Q500" s="1492" t="s">
        <v>2766</v>
      </c>
      <c r="R500" s="1420"/>
      <c r="S500" s="1420"/>
      <c r="T500" s="1420"/>
      <c r="U500" s="1420"/>
      <c r="V500" s="1420"/>
      <c r="W500" s="1420"/>
      <c r="X500" s="1420"/>
      <c r="Y500" s="1420"/>
      <c r="Z500" s="1420"/>
      <c r="AA500" s="1420"/>
      <c r="AB500" s="1420"/>
      <c r="AC500" s="1420"/>
      <c r="AD500" s="1420"/>
      <c r="AE500" s="1420"/>
      <c r="AF500" s="1420"/>
      <c r="AG500" s="1420"/>
      <c r="AH500" s="1420"/>
      <c r="AI500" s="1420"/>
      <c r="AJ500" s="1420"/>
      <c r="AK500" s="1493"/>
      <c r="AZ500" s="3"/>
      <c r="BA500" s="3"/>
      <c r="BB500" s="3"/>
      <c r="BC500" s="3"/>
    </row>
    <row r="501" spans="1:66" ht="12.95" customHeight="1">
      <c r="B501" s="45" t="s">
        <v>398</v>
      </c>
      <c r="C501" s="5"/>
      <c r="D501" s="5"/>
      <c r="E501" s="5"/>
      <c r="F501" s="5"/>
      <c r="G501" s="5"/>
      <c r="H501" s="5"/>
      <c r="I501" s="5"/>
      <c r="J501" s="5"/>
      <c r="K501" s="5"/>
      <c r="L501" s="5"/>
      <c r="M501" s="5"/>
      <c r="N501" s="5"/>
      <c r="O501" s="5"/>
      <c r="P501" s="5"/>
      <c r="Q501" s="1492">
        <v>0</v>
      </c>
      <c r="R501" s="1420"/>
      <c r="S501" s="1420"/>
      <c r="T501" s="1420"/>
      <c r="U501" s="1420"/>
      <c r="V501" s="1420"/>
      <c r="W501" s="1420"/>
      <c r="X501" s="1420"/>
      <c r="Y501" s="1420"/>
      <c r="Z501" s="1420"/>
      <c r="AA501" s="1420"/>
      <c r="AB501" s="1420"/>
      <c r="AC501" s="1420"/>
      <c r="AD501" s="1420"/>
      <c r="AE501" s="1420"/>
      <c r="AF501" s="1420"/>
      <c r="AG501" s="1420"/>
      <c r="AH501" s="1420"/>
      <c r="AI501" s="1420"/>
      <c r="AJ501" s="1420"/>
      <c r="AK501" s="1493"/>
      <c r="AZ501" s="3"/>
      <c r="BA501" s="3"/>
      <c r="BB501" s="3"/>
      <c r="BC501" s="3"/>
    </row>
    <row r="502" spans="1:66" ht="12.95" customHeight="1">
      <c r="B502" s="121" t="s">
        <v>1654</v>
      </c>
      <c r="C502" s="5"/>
      <c r="D502" s="5"/>
      <c r="E502" s="5"/>
      <c r="F502" s="5"/>
      <c r="G502" s="5"/>
      <c r="H502" s="5"/>
      <c r="I502" s="5"/>
      <c r="J502" s="5"/>
      <c r="K502" s="5"/>
      <c r="L502" s="5"/>
      <c r="M502" s="5"/>
      <c r="N502" s="5"/>
      <c r="O502" s="5"/>
      <c r="P502" s="5"/>
      <c r="Q502" s="1492">
        <v>66</v>
      </c>
      <c r="R502" s="1420"/>
      <c r="S502" s="1420"/>
      <c r="T502" s="1420"/>
      <c r="U502" s="1420"/>
      <c r="V502" s="1420"/>
      <c r="W502" s="1420"/>
      <c r="X502" s="1420"/>
      <c r="Y502" s="1420"/>
      <c r="Z502" s="1420"/>
      <c r="AA502" s="1420"/>
      <c r="AB502" s="1420"/>
      <c r="AC502" s="1420"/>
      <c r="AD502" s="1420"/>
      <c r="AE502" s="1420"/>
      <c r="AF502" s="1420"/>
      <c r="AG502" s="1420"/>
      <c r="AH502" s="1420"/>
      <c r="AI502" s="1420"/>
      <c r="AJ502" s="1420"/>
      <c r="AK502" s="1493"/>
      <c r="AZ502" s="3"/>
      <c r="BA502" s="3"/>
      <c r="BB502" s="3"/>
      <c r="BC502" s="3"/>
    </row>
    <row r="503" spans="1:66" ht="12.95" customHeight="1">
      <c r="B503" s="121" t="s">
        <v>1655</v>
      </c>
      <c r="C503" s="5"/>
      <c r="D503" s="5"/>
      <c r="E503" s="5"/>
      <c r="F503" s="5"/>
      <c r="G503" s="5"/>
      <c r="H503" s="5"/>
      <c r="I503" s="5"/>
      <c r="J503" s="5"/>
      <c r="K503" s="5"/>
      <c r="L503" s="5"/>
      <c r="M503" s="1421">
        <v>66</v>
      </c>
      <c r="N503" s="1422"/>
      <c r="O503" s="1422"/>
      <c r="P503" s="1423"/>
      <c r="Q503" s="121" t="s">
        <v>1656</v>
      </c>
      <c r="R503" s="5"/>
      <c r="S503" s="5"/>
      <c r="T503" s="5"/>
      <c r="U503" s="5"/>
      <c r="V503" s="5"/>
      <c r="W503" s="5"/>
      <c r="X503" s="5"/>
      <c r="Y503" s="5"/>
      <c r="Z503" s="5"/>
      <c r="AA503" s="5"/>
      <c r="AB503" s="5"/>
      <c r="AC503" s="5"/>
      <c r="AD503" s="5"/>
      <c r="AE503" s="5"/>
      <c r="AF503" s="5"/>
      <c r="AG503" s="5"/>
      <c r="AH503" s="1421">
        <v>0</v>
      </c>
      <c r="AI503" s="1422"/>
      <c r="AJ503" s="1422"/>
      <c r="AK503" s="1423"/>
      <c r="AZ503" s="3"/>
      <c r="BA503" s="3"/>
      <c r="BB503" s="3"/>
      <c r="BC503" s="3"/>
    </row>
    <row r="504" spans="1:66" ht="12.95"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2.95" customHeight="1">
      <c r="A505" s="2" t="s">
        <v>574</v>
      </c>
      <c r="C505" s="2" t="s">
        <v>399</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2.95"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2.95"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494" t="s">
        <v>400</v>
      </c>
      <c r="AD507" s="1495"/>
      <c r="AE507" s="1495"/>
      <c r="AF507" s="1495"/>
      <c r="AG507" s="1495"/>
      <c r="AH507" s="1495"/>
      <c r="AI507" s="1495"/>
      <c r="AJ507" s="1495"/>
      <c r="AK507" s="1496"/>
      <c r="AZ507" s="3"/>
      <c r="BA507" s="3"/>
      <c r="BB507" s="3"/>
      <c r="BC507" s="3"/>
      <c r="BD507" s="3"/>
      <c r="BE507" s="3"/>
      <c r="BF507" s="3"/>
      <c r="BG507" s="3"/>
      <c r="BH507" s="3"/>
      <c r="BI507" s="3"/>
      <c r="BJ507" s="3"/>
      <c r="BK507" s="3"/>
      <c r="BL507" s="3"/>
      <c r="BM507" s="3"/>
      <c r="BN507" s="3"/>
    </row>
    <row r="508" spans="1:66" ht="12.95"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494" t="s">
        <v>401</v>
      </c>
      <c r="AD508" s="1495"/>
      <c r="AE508" s="1495"/>
      <c r="AF508" s="1495"/>
      <c r="AG508" s="50" t="s">
        <v>402</v>
      </c>
      <c r="AH508" s="1495" t="s">
        <v>403</v>
      </c>
      <c r="AI508" s="1495"/>
      <c r="AJ508" s="1495"/>
      <c r="AK508" s="1496"/>
      <c r="AZ508" s="3"/>
      <c r="BA508" s="3"/>
      <c r="BB508" s="3"/>
      <c r="BC508" s="3"/>
      <c r="BD508" s="3"/>
      <c r="BE508" s="3"/>
      <c r="BF508" s="3"/>
      <c r="BG508" s="3"/>
      <c r="BH508" s="3"/>
      <c r="BI508" s="3"/>
      <c r="BJ508" s="3"/>
      <c r="BK508" s="3"/>
      <c r="BL508" s="3"/>
      <c r="BM508" s="3"/>
      <c r="BN508" s="3"/>
    </row>
    <row r="509" spans="1:66" ht="12.95" customHeight="1">
      <c r="B509" s="1661" t="s">
        <v>404</v>
      </c>
      <c r="C509" s="1448"/>
      <c r="D509" s="1448"/>
      <c r="E509" s="1448"/>
      <c r="F509" s="1448"/>
      <c r="G509" s="1448"/>
      <c r="H509" s="1449"/>
      <c r="I509" s="42" t="s">
        <v>405</v>
      </c>
      <c r="J509" s="42"/>
      <c r="K509" s="42"/>
      <c r="L509" s="42"/>
      <c r="M509" s="42"/>
      <c r="N509" s="42"/>
      <c r="O509" s="42"/>
      <c r="P509" s="42"/>
      <c r="Q509" s="42"/>
      <c r="R509" s="42"/>
      <c r="S509" s="42"/>
      <c r="T509" s="42"/>
      <c r="U509" s="42"/>
      <c r="V509" s="42"/>
      <c r="W509" s="42"/>
      <c r="AC509" s="1466" t="s">
        <v>589</v>
      </c>
      <c r="AD509" s="1467"/>
      <c r="AE509" s="1467"/>
      <c r="AF509" s="1467"/>
      <c r="AG509" s="13" t="s">
        <v>402</v>
      </c>
      <c r="AH509" s="1335"/>
      <c r="AI509" s="1335"/>
      <c r="AJ509" s="1335"/>
      <c r="AK509" s="1336"/>
      <c r="AZ509" s="3"/>
      <c r="BA509" s="3"/>
      <c r="BB509" s="3"/>
      <c r="BC509" s="3"/>
      <c r="BD509" s="3"/>
      <c r="BE509" s="3"/>
      <c r="BF509" s="3"/>
      <c r="BG509" s="3"/>
      <c r="BH509" s="3"/>
      <c r="BI509" s="3"/>
      <c r="BJ509" s="3"/>
      <c r="BK509" s="3"/>
      <c r="BL509" s="3"/>
      <c r="BM509" s="3"/>
      <c r="BN509" s="3"/>
    </row>
    <row r="510" spans="1:66" ht="12.95" customHeight="1">
      <c r="B510" s="1662"/>
      <c r="C510" s="1450"/>
      <c r="D510" s="1450"/>
      <c r="E510" s="1450"/>
      <c r="F510" s="1450"/>
      <c r="G510" s="1450"/>
      <c r="H510" s="1451"/>
      <c r="I510" s="48" t="s">
        <v>406</v>
      </c>
      <c r="J510" s="48"/>
      <c r="K510" s="48"/>
      <c r="L510" s="48"/>
      <c r="M510" s="48"/>
      <c r="N510" s="48"/>
      <c r="O510" s="48"/>
      <c r="P510" s="48"/>
      <c r="Q510" s="48"/>
      <c r="R510" s="48"/>
      <c r="S510" s="48"/>
      <c r="T510" s="48"/>
      <c r="U510" s="48"/>
      <c r="V510" s="48"/>
      <c r="W510" s="48"/>
      <c r="X510" s="48"/>
      <c r="Y510" s="48"/>
      <c r="Z510" s="48"/>
      <c r="AA510" s="48"/>
      <c r="AB510" s="48"/>
      <c r="AC510" s="1466">
        <v>4</v>
      </c>
      <c r="AD510" s="1467"/>
      <c r="AE510" s="1467"/>
      <c r="AF510" s="1467"/>
      <c r="AG510" s="38" t="s">
        <v>402</v>
      </c>
      <c r="AH510" s="1335">
        <v>2025</v>
      </c>
      <c r="AI510" s="1335"/>
      <c r="AJ510" s="1335"/>
      <c r="AK510" s="1336"/>
      <c r="AZ510" s="3"/>
      <c r="BA510" s="3"/>
      <c r="BB510" s="3"/>
      <c r="BC510" s="3"/>
      <c r="BD510" s="3"/>
      <c r="BE510" s="3"/>
      <c r="BF510" s="3"/>
      <c r="BG510" s="3"/>
      <c r="BH510" s="3"/>
      <c r="BI510" s="3"/>
      <c r="BJ510" s="3"/>
      <c r="BK510" s="3"/>
      <c r="BL510" s="3"/>
      <c r="BM510" s="3"/>
      <c r="BN510" s="3"/>
    </row>
    <row r="511" spans="1:66" ht="12.95" customHeight="1">
      <c r="B511" s="1661" t="s">
        <v>407</v>
      </c>
      <c r="C511" s="1448"/>
      <c r="D511" s="1448"/>
      <c r="E511" s="1448"/>
      <c r="F511" s="1448"/>
      <c r="G511" s="1448"/>
      <c r="H511" s="1449"/>
      <c r="I511" s="42" t="s">
        <v>408</v>
      </c>
      <c r="J511" s="42"/>
      <c r="K511" s="42"/>
      <c r="L511" s="42"/>
      <c r="M511" s="42"/>
      <c r="N511" s="42"/>
      <c r="O511" s="42"/>
      <c r="P511" s="42"/>
      <c r="Q511" s="42"/>
      <c r="R511" s="42"/>
      <c r="S511" s="42"/>
      <c r="T511" s="42"/>
      <c r="U511" s="42"/>
      <c r="V511" s="42"/>
      <c r="W511" s="42"/>
      <c r="AC511" s="1466" t="s">
        <v>589</v>
      </c>
      <c r="AD511" s="1467"/>
      <c r="AE511" s="1467"/>
      <c r="AF511" s="1467"/>
      <c r="AG511" s="13" t="s">
        <v>402</v>
      </c>
      <c r="AH511" s="1335"/>
      <c r="AI511" s="1335"/>
      <c r="AJ511" s="1335"/>
      <c r="AK511" s="1336"/>
      <c r="AZ511" s="3"/>
      <c r="BA511" s="3"/>
      <c r="BB511" s="3"/>
      <c r="BC511" s="3"/>
      <c r="BD511" s="3"/>
      <c r="BE511" s="3"/>
      <c r="BF511" s="3"/>
      <c r="BG511" s="3"/>
      <c r="BH511" s="3"/>
      <c r="BI511" s="3"/>
      <c r="BJ511" s="3"/>
      <c r="BK511" s="3"/>
      <c r="BL511" s="3"/>
      <c r="BM511" s="3"/>
      <c r="BN511" s="3"/>
    </row>
    <row r="512" spans="1:66" ht="12.95" customHeight="1">
      <c r="B512" s="1662"/>
      <c r="C512" s="1450"/>
      <c r="D512" s="1450"/>
      <c r="E512" s="1450"/>
      <c r="F512" s="1450"/>
      <c r="G512" s="1450"/>
      <c r="H512" s="1451"/>
      <c r="I512" t="s">
        <v>409</v>
      </c>
      <c r="AC512" s="1466" t="s">
        <v>589</v>
      </c>
      <c r="AD512" s="1467"/>
      <c r="AE512" s="1467"/>
      <c r="AF512" s="1467"/>
      <c r="AG512" s="13" t="s">
        <v>402</v>
      </c>
      <c r="AH512" s="1335"/>
      <c r="AI512" s="1335"/>
      <c r="AJ512" s="1335"/>
      <c r="AK512" s="1336"/>
      <c r="AZ512" s="3"/>
      <c r="BA512" s="3"/>
      <c r="BB512" s="3"/>
      <c r="BC512" s="3"/>
      <c r="BD512" s="3"/>
      <c r="BE512" s="3"/>
      <c r="BF512" s="3"/>
      <c r="BG512" s="3"/>
      <c r="BH512" s="3"/>
      <c r="BI512" s="3"/>
      <c r="BJ512" s="3"/>
      <c r="BK512" s="3"/>
      <c r="BL512" s="3"/>
      <c r="BM512" s="3"/>
      <c r="BN512" s="3"/>
    </row>
    <row r="513" spans="2:66" ht="12.95" customHeight="1">
      <c r="B513" s="1662"/>
      <c r="C513" s="1450"/>
      <c r="D513" s="1450"/>
      <c r="E513" s="1450"/>
      <c r="F513" s="1450"/>
      <c r="G513" s="1450"/>
      <c r="H513" s="1451"/>
      <c r="I513" t="s">
        <v>410</v>
      </c>
      <c r="AC513" s="1466">
        <v>7</v>
      </c>
      <c r="AD513" s="1467"/>
      <c r="AE513" s="1467"/>
      <c r="AF513" s="1467"/>
      <c r="AG513" s="13" t="s">
        <v>402</v>
      </c>
      <c r="AH513" s="1335">
        <v>2026</v>
      </c>
      <c r="AI513" s="1335"/>
      <c r="AJ513" s="1335"/>
      <c r="AK513" s="1336"/>
      <c r="AZ513" s="3"/>
      <c r="BA513" s="3"/>
      <c r="BB513" s="3"/>
      <c r="BC513" s="3"/>
      <c r="BD513" s="3"/>
      <c r="BE513" s="3"/>
      <c r="BF513" s="3"/>
      <c r="BG513" s="3"/>
      <c r="BH513" s="3"/>
      <c r="BI513" s="3"/>
      <c r="BJ513" s="3"/>
      <c r="BK513" s="3"/>
      <c r="BL513" s="3"/>
      <c r="BM513" s="3"/>
      <c r="BN513" s="3"/>
    </row>
    <row r="514" spans="2:66" ht="12.95" customHeight="1">
      <c r="B514" s="1662"/>
      <c r="C514" s="1450"/>
      <c r="D514" s="1450"/>
      <c r="E514" s="1450"/>
      <c r="F514" s="1450"/>
      <c r="G514" s="1450"/>
      <c r="H514" s="1451"/>
      <c r="I514" t="s">
        <v>411</v>
      </c>
      <c r="AC514" s="1466">
        <v>5</v>
      </c>
      <c r="AD514" s="1467"/>
      <c r="AE514" s="1467"/>
      <c r="AF514" s="1467"/>
      <c r="AG514" s="13" t="s">
        <v>402</v>
      </c>
      <c r="AH514" s="1335">
        <v>2027</v>
      </c>
      <c r="AI514" s="1335"/>
      <c r="AJ514" s="1335"/>
      <c r="AK514" s="1336"/>
      <c r="AZ514" s="3"/>
      <c r="BA514" s="3"/>
      <c r="BB514" s="3"/>
      <c r="BC514" s="3"/>
      <c r="BD514" s="3"/>
      <c r="BE514" s="3"/>
      <c r="BF514" s="3"/>
      <c r="BG514" s="3"/>
      <c r="BH514" s="3"/>
      <c r="BI514" s="3"/>
      <c r="BJ514" s="3"/>
      <c r="BK514" s="3"/>
      <c r="BL514" s="3"/>
      <c r="BM514" s="3"/>
      <c r="BN514" s="3"/>
    </row>
    <row r="515" spans="2:66" ht="12.95" customHeight="1">
      <c r="B515" s="1662"/>
      <c r="C515" s="1450"/>
      <c r="D515" s="1450"/>
      <c r="E515" s="1450"/>
      <c r="F515" s="1450"/>
      <c r="G515" s="1450"/>
      <c r="H515" s="1451"/>
      <c r="I515" s="3" t="s">
        <v>412</v>
      </c>
      <c r="AC515" s="1322">
        <v>5</v>
      </c>
      <c r="AD515" s="1323"/>
      <c r="AE515" s="1323"/>
      <c r="AF515" s="1323"/>
      <c r="AG515" s="13" t="s">
        <v>402</v>
      </c>
      <c r="AH515" s="1335">
        <v>2027</v>
      </c>
      <c r="AI515" s="1335"/>
      <c r="AJ515" s="1335"/>
      <c r="AK515" s="1336"/>
      <c r="AZ515" s="3"/>
      <c r="BA515" s="3"/>
      <c r="BB515" s="3"/>
      <c r="BC515" s="3"/>
      <c r="BD515" s="3"/>
      <c r="BE515" s="3"/>
      <c r="BF515" s="3"/>
      <c r="BG515" s="3"/>
      <c r="BH515" s="3"/>
      <c r="BI515" s="3"/>
      <c r="BJ515" s="3"/>
      <c r="BK515" s="3"/>
      <c r="BL515" s="3"/>
      <c r="BM515" s="3"/>
      <c r="BN515" s="3"/>
    </row>
    <row r="516" spans="2:66" ht="12.95" customHeight="1">
      <c r="B516" s="1662"/>
      <c r="C516" s="1450"/>
      <c r="D516" s="1450"/>
      <c r="E516" s="1450"/>
      <c r="F516" s="1450"/>
      <c r="G516" s="1450"/>
      <c r="H516" s="1451"/>
      <c r="I516" s="887" t="s">
        <v>169</v>
      </c>
      <c r="J516" s="48"/>
      <c r="K516" s="48"/>
      <c r="L516" s="1786" t="s">
        <v>333</v>
      </c>
      <c r="M516" s="1730"/>
      <c r="N516" s="1730"/>
      <c r="O516" s="1730"/>
      <c r="P516" s="1730"/>
      <c r="Q516" s="1730"/>
      <c r="R516" s="1730"/>
      <c r="S516" s="1730"/>
      <c r="T516" s="1730"/>
      <c r="U516" s="1730"/>
      <c r="V516" s="1730"/>
      <c r="W516" s="1730"/>
      <c r="X516" s="1730"/>
      <c r="Y516" s="1730"/>
      <c r="Z516" s="1730"/>
      <c r="AA516" s="1730"/>
      <c r="AB516" s="1812"/>
      <c r="AC516" s="1466" t="s">
        <v>589</v>
      </c>
      <c r="AD516" s="1467"/>
      <c r="AE516" s="1467"/>
      <c r="AF516" s="1467"/>
      <c r="AG516" s="38" t="s">
        <v>402</v>
      </c>
      <c r="AH516" s="1335"/>
      <c r="AI516" s="1335"/>
      <c r="AJ516" s="1335"/>
      <c r="AK516" s="1336"/>
      <c r="AZ516" s="3"/>
      <c r="BA516" s="3"/>
      <c r="BB516" s="3"/>
      <c r="BC516" s="3"/>
      <c r="BD516" s="3"/>
      <c r="BE516" s="3"/>
      <c r="BF516" s="3"/>
      <c r="BG516" s="3"/>
      <c r="BH516" s="3"/>
      <c r="BI516" s="3"/>
      <c r="BJ516" s="3"/>
      <c r="BK516" s="3"/>
      <c r="BL516" s="3"/>
      <c r="BM516" s="3"/>
      <c r="BN516" s="3"/>
    </row>
    <row r="517" spans="2:66" ht="12.95" customHeight="1">
      <c r="B517" s="862"/>
      <c r="C517" s="130"/>
      <c r="D517" s="130"/>
      <c r="E517" s="130"/>
      <c r="F517" s="130"/>
      <c r="G517" s="130"/>
      <c r="H517" s="863"/>
      <c r="I517" s="3" t="s">
        <v>1661</v>
      </c>
      <c r="AC517" s="1709" t="s">
        <v>667</v>
      </c>
      <c r="AD517" s="1709"/>
      <c r="AE517" s="1709"/>
      <c r="AF517" s="1709"/>
      <c r="AG517" s="13"/>
      <c r="AH517" s="1299"/>
      <c r="AI517" s="1299"/>
      <c r="AJ517" s="1299"/>
      <c r="AK517" s="1477"/>
      <c r="AZ517" s="3"/>
      <c r="BA517" s="3"/>
      <c r="BB517" s="3"/>
      <c r="BC517" s="3"/>
      <c r="BD517" s="3"/>
      <c r="BE517" s="3"/>
      <c r="BF517" s="3"/>
      <c r="BG517" s="3"/>
      <c r="BH517" s="3"/>
      <c r="BI517" s="3"/>
      <c r="BJ517" s="3"/>
      <c r="BK517" s="3"/>
      <c r="BL517" s="3"/>
      <c r="BM517" s="3"/>
      <c r="BN517" s="3"/>
    </row>
    <row r="518" spans="2:66" ht="12.95" customHeight="1">
      <c r="B518" s="862"/>
      <c r="C518" s="130"/>
      <c r="D518" s="130"/>
      <c r="E518" s="130"/>
      <c r="F518" s="130"/>
      <c r="G518" s="130"/>
      <c r="H518" s="863"/>
      <c r="I518" t="s">
        <v>1658</v>
      </c>
      <c r="AC518" s="1322"/>
      <c r="AD518" s="1323"/>
      <c r="AE518" s="1323"/>
      <c r="AF518" s="1324"/>
      <c r="AG518" s="13"/>
      <c r="AH518" s="1299"/>
      <c r="AI518" s="1299"/>
      <c r="AJ518" s="1299"/>
      <c r="AK518" s="1477"/>
      <c r="AZ518" s="3"/>
      <c r="BA518" s="3"/>
      <c r="BB518" s="3"/>
      <c r="BC518" s="3"/>
      <c r="BD518" s="3"/>
      <c r="BE518" s="3"/>
      <c r="BF518" s="3"/>
      <c r="BG518" s="3"/>
      <c r="BH518" s="3"/>
      <c r="BI518" s="3"/>
      <c r="BJ518" s="3"/>
      <c r="BK518" s="3"/>
      <c r="BL518" s="3"/>
      <c r="BM518" s="3"/>
      <c r="BN518" s="3"/>
    </row>
    <row r="519" spans="2:66" ht="12.95" customHeight="1">
      <c r="B519" s="862"/>
      <c r="C519" s="130"/>
      <c r="D519" s="130"/>
      <c r="E519" s="130"/>
      <c r="F519" s="130"/>
      <c r="G519" s="130"/>
      <c r="H519" s="863"/>
      <c r="I519" t="s">
        <v>1659</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2.95" customHeight="1">
      <c r="B520" s="862"/>
      <c r="C520" s="130"/>
      <c r="D520" s="130"/>
      <c r="E520" s="130"/>
      <c r="F520" s="130"/>
      <c r="G520" s="130"/>
      <c r="H520" s="863"/>
      <c r="I520" s="888" t="s">
        <v>1660</v>
      </c>
      <c r="J520" s="48"/>
      <c r="K520" s="48"/>
      <c r="L520" s="48"/>
      <c r="M520" s="48"/>
      <c r="N520" s="48"/>
      <c r="O520" s="48"/>
      <c r="P520" s="48"/>
      <c r="Q520" s="48"/>
      <c r="R520" s="48"/>
      <c r="S520" s="48"/>
      <c r="T520" s="48"/>
      <c r="U520" s="48"/>
      <c r="V520" s="48"/>
      <c r="W520" s="48"/>
      <c r="X520" s="48"/>
      <c r="Y520" s="48"/>
      <c r="Z520" s="48"/>
      <c r="AA520" s="48"/>
      <c r="AB520" s="48"/>
      <c r="AC520" s="1799"/>
      <c r="AD520" s="1800"/>
      <c r="AE520" s="1800"/>
      <c r="AF520" s="1801"/>
      <c r="AG520" s="38"/>
      <c r="AH520" s="1793"/>
      <c r="AI520" s="1793"/>
      <c r="AJ520" s="1793"/>
      <c r="AK520" s="1794"/>
      <c r="AZ520" s="3"/>
      <c r="BA520" s="3"/>
      <c r="BB520" s="3"/>
      <c r="BC520" s="3"/>
      <c r="BD520" s="3"/>
      <c r="BE520" s="3"/>
      <c r="BF520" s="3"/>
      <c r="BG520" s="3"/>
      <c r="BH520" s="3"/>
      <c r="BI520" s="3"/>
      <c r="BJ520" s="3"/>
      <c r="BK520" s="3"/>
      <c r="BL520" s="3"/>
      <c r="BM520" s="3"/>
      <c r="BN520" s="3" t="s">
        <v>1181</v>
      </c>
    </row>
    <row r="521" spans="2:66" ht="12.95"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729" t="s">
        <v>401</v>
      </c>
      <c r="AD521" s="1642"/>
      <c r="AE521" s="1642"/>
      <c r="AF521" s="1642"/>
      <c r="AG521" s="38" t="s">
        <v>402</v>
      </c>
      <c r="AH521" s="1642" t="s">
        <v>403</v>
      </c>
      <c r="AI521" s="1642"/>
      <c r="AJ521" s="1642"/>
      <c r="AK521" s="1816"/>
      <c r="AZ521" s="3"/>
      <c r="BA521" s="3"/>
      <c r="BB521" s="3"/>
      <c r="BC521" s="3"/>
      <c r="BD521" s="3"/>
      <c r="BE521" s="3"/>
      <c r="BF521" s="3"/>
      <c r="BG521" s="3"/>
      <c r="BH521" s="3"/>
      <c r="BI521" s="3"/>
      <c r="BJ521" s="3"/>
      <c r="BK521" s="3"/>
      <c r="BL521" s="3"/>
      <c r="BM521" s="3"/>
      <c r="BN521" s="3" t="s">
        <v>2052</v>
      </c>
    </row>
    <row r="522" spans="2:66" ht="12.95" customHeight="1">
      <c r="B522" s="1661" t="s">
        <v>413</v>
      </c>
      <c r="C522" s="1448"/>
      <c r="D522" s="1448"/>
      <c r="E522" s="1448"/>
      <c r="F522" s="1448"/>
      <c r="G522" s="1448"/>
      <c r="H522" s="1449"/>
      <c r="I522" s="42" t="s">
        <v>414</v>
      </c>
      <c r="J522" s="42"/>
      <c r="K522" s="42"/>
      <c r="L522" s="42"/>
      <c r="M522" s="42"/>
      <c r="N522" s="42"/>
      <c r="O522" s="42"/>
      <c r="P522" s="42"/>
      <c r="Q522" s="42"/>
      <c r="R522" s="42"/>
      <c r="S522" s="42"/>
      <c r="T522" s="42"/>
      <c r="U522" s="42"/>
      <c r="V522" s="42"/>
      <c r="W522" s="42"/>
      <c r="AC522" s="1466">
        <v>9</v>
      </c>
      <c r="AD522" s="1467"/>
      <c r="AE522" s="1467"/>
      <c r="AF522" s="1467"/>
      <c r="AG522" s="13" t="s">
        <v>402</v>
      </c>
      <c r="AH522" s="1335">
        <v>2026</v>
      </c>
      <c r="AI522" s="1335"/>
      <c r="AJ522" s="1335"/>
      <c r="AK522" s="1336"/>
      <c r="AZ522" s="3"/>
      <c r="BA522" s="3"/>
      <c r="BB522" s="3"/>
      <c r="BC522" s="3"/>
      <c r="BD522" s="3"/>
      <c r="BE522" s="3"/>
      <c r="BF522" s="3"/>
      <c r="BG522" s="3"/>
      <c r="BH522" s="3"/>
      <c r="BI522" s="3"/>
      <c r="BJ522" s="3"/>
      <c r="BK522" s="3"/>
      <c r="BL522" s="3"/>
      <c r="BM522" s="3"/>
      <c r="BN522" s="3" t="s">
        <v>2053</v>
      </c>
    </row>
    <row r="523" spans="2:66" ht="12.95" customHeight="1">
      <c r="B523" s="1662"/>
      <c r="C523" s="1450"/>
      <c r="D523" s="1450"/>
      <c r="E523" s="1450"/>
      <c r="F523" s="1450"/>
      <c r="G523" s="1450"/>
      <c r="H523" s="1451"/>
      <c r="I523" t="s">
        <v>415</v>
      </c>
      <c r="AC523" s="1466">
        <v>9</v>
      </c>
      <c r="AD523" s="1467"/>
      <c r="AE523" s="1467"/>
      <c r="AF523" s="1467"/>
      <c r="AG523" s="13" t="s">
        <v>402</v>
      </c>
      <c r="AH523" s="1335">
        <v>2026</v>
      </c>
      <c r="AI523" s="1335"/>
      <c r="AJ523" s="1335"/>
      <c r="AK523" s="1336"/>
      <c r="AZ523" s="3"/>
      <c r="BA523" s="3"/>
      <c r="BB523" s="3"/>
      <c r="BC523" s="3"/>
      <c r="BD523" s="3"/>
      <c r="BE523" s="3"/>
      <c r="BF523" s="3"/>
      <c r="BG523" s="3"/>
      <c r="BH523" s="3"/>
      <c r="BI523" s="3"/>
      <c r="BJ523" s="3"/>
      <c r="BK523" s="3"/>
      <c r="BL523" s="3"/>
      <c r="BM523" s="3"/>
      <c r="BN523" s="3" t="s">
        <v>2054</v>
      </c>
    </row>
    <row r="524" spans="2:66" ht="12.95" customHeight="1">
      <c r="B524" s="1662"/>
      <c r="C524" s="1450"/>
      <c r="D524" s="1450"/>
      <c r="E524" s="1450"/>
      <c r="F524" s="1450"/>
      <c r="G524" s="1450"/>
      <c r="H524" s="1451"/>
      <c r="I524" s="48" t="s">
        <v>416</v>
      </c>
      <c r="J524" s="48"/>
      <c r="K524" s="48"/>
      <c r="L524" s="48"/>
      <c r="M524" s="48"/>
      <c r="N524" s="48"/>
      <c r="O524" s="48"/>
      <c r="P524" s="48"/>
      <c r="Q524" s="48"/>
      <c r="R524" s="48"/>
      <c r="S524" s="48"/>
      <c r="T524" s="48"/>
      <c r="U524" s="48"/>
      <c r="V524" s="48"/>
      <c r="W524" s="48"/>
      <c r="X524" s="48"/>
      <c r="Y524" s="48"/>
      <c r="Z524" s="48"/>
      <c r="AA524" s="48"/>
      <c r="AB524" s="48"/>
      <c r="AC524" s="1466">
        <v>5</v>
      </c>
      <c r="AD524" s="1467"/>
      <c r="AE524" s="1467"/>
      <c r="AF524" s="1467"/>
      <c r="AG524" s="38" t="s">
        <v>402</v>
      </c>
      <c r="AH524" s="1335">
        <v>2027</v>
      </c>
      <c r="AI524" s="1335"/>
      <c r="AJ524" s="1335"/>
      <c r="AK524" s="1336"/>
      <c r="AZ524" s="3"/>
      <c r="BA524" s="3"/>
      <c r="BB524" s="3"/>
      <c r="BC524" s="3"/>
      <c r="BD524" s="3"/>
      <c r="BE524" s="3"/>
      <c r="BF524" s="3"/>
      <c r="BG524" s="3"/>
      <c r="BH524" s="3"/>
      <c r="BI524" s="3"/>
      <c r="BJ524" s="3"/>
      <c r="BK524" s="3"/>
      <c r="BL524" s="3"/>
      <c r="BM524" s="3"/>
      <c r="BN524" s="3" t="s">
        <v>2055</v>
      </c>
    </row>
    <row r="525" spans="2:66" ht="12.95" customHeight="1">
      <c r="B525" s="1661" t="s">
        <v>417</v>
      </c>
      <c r="C525" s="1448"/>
      <c r="D525" s="1448"/>
      <c r="E525" s="1448"/>
      <c r="F525" s="1448"/>
      <c r="G525" s="1448"/>
      <c r="H525" s="1449"/>
      <c r="I525" s="42" t="s">
        <v>414</v>
      </c>
      <c r="J525" s="42"/>
      <c r="K525" s="42"/>
      <c r="L525" s="42"/>
      <c r="M525" s="42"/>
      <c r="N525" s="42"/>
      <c r="O525" s="42"/>
      <c r="P525" s="42"/>
      <c r="Q525" s="42"/>
      <c r="R525" s="42"/>
      <c r="S525" s="42"/>
      <c r="T525" s="42"/>
      <c r="U525" s="42"/>
      <c r="V525" s="42"/>
      <c r="W525" s="42"/>
      <c r="X525" s="42"/>
      <c r="Y525" s="42"/>
      <c r="Z525" s="42"/>
      <c r="AA525" s="42"/>
      <c r="AB525" s="42"/>
      <c r="AC525" s="1322">
        <v>1</v>
      </c>
      <c r="AD525" s="1323"/>
      <c r="AE525" s="1323"/>
      <c r="AF525" s="1323"/>
      <c r="AG525" s="129" t="s">
        <v>402</v>
      </c>
      <c r="AH525" s="1335">
        <v>2026</v>
      </c>
      <c r="AI525" s="1335"/>
      <c r="AJ525" s="1335"/>
      <c r="AK525" s="1336"/>
      <c r="AZ525" s="3"/>
      <c r="BB525" s="3"/>
      <c r="BC525" s="3"/>
      <c r="BD525" s="3"/>
      <c r="BE525" s="3"/>
      <c r="BF525" s="3"/>
      <c r="BG525" s="3"/>
      <c r="BH525" s="3"/>
      <c r="BI525" s="3"/>
      <c r="BJ525" s="3"/>
      <c r="BK525" s="3"/>
      <c r="BL525" s="3"/>
      <c r="BM525" s="3"/>
      <c r="BN525" s="3" t="s">
        <v>2056</v>
      </c>
    </row>
    <row r="526" spans="2:66" ht="12.95" customHeight="1">
      <c r="B526" s="1662"/>
      <c r="C526" s="1450"/>
      <c r="D526" s="1450"/>
      <c r="E526" s="1450"/>
      <c r="F526" s="1450"/>
      <c r="G526" s="1450"/>
      <c r="H526" s="1451"/>
      <c r="I526" t="s">
        <v>415</v>
      </c>
      <c r="AC526" s="1466">
        <v>5</v>
      </c>
      <c r="AD526" s="1467"/>
      <c r="AE526" s="1467"/>
      <c r="AF526" s="1467"/>
      <c r="AG526" s="13" t="s">
        <v>402</v>
      </c>
      <c r="AH526" s="1335">
        <v>2026</v>
      </c>
      <c r="AI526" s="1335"/>
      <c r="AJ526" s="1335"/>
      <c r="AK526" s="1336"/>
      <c r="BB526" s="3"/>
      <c r="BC526" s="3"/>
      <c r="BD526" s="3"/>
      <c r="BE526" s="3"/>
      <c r="BF526" s="3"/>
      <c r="BG526" s="3"/>
      <c r="BH526" s="3"/>
      <c r="BI526" s="3"/>
      <c r="BJ526" s="3"/>
      <c r="BK526" s="3"/>
      <c r="BL526" s="3"/>
      <c r="BM526" s="3"/>
      <c r="BN526" s="3" t="s">
        <v>2057</v>
      </c>
    </row>
    <row r="527" spans="2:66" ht="12.95" customHeight="1">
      <c r="B527" s="1663"/>
      <c r="C527" s="1452"/>
      <c r="D527" s="1452"/>
      <c r="E527" s="1452"/>
      <c r="F527" s="1452"/>
      <c r="G527" s="1452"/>
      <c r="H527" s="1453"/>
      <c r="I527" s="48" t="s">
        <v>416</v>
      </c>
      <c r="J527" s="48"/>
      <c r="K527" s="48"/>
      <c r="L527" s="48"/>
      <c r="M527" s="48"/>
      <c r="N527" s="48"/>
      <c r="O527" s="48"/>
      <c r="P527" s="48"/>
      <c r="Q527" s="48"/>
      <c r="R527" s="48"/>
      <c r="S527" s="48"/>
      <c r="T527" s="48"/>
      <c r="U527" s="48"/>
      <c r="V527" s="48"/>
      <c r="W527" s="48"/>
      <c r="X527" s="48"/>
      <c r="Y527" s="48"/>
      <c r="Z527" s="48"/>
      <c r="AA527" s="48"/>
      <c r="AB527" s="48"/>
      <c r="AC527" s="1466">
        <v>5</v>
      </c>
      <c r="AD527" s="1467"/>
      <c r="AE527" s="1467"/>
      <c r="AF527" s="1467"/>
      <c r="AG527" s="38" t="s">
        <v>402</v>
      </c>
      <c r="AH527" s="1335">
        <v>2027</v>
      </c>
      <c r="AI527" s="1335"/>
      <c r="AJ527" s="1335"/>
      <c r="AK527" s="1336"/>
      <c r="BB527" s="3"/>
      <c r="BC527" s="3"/>
      <c r="BD527" s="3"/>
      <c r="BE527" s="3"/>
      <c r="BF527" s="3"/>
      <c r="BG527" s="3"/>
      <c r="BH527" s="3"/>
      <c r="BI527" s="3"/>
      <c r="BJ527" s="3"/>
      <c r="BK527" s="3"/>
      <c r="BL527" s="3"/>
      <c r="BM527" s="3"/>
      <c r="BN527" s="3" t="s">
        <v>2058</v>
      </c>
    </row>
    <row r="528" spans="2:66" ht="12.95" customHeight="1">
      <c r="B528" s="1661" t="s">
        <v>418</v>
      </c>
      <c r="C528" s="1448"/>
      <c r="D528" s="1448"/>
      <c r="E528" s="1448"/>
      <c r="F528" s="1448"/>
      <c r="G528" s="1448"/>
      <c r="H528" s="1449"/>
      <c r="I528" s="41" t="s">
        <v>419</v>
      </c>
      <c r="J528" s="42"/>
      <c r="K528" s="42"/>
      <c r="L528" s="42"/>
      <c r="M528" s="42"/>
      <c r="N528" s="42"/>
      <c r="O528" s="1786" t="s">
        <v>2747</v>
      </c>
      <c r="P528" s="1730"/>
      <c r="Q528" s="1730"/>
      <c r="R528" s="1730"/>
      <c r="S528" s="1730"/>
      <c r="T528" s="1730"/>
      <c r="U528" s="1730"/>
      <c r="V528" s="1730"/>
      <c r="W528" s="1730"/>
      <c r="X528" s="1730"/>
      <c r="Y528" s="1730"/>
      <c r="Z528" s="1730"/>
      <c r="AA528" s="1730"/>
      <c r="AB528" s="58"/>
      <c r="AC528" s="1322" t="s">
        <v>589</v>
      </c>
      <c r="AD528" s="1323"/>
      <c r="AE528" s="1323"/>
      <c r="AF528" s="1323"/>
      <c r="AG528" s="129" t="s">
        <v>402</v>
      </c>
      <c r="AH528" s="1335"/>
      <c r="AI528" s="1335"/>
      <c r="AJ528" s="1335"/>
      <c r="AK528" s="1336"/>
      <c r="AZ528" s="3"/>
      <c r="BB528" s="3"/>
      <c r="BC528" s="3"/>
      <c r="BD528" s="3"/>
      <c r="BE528" s="3"/>
      <c r="BF528" s="3"/>
      <c r="BG528" s="3"/>
      <c r="BH528" s="3"/>
      <c r="BI528" s="3"/>
      <c r="BJ528" s="3"/>
      <c r="BK528" s="3"/>
      <c r="BL528" s="3"/>
      <c r="BM528" s="3"/>
      <c r="BN528" s="3" t="s">
        <v>2059</v>
      </c>
    </row>
    <row r="529" spans="2:66" ht="12.95" customHeight="1">
      <c r="B529" s="1662"/>
      <c r="C529" s="1450"/>
      <c r="D529" s="1450"/>
      <c r="E529" s="1450"/>
      <c r="F529" s="1450"/>
      <c r="G529" s="1450"/>
      <c r="H529" s="1451"/>
      <c r="I529" s="114" t="s">
        <v>420</v>
      </c>
      <c r="AB529" s="65"/>
      <c r="AC529" s="1466" t="s">
        <v>589</v>
      </c>
      <c r="AD529" s="1467"/>
      <c r="AE529" s="1467"/>
      <c r="AF529" s="1467"/>
      <c r="AG529" s="13" t="s">
        <v>402</v>
      </c>
      <c r="AH529" s="1335"/>
      <c r="AI529" s="1335"/>
      <c r="AJ529" s="1335"/>
      <c r="AK529" s="1336"/>
      <c r="AZ529" s="3"/>
      <c r="BB529" s="3"/>
      <c r="BC529" s="3"/>
      <c r="BD529" s="3"/>
      <c r="BE529" s="3"/>
      <c r="BF529" s="3"/>
      <c r="BG529" s="3"/>
      <c r="BH529" s="3"/>
      <c r="BI529" s="3"/>
      <c r="BJ529" s="3"/>
      <c r="BK529" s="3"/>
      <c r="BL529" s="3"/>
      <c r="BM529" s="3"/>
      <c r="BN529" s="3" t="s">
        <v>2060</v>
      </c>
    </row>
    <row r="530" spans="2:66" ht="12.95" customHeight="1">
      <c r="B530" s="1662"/>
      <c r="C530" s="1450"/>
      <c r="D530" s="1450"/>
      <c r="E530" s="1450"/>
      <c r="F530" s="1450"/>
      <c r="G530" s="1450"/>
      <c r="H530" s="1451"/>
      <c r="I530" s="47" t="s">
        <v>421</v>
      </c>
      <c r="J530" s="48"/>
      <c r="K530" s="48"/>
      <c r="L530" s="48"/>
      <c r="M530" s="48"/>
      <c r="N530" s="48"/>
      <c r="O530" s="48"/>
      <c r="P530" s="48"/>
      <c r="Q530" s="48"/>
      <c r="R530" s="48"/>
      <c r="S530" s="48"/>
      <c r="T530" s="48"/>
      <c r="U530" s="48"/>
      <c r="V530" s="48"/>
      <c r="W530" s="48"/>
      <c r="X530" s="48"/>
      <c r="Y530" s="48"/>
      <c r="Z530" s="48"/>
      <c r="AA530" s="48"/>
      <c r="AB530" s="49"/>
      <c r="AC530" s="1466">
        <v>8</v>
      </c>
      <c r="AD530" s="1467"/>
      <c r="AE530" s="1467"/>
      <c r="AF530" s="1467"/>
      <c r="AG530" s="38" t="s">
        <v>402</v>
      </c>
      <c r="AH530" s="1335">
        <v>2026</v>
      </c>
      <c r="AI530" s="1335"/>
      <c r="AJ530" s="1335"/>
      <c r="AK530" s="1336"/>
      <c r="AZ530" s="3"/>
      <c r="BA530" s="3"/>
      <c r="BB530" s="3"/>
      <c r="BC530" s="3"/>
      <c r="BD530" s="3"/>
      <c r="BE530" s="3"/>
      <c r="BF530" s="3"/>
      <c r="BG530" s="3"/>
      <c r="BH530" s="3"/>
      <c r="BI530" s="3"/>
      <c r="BJ530" s="3"/>
      <c r="BK530" s="3"/>
      <c r="BL530" s="3"/>
      <c r="BM530" s="3"/>
      <c r="BN530" s="3" t="s">
        <v>2061</v>
      </c>
    </row>
    <row r="531" spans="2:66" ht="12.95" customHeight="1">
      <c r="B531" s="1662"/>
      <c r="C531" s="1450"/>
      <c r="D531" s="1450"/>
      <c r="E531" s="1450"/>
      <c r="F531" s="1450"/>
      <c r="G531" s="1450"/>
      <c r="H531" s="1451"/>
      <c r="I531" s="42" t="s">
        <v>422</v>
      </c>
      <c r="J531" s="42"/>
      <c r="K531" s="42"/>
      <c r="L531" s="42"/>
      <c r="M531" s="42"/>
      <c r="N531" s="42"/>
      <c r="O531" s="1786" t="s">
        <v>2730</v>
      </c>
      <c r="P531" s="1730"/>
      <c r="Q531" s="1730"/>
      <c r="R531" s="1730"/>
      <c r="S531" s="1730"/>
      <c r="T531" s="1730"/>
      <c r="U531" s="1730"/>
      <c r="V531" s="1730"/>
      <c r="W531" s="1730"/>
      <c r="X531" s="1730"/>
      <c r="Y531" s="1730"/>
      <c r="Z531" s="1730"/>
      <c r="AA531" s="1730"/>
      <c r="AC531" s="1466" t="s">
        <v>589</v>
      </c>
      <c r="AD531" s="1467"/>
      <c r="AE531" s="1467"/>
      <c r="AF531" s="1467"/>
      <c r="AG531" s="13" t="s">
        <v>402</v>
      </c>
      <c r="AH531" s="1335"/>
      <c r="AI531" s="1335"/>
      <c r="AJ531" s="1335"/>
      <c r="AK531" s="1336"/>
      <c r="AZ531" s="3"/>
      <c r="BA531" s="3"/>
      <c r="BB531" s="3"/>
      <c r="BC531" s="3"/>
      <c r="BD531" s="3"/>
      <c r="BE531" s="3"/>
      <c r="BF531" s="3"/>
      <c r="BG531" s="3"/>
      <c r="BH531" s="3"/>
      <c r="BI531" s="3"/>
      <c r="BJ531" s="3"/>
      <c r="BK531" s="3"/>
      <c r="BL531" s="3"/>
      <c r="BM531" s="3"/>
      <c r="BN531" s="3" t="s">
        <v>2062</v>
      </c>
    </row>
    <row r="532" spans="2:66" ht="12.95" customHeight="1">
      <c r="B532" s="1662"/>
      <c r="C532" s="1450"/>
      <c r="D532" s="1450"/>
      <c r="E532" s="1450"/>
      <c r="F532" s="1450"/>
      <c r="G532" s="1450"/>
      <c r="H532" s="1451"/>
      <c r="I532" t="s">
        <v>420</v>
      </c>
      <c r="AC532" s="1466">
        <v>1</v>
      </c>
      <c r="AD532" s="1467"/>
      <c r="AE532" s="1467"/>
      <c r="AF532" s="1467"/>
      <c r="AG532" s="13" t="s">
        <v>402</v>
      </c>
      <c r="AH532" s="1335">
        <v>2026</v>
      </c>
      <c r="AI532" s="1335"/>
      <c r="AJ532" s="1335"/>
      <c r="AK532" s="1336"/>
      <c r="AZ532" s="3"/>
      <c r="BA532" s="3"/>
      <c r="BB532" s="3"/>
      <c r="BC532" s="3"/>
      <c r="BD532" s="3"/>
      <c r="BE532" s="3"/>
      <c r="BF532" s="3"/>
      <c r="BG532" s="3"/>
      <c r="BH532" s="3"/>
      <c r="BI532" s="3"/>
      <c r="BJ532" s="3"/>
      <c r="BK532" s="3"/>
      <c r="BL532" s="3"/>
      <c r="BM532" s="3"/>
      <c r="BN532" s="3" t="s">
        <v>2063</v>
      </c>
    </row>
    <row r="533" spans="2:66" ht="12.95" customHeight="1">
      <c r="B533" s="1662"/>
      <c r="C533" s="1450"/>
      <c r="D533" s="1450"/>
      <c r="E533" s="1450"/>
      <c r="F533" s="1450"/>
      <c r="G533" s="1450"/>
      <c r="H533" s="1451"/>
      <c r="I533" s="48" t="s">
        <v>421</v>
      </c>
      <c r="J533" s="48"/>
      <c r="K533" s="48"/>
      <c r="L533" s="48"/>
      <c r="M533" s="48"/>
      <c r="N533" s="48"/>
      <c r="O533" s="48"/>
      <c r="P533" s="48"/>
      <c r="Q533" s="48"/>
      <c r="R533" s="48"/>
      <c r="S533" s="48"/>
      <c r="T533" s="48"/>
      <c r="U533" s="48"/>
      <c r="V533" s="48"/>
      <c r="W533" s="48"/>
      <c r="X533" s="48"/>
      <c r="Y533" s="48"/>
      <c r="Z533" s="48"/>
      <c r="AA533" s="48"/>
      <c r="AB533" s="48"/>
      <c r="AC533" s="1466">
        <v>5</v>
      </c>
      <c r="AD533" s="1467"/>
      <c r="AE533" s="1467"/>
      <c r="AF533" s="1467"/>
      <c r="AG533" s="38" t="s">
        <v>402</v>
      </c>
      <c r="AH533" s="1335">
        <v>2026</v>
      </c>
      <c r="AI533" s="1335"/>
      <c r="AJ533" s="1335"/>
      <c r="AK533" s="1336"/>
      <c r="AZ533" s="3"/>
      <c r="BA533" s="3"/>
      <c r="BB533" s="3"/>
      <c r="BC533" s="3"/>
      <c r="BD533" s="3"/>
      <c r="BE533" s="3"/>
      <c r="BF533" s="3"/>
      <c r="BG533" s="3"/>
      <c r="BH533" s="3"/>
      <c r="BI533" s="3"/>
      <c r="BJ533" s="3"/>
      <c r="BK533" s="3"/>
      <c r="BL533" s="3"/>
      <c r="BM533" s="3"/>
      <c r="BN533" s="3" t="s">
        <v>2064</v>
      </c>
    </row>
    <row r="534" spans="2:66" ht="12.95" customHeight="1">
      <c r="B534" s="1662"/>
      <c r="C534" s="1450"/>
      <c r="D534" s="1450"/>
      <c r="E534" s="1450"/>
      <c r="F534" s="1450"/>
      <c r="G534" s="1450"/>
      <c r="H534" s="1451"/>
      <c r="I534" s="42" t="s">
        <v>422</v>
      </c>
      <c r="J534" s="42"/>
      <c r="K534" s="42"/>
      <c r="L534" s="42"/>
      <c r="M534" s="42"/>
      <c r="N534" s="42"/>
      <c r="O534" s="1786" t="s">
        <v>2731</v>
      </c>
      <c r="P534" s="1730"/>
      <c r="Q534" s="1730"/>
      <c r="R534" s="1730"/>
      <c r="S534" s="1730"/>
      <c r="T534" s="1730"/>
      <c r="U534" s="1730"/>
      <c r="V534" s="1730"/>
      <c r="W534" s="1730"/>
      <c r="X534" s="1730"/>
      <c r="Y534" s="1730"/>
      <c r="Z534" s="1730"/>
      <c r="AA534" s="1730"/>
      <c r="AC534" s="1466" t="s">
        <v>589</v>
      </c>
      <c r="AD534" s="1467"/>
      <c r="AE534" s="1467"/>
      <c r="AF534" s="1467"/>
      <c r="AG534" s="13" t="s">
        <v>402</v>
      </c>
      <c r="AH534" s="1335"/>
      <c r="AI534" s="1335"/>
      <c r="AJ534" s="1335"/>
      <c r="AK534" s="1336"/>
      <c r="AZ534" s="3"/>
      <c r="BA534" s="3"/>
      <c r="BB534" s="3"/>
      <c r="BC534" s="3"/>
      <c r="BD534" s="3"/>
      <c r="BE534" s="3"/>
      <c r="BF534" s="3"/>
      <c r="BG534" s="3"/>
      <c r="BH534" s="3"/>
      <c r="BI534" s="3"/>
      <c r="BJ534" s="3"/>
      <c r="BK534" s="3"/>
      <c r="BL534" s="3"/>
      <c r="BM534" s="3"/>
      <c r="BN534" s="3" t="s">
        <v>2065</v>
      </c>
    </row>
    <row r="535" spans="2:66" ht="12.95" customHeight="1">
      <c r="B535" s="1662"/>
      <c r="C535" s="1450"/>
      <c r="D535" s="1450"/>
      <c r="E535" s="1450"/>
      <c r="F535" s="1450"/>
      <c r="G535" s="1450"/>
      <c r="H535" s="1451"/>
      <c r="I535" t="s">
        <v>420</v>
      </c>
      <c r="AC535" s="1466">
        <v>1</v>
      </c>
      <c r="AD535" s="1467"/>
      <c r="AE535" s="1467"/>
      <c r="AF535" s="1467"/>
      <c r="AG535" s="13" t="s">
        <v>402</v>
      </c>
      <c r="AH535" s="1335">
        <v>2026</v>
      </c>
      <c r="AI535" s="1335"/>
      <c r="AJ535" s="1335"/>
      <c r="AK535" s="1336"/>
      <c r="AZ535" s="3"/>
      <c r="BA535" s="3"/>
      <c r="BB535" s="3"/>
      <c r="BC535" s="3"/>
      <c r="BD535" s="3"/>
      <c r="BE535" s="3"/>
      <c r="BF535" s="3"/>
      <c r="BG535" s="3"/>
      <c r="BH535" s="3"/>
      <c r="BI535" s="3"/>
      <c r="BJ535" s="3"/>
      <c r="BK535" s="3"/>
      <c r="BL535" s="3"/>
      <c r="BM535" s="3"/>
      <c r="BN535" s="3" t="s">
        <v>2066</v>
      </c>
    </row>
    <row r="536" spans="2:66" ht="12.95" customHeight="1">
      <c r="B536" s="1662"/>
      <c r="C536" s="1450"/>
      <c r="D536" s="1450"/>
      <c r="E536" s="1450"/>
      <c r="F536" s="1450"/>
      <c r="G536" s="1450"/>
      <c r="H536" s="1451"/>
      <c r="I536" s="48" t="s">
        <v>421</v>
      </c>
      <c r="J536" s="48"/>
      <c r="K536" s="48"/>
      <c r="L536" s="48"/>
      <c r="M536" s="48"/>
      <c r="N536" s="48"/>
      <c r="O536" s="48"/>
      <c r="P536" s="48"/>
      <c r="Q536" s="48"/>
      <c r="R536" s="48"/>
      <c r="S536" s="48"/>
      <c r="T536" s="48"/>
      <c r="U536" s="48"/>
      <c r="V536" s="48"/>
      <c r="W536" s="48"/>
      <c r="X536" s="48"/>
      <c r="Y536" s="48"/>
      <c r="Z536" s="48"/>
      <c r="AA536" s="48"/>
      <c r="AB536" s="48"/>
      <c r="AC536" s="1466">
        <v>5</v>
      </c>
      <c r="AD536" s="1467"/>
      <c r="AE536" s="1467"/>
      <c r="AF536" s="1467"/>
      <c r="AG536" s="38" t="s">
        <v>402</v>
      </c>
      <c r="AH536" s="1335">
        <v>2026</v>
      </c>
      <c r="AI536" s="1335"/>
      <c r="AJ536" s="1335"/>
      <c r="AK536" s="1336"/>
      <c r="AZ536" s="3"/>
      <c r="BA536" s="3"/>
      <c r="BB536" s="3"/>
      <c r="BC536" s="3"/>
      <c r="BD536" s="3"/>
      <c r="BE536" s="3"/>
      <c r="BF536" s="3"/>
      <c r="BG536" s="3"/>
      <c r="BH536" s="3"/>
      <c r="BI536" s="3"/>
      <c r="BJ536" s="3"/>
      <c r="BK536" s="3"/>
      <c r="BL536" s="3"/>
      <c r="BM536" s="3"/>
      <c r="BN536" s="3" t="s">
        <v>2067</v>
      </c>
    </row>
    <row r="537" spans="2:66" ht="12.95" customHeight="1">
      <c r="B537" s="1662"/>
      <c r="C537" s="1450"/>
      <c r="D537" s="1450"/>
      <c r="E537" s="1450"/>
      <c r="F537" s="1450"/>
      <c r="G537" s="1450"/>
      <c r="H537" s="1451"/>
      <c r="I537" s="42" t="s">
        <v>422</v>
      </c>
      <c r="J537" s="42"/>
      <c r="K537" s="42"/>
      <c r="L537" s="42"/>
      <c r="M537" s="42"/>
      <c r="N537" s="42"/>
      <c r="O537" s="1786" t="s">
        <v>333</v>
      </c>
      <c r="P537" s="1730"/>
      <c r="Q537" s="1730"/>
      <c r="R537" s="1730"/>
      <c r="S537" s="1730"/>
      <c r="T537" s="1730"/>
      <c r="U537" s="1730"/>
      <c r="V537" s="1730"/>
      <c r="W537" s="1730"/>
      <c r="X537" s="1730"/>
      <c r="Y537" s="1730"/>
      <c r="Z537" s="1730"/>
      <c r="AA537" s="1730"/>
      <c r="AC537" s="1466" t="s">
        <v>589</v>
      </c>
      <c r="AD537" s="1467"/>
      <c r="AE537" s="1467"/>
      <c r="AF537" s="1467"/>
      <c r="AG537" s="13" t="s">
        <v>402</v>
      </c>
      <c r="AH537" s="1335"/>
      <c r="AI537" s="1335"/>
      <c r="AJ537" s="1335"/>
      <c r="AK537" s="1336"/>
      <c r="AZ537" s="3"/>
      <c r="BA537" s="3"/>
      <c r="BB537" s="3"/>
      <c r="BC537" s="3"/>
      <c r="BD537" s="3"/>
      <c r="BE537" s="3"/>
      <c r="BF537" s="3"/>
      <c r="BG537" s="3"/>
      <c r="BH537" s="3"/>
      <c r="BI537" s="3"/>
      <c r="BJ537" s="3"/>
      <c r="BK537" s="3"/>
      <c r="BL537" s="3"/>
      <c r="BM537" s="3"/>
      <c r="BN537" s="3" t="s">
        <v>2068</v>
      </c>
    </row>
    <row r="538" spans="2:66" ht="12.95" customHeight="1">
      <c r="B538" s="1662"/>
      <c r="C538" s="1450"/>
      <c r="D538" s="1450"/>
      <c r="E538" s="1450"/>
      <c r="F538" s="1450"/>
      <c r="G538" s="1450"/>
      <c r="H538" s="1451"/>
      <c r="I538" t="s">
        <v>420</v>
      </c>
      <c r="AC538" s="1466" t="s">
        <v>589</v>
      </c>
      <c r="AD538" s="1467"/>
      <c r="AE538" s="1467"/>
      <c r="AF538" s="1467"/>
      <c r="AG538" s="13" t="s">
        <v>402</v>
      </c>
      <c r="AH538" s="1335"/>
      <c r="AI538" s="1335"/>
      <c r="AJ538" s="1335"/>
      <c r="AK538" s="1336"/>
      <c r="AZ538" s="3"/>
      <c r="BA538" s="3"/>
      <c r="BB538" s="3"/>
      <c r="BC538" s="3"/>
      <c r="BD538" s="3"/>
      <c r="BE538" s="3"/>
      <c r="BF538" s="3"/>
      <c r="BG538" s="3"/>
      <c r="BH538" s="3"/>
      <c r="BI538" s="3"/>
      <c r="BJ538" s="3"/>
      <c r="BK538" s="3"/>
      <c r="BL538" s="3"/>
      <c r="BM538" s="3"/>
      <c r="BN538" s="3" t="s">
        <v>2069</v>
      </c>
    </row>
    <row r="539" spans="2:66" ht="12.95" customHeight="1">
      <c r="B539" s="1662"/>
      <c r="C539" s="1450"/>
      <c r="D539" s="1450"/>
      <c r="E539" s="1450"/>
      <c r="F539" s="1450"/>
      <c r="G539" s="1450"/>
      <c r="H539" s="1451"/>
      <c r="I539" s="48" t="s">
        <v>421</v>
      </c>
      <c r="J539" s="48"/>
      <c r="K539" s="48"/>
      <c r="L539" s="48"/>
      <c r="M539" s="48"/>
      <c r="N539" s="48"/>
      <c r="O539" s="48"/>
      <c r="P539" s="48"/>
      <c r="Q539" s="48"/>
      <c r="R539" s="48"/>
      <c r="S539" s="48"/>
      <c r="T539" s="48"/>
      <c r="U539" s="48"/>
      <c r="V539" s="48"/>
      <c r="W539" s="48"/>
      <c r="X539" s="48"/>
      <c r="Y539" s="48"/>
      <c r="Z539" s="48"/>
      <c r="AA539" s="48"/>
      <c r="AB539" s="48"/>
      <c r="AC539" s="1466" t="s">
        <v>589</v>
      </c>
      <c r="AD539" s="1467"/>
      <c r="AE539" s="1467"/>
      <c r="AF539" s="1467"/>
      <c r="AG539" s="38" t="s">
        <v>402</v>
      </c>
      <c r="AH539" s="1335"/>
      <c r="AI539" s="1335"/>
      <c r="AJ539" s="1335"/>
      <c r="AK539" s="1336"/>
      <c r="AZ539" s="3"/>
      <c r="BA539" s="3"/>
      <c r="BB539" s="3"/>
      <c r="BC539" s="3"/>
      <c r="BD539" s="3"/>
      <c r="BE539" s="3"/>
      <c r="BF539" s="3"/>
      <c r="BG539" s="3"/>
      <c r="BH539" s="3"/>
      <c r="BI539" s="3"/>
      <c r="BJ539" s="3"/>
      <c r="BK539" s="3"/>
      <c r="BL539" s="3"/>
      <c r="BM539" s="3"/>
      <c r="BN539" s="3" t="s">
        <v>2070</v>
      </c>
    </row>
    <row r="540" spans="2:66" ht="12.95" customHeight="1">
      <c r="B540" s="1662"/>
      <c r="C540" s="1450"/>
      <c r="D540" s="1450"/>
      <c r="E540" s="1450"/>
      <c r="F540" s="1450"/>
      <c r="G540" s="1450"/>
      <c r="H540" s="1451"/>
      <c r="I540" s="42" t="s">
        <v>422</v>
      </c>
      <c r="J540" s="42"/>
      <c r="K540" s="42"/>
      <c r="L540" s="42"/>
      <c r="M540" s="42"/>
      <c r="N540" s="42"/>
      <c r="O540" s="1786" t="s">
        <v>333</v>
      </c>
      <c r="P540" s="1730"/>
      <c r="Q540" s="1730"/>
      <c r="R540" s="1730"/>
      <c r="S540" s="1730"/>
      <c r="T540" s="1730"/>
      <c r="U540" s="1730"/>
      <c r="V540" s="1730"/>
      <c r="W540" s="1730"/>
      <c r="X540" s="1730"/>
      <c r="Y540" s="1730"/>
      <c r="Z540" s="1730"/>
      <c r="AA540" s="1730"/>
      <c r="AC540" s="1466" t="s">
        <v>589</v>
      </c>
      <c r="AD540" s="1467"/>
      <c r="AE540" s="1467"/>
      <c r="AF540" s="1467"/>
      <c r="AG540" s="13" t="s">
        <v>402</v>
      </c>
      <c r="AH540" s="1335"/>
      <c r="AI540" s="1335"/>
      <c r="AJ540" s="1335"/>
      <c r="AK540" s="1336"/>
      <c r="AZ540" s="3"/>
      <c r="BA540" s="3"/>
      <c r="BB540" s="3"/>
      <c r="BC540" s="3"/>
      <c r="BD540" s="3"/>
      <c r="BE540" s="3"/>
      <c r="BF540" s="3"/>
      <c r="BG540" s="3"/>
      <c r="BH540" s="3"/>
      <c r="BI540" s="3"/>
      <c r="BJ540" s="3"/>
      <c r="BK540" s="3"/>
      <c r="BL540" s="3"/>
      <c r="BM540" s="3"/>
      <c r="BN540" s="3" t="s">
        <v>2071</v>
      </c>
    </row>
    <row r="541" spans="2:66" ht="12.95" customHeight="1">
      <c r="B541" s="1662"/>
      <c r="C541" s="1450"/>
      <c r="D541" s="1450"/>
      <c r="E541" s="1450"/>
      <c r="F541" s="1450"/>
      <c r="G541" s="1450"/>
      <c r="H541" s="1451"/>
      <c r="I541" t="s">
        <v>420</v>
      </c>
      <c r="AC541" s="1466" t="s">
        <v>589</v>
      </c>
      <c r="AD541" s="1467"/>
      <c r="AE541" s="1467"/>
      <c r="AF541" s="1467"/>
      <c r="AG541" s="38" t="s">
        <v>402</v>
      </c>
      <c r="AH541" s="1335"/>
      <c r="AI541" s="1335"/>
      <c r="AJ541" s="1335"/>
      <c r="AK541" s="1336"/>
      <c r="AZ541" s="3"/>
      <c r="BA541" s="3"/>
      <c r="BB541" s="3"/>
      <c r="BC541" s="3"/>
      <c r="BD541" s="3"/>
      <c r="BE541" s="3"/>
      <c r="BF541" s="3"/>
      <c r="BG541" s="3"/>
      <c r="BH541" s="3"/>
      <c r="BI541" s="3"/>
      <c r="BJ541" s="3"/>
      <c r="BK541" s="3"/>
      <c r="BL541" s="3"/>
      <c r="BM541" s="3"/>
      <c r="BN541" s="3" t="s">
        <v>2072</v>
      </c>
    </row>
    <row r="542" spans="2:66" ht="12.95" customHeight="1">
      <c r="B542" s="1662"/>
      <c r="C542" s="1450"/>
      <c r="D542" s="1450"/>
      <c r="E542" s="1450"/>
      <c r="F542" s="1450"/>
      <c r="G542" s="1450"/>
      <c r="H542" s="1451"/>
      <c r="I542" s="48" t="s">
        <v>421</v>
      </c>
      <c r="J542" s="48"/>
      <c r="K542" s="48"/>
      <c r="L542" s="48"/>
      <c r="M542" s="48"/>
      <c r="N542" s="48"/>
      <c r="O542" s="48"/>
      <c r="P542" s="48"/>
      <c r="Q542" s="48"/>
      <c r="R542" s="48"/>
      <c r="S542" s="48"/>
      <c r="T542" s="48"/>
      <c r="U542" s="48"/>
      <c r="V542" s="48"/>
      <c r="W542" s="48"/>
      <c r="X542" s="48"/>
      <c r="Y542" s="48"/>
      <c r="Z542" s="48"/>
      <c r="AA542" s="48"/>
      <c r="AB542" s="48"/>
      <c r="AC542" s="1466" t="s">
        <v>589</v>
      </c>
      <c r="AD542" s="1467"/>
      <c r="AE542" s="1467"/>
      <c r="AF542" s="1467"/>
      <c r="AG542" s="13" t="s">
        <v>402</v>
      </c>
      <c r="AH542" s="1335"/>
      <c r="AI542" s="1335"/>
      <c r="AJ542" s="1335"/>
      <c r="AK542" s="1336"/>
      <c r="AZ542" s="3"/>
      <c r="BA542" s="3"/>
      <c r="BB542" s="3"/>
      <c r="BC542" s="3"/>
      <c r="BD542" s="3"/>
      <c r="BE542" s="3"/>
      <c r="BF542" s="3"/>
      <c r="BG542" s="3"/>
      <c r="BH542" s="3"/>
      <c r="BI542" s="3"/>
      <c r="BJ542" s="3"/>
      <c r="BK542" s="3"/>
      <c r="BL542" s="3"/>
      <c r="BM542" s="3"/>
      <c r="BN542" s="3" t="s">
        <v>2073</v>
      </c>
    </row>
    <row r="543" spans="2:66" ht="12.95" customHeight="1">
      <c r="B543" s="1662"/>
      <c r="C543" s="1450"/>
      <c r="D543" s="1450"/>
      <c r="E543" s="1450"/>
      <c r="F543" s="1450"/>
      <c r="G543" s="1450"/>
      <c r="H543" s="1451"/>
      <c r="I543" s="42" t="s">
        <v>422</v>
      </c>
      <c r="J543" s="42"/>
      <c r="K543" s="42"/>
      <c r="L543" s="42"/>
      <c r="M543" s="42"/>
      <c r="N543" s="42"/>
      <c r="O543" s="1786" t="s">
        <v>333</v>
      </c>
      <c r="P543" s="1730"/>
      <c r="Q543" s="1730"/>
      <c r="R543" s="1730"/>
      <c r="S543" s="1730"/>
      <c r="T543" s="1730"/>
      <c r="U543" s="1730"/>
      <c r="V543" s="1730"/>
      <c r="W543" s="1730"/>
      <c r="X543" s="1730"/>
      <c r="Y543" s="1730"/>
      <c r="Z543" s="1730"/>
      <c r="AA543" s="1730"/>
      <c r="AC543" s="1466" t="s">
        <v>589</v>
      </c>
      <c r="AD543" s="1467"/>
      <c r="AE543" s="1467"/>
      <c r="AF543" s="1467"/>
      <c r="AG543" s="38" t="s">
        <v>402</v>
      </c>
      <c r="AH543" s="1335"/>
      <c r="AI543" s="1335"/>
      <c r="AJ543" s="1335"/>
      <c r="AK543" s="1336"/>
      <c r="AZ543" s="3"/>
      <c r="BA543" s="3"/>
      <c r="BB543" s="3"/>
      <c r="BC543" s="3"/>
      <c r="BD543" s="3"/>
      <c r="BE543" s="3"/>
      <c r="BF543" s="3"/>
      <c r="BG543" s="3"/>
      <c r="BH543" s="3"/>
      <c r="BI543" s="3"/>
      <c r="BJ543" s="3"/>
      <c r="BK543" s="3"/>
      <c r="BL543" s="3"/>
      <c r="BM543" s="3"/>
      <c r="BN543" s="3" t="s">
        <v>2074</v>
      </c>
    </row>
    <row r="544" spans="2:66" ht="12.95" customHeight="1">
      <c r="B544" s="1662"/>
      <c r="C544" s="1450"/>
      <c r="D544" s="1450"/>
      <c r="E544" s="1450"/>
      <c r="F544" s="1450"/>
      <c r="G544" s="1450"/>
      <c r="H544" s="1451"/>
      <c r="I544" t="s">
        <v>420</v>
      </c>
      <c r="AC544" s="1466" t="s">
        <v>589</v>
      </c>
      <c r="AD544" s="1467"/>
      <c r="AE544" s="1467"/>
      <c r="AF544" s="1467"/>
      <c r="AG544" s="13" t="s">
        <v>402</v>
      </c>
      <c r="AH544" s="1335"/>
      <c r="AI544" s="1335"/>
      <c r="AJ544" s="1335"/>
      <c r="AK544" s="1336"/>
      <c r="AZ544" s="3"/>
      <c r="BA544" s="3"/>
      <c r="BB544" s="3"/>
      <c r="BC544" s="3"/>
      <c r="BD544" s="3"/>
      <c r="BE544" s="3"/>
      <c r="BF544" s="3"/>
      <c r="BG544" s="3"/>
      <c r="BH544" s="3"/>
      <c r="BI544" s="3"/>
      <c r="BJ544" s="3"/>
      <c r="BK544" s="3"/>
      <c r="BL544" s="3"/>
      <c r="BM544" s="3"/>
      <c r="BN544" s="3" t="s">
        <v>2075</v>
      </c>
    </row>
    <row r="545" spans="1:66" ht="12.95" customHeight="1">
      <c r="B545" s="1662"/>
      <c r="C545" s="1450"/>
      <c r="D545" s="1450"/>
      <c r="E545" s="1450"/>
      <c r="F545" s="1450"/>
      <c r="G545" s="1450"/>
      <c r="H545" s="1451"/>
      <c r="I545" s="48" t="s">
        <v>421</v>
      </c>
      <c r="J545" s="48"/>
      <c r="K545" s="48"/>
      <c r="L545" s="48"/>
      <c r="M545" s="48"/>
      <c r="N545" s="48"/>
      <c r="O545" s="48"/>
      <c r="P545" s="48"/>
      <c r="Q545" s="48"/>
      <c r="R545" s="48"/>
      <c r="S545" s="48"/>
      <c r="T545" s="48"/>
      <c r="U545" s="48"/>
      <c r="V545" s="48"/>
      <c r="W545" s="48"/>
      <c r="X545" s="48"/>
      <c r="Y545" s="48"/>
      <c r="Z545" s="48"/>
      <c r="AA545" s="48"/>
      <c r="AB545" s="48"/>
      <c r="AC545" s="1466" t="s">
        <v>589</v>
      </c>
      <c r="AD545" s="1467"/>
      <c r="AE545" s="1467"/>
      <c r="AF545" s="1467"/>
      <c r="AG545" s="38" t="s">
        <v>402</v>
      </c>
      <c r="AH545" s="1335"/>
      <c r="AI545" s="1335"/>
      <c r="AJ545" s="1335"/>
      <c r="AK545" s="1336"/>
      <c r="AZ545" s="3"/>
      <c r="BA545" s="3"/>
      <c r="BB545" s="3"/>
      <c r="BC545" s="3"/>
      <c r="BD545" s="3"/>
      <c r="BE545" s="3"/>
      <c r="BF545" s="3"/>
      <c r="BG545" s="3"/>
      <c r="BH545" s="3"/>
      <c r="BI545" s="3"/>
      <c r="BJ545" s="3"/>
      <c r="BK545" s="3"/>
      <c r="BL545" s="3"/>
      <c r="BM545" s="3"/>
      <c r="BN545" s="3" t="s">
        <v>2076</v>
      </c>
    </row>
    <row r="546" spans="1:66" ht="12.95" customHeight="1">
      <c r="B546" s="1662"/>
      <c r="C546" s="1450"/>
      <c r="D546" s="1450"/>
      <c r="E546" s="1450"/>
      <c r="F546" s="1450"/>
      <c r="G546" s="1450"/>
      <c r="H546" s="1451"/>
      <c r="I546" s="42" t="s">
        <v>560</v>
      </c>
      <c r="J546" s="42"/>
      <c r="K546" s="42"/>
      <c r="L546" s="42"/>
      <c r="M546" s="42"/>
      <c r="N546" s="42"/>
      <c r="O546" s="42"/>
      <c r="P546" s="42"/>
      <c r="Q546" s="42"/>
      <c r="R546" s="42"/>
      <c r="S546" s="42"/>
      <c r="T546" s="42"/>
      <c r="U546" s="42"/>
      <c r="V546" s="42"/>
      <c r="W546" s="42"/>
      <c r="AC546" s="1466">
        <v>12</v>
      </c>
      <c r="AD546" s="1467"/>
      <c r="AE546" s="1467"/>
      <c r="AF546" s="1467"/>
      <c r="AG546" s="38" t="s">
        <v>402</v>
      </c>
      <c r="AH546" s="1335">
        <v>2027</v>
      </c>
      <c r="AI546" s="1335"/>
      <c r="AJ546" s="1335"/>
      <c r="AK546" s="1336"/>
      <c r="AZ546" s="3"/>
      <c r="BA546" s="3"/>
      <c r="BB546" s="3"/>
      <c r="BC546" s="3"/>
      <c r="BD546" s="3"/>
      <c r="BE546" s="3"/>
      <c r="BF546" s="3"/>
      <c r="BG546" s="3"/>
      <c r="BH546" s="3"/>
      <c r="BI546" s="3"/>
      <c r="BJ546" s="3"/>
      <c r="BK546" s="3"/>
      <c r="BL546" s="3"/>
      <c r="BM546" s="3"/>
      <c r="BN546" s="3"/>
    </row>
    <row r="547" spans="1:66" ht="12.95" customHeight="1">
      <c r="B547" s="1662"/>
      <c r="C547" s="1450"/>
      <c r="D547" s="1450"/>
      <c r="E547" s="1450"/>
      <c r="F547" s="1450"/>
      <c r="G547" s="1450"/>
      <c r="H547" s="1451"/>
      <c r="I547" t="s">
        <v>561</v>
      </c>
      <c r="AC547" s="1466">
        <v>5</v>
      </c>
      <c r="AD547" s="1467"/>
      <c r="AE547" s="1467"/>
      <c r="AF547" s="1467"/>
      <c r="AG547" s="13" t="s">
        <v>402</v>
      </c>
      <c r="AH547" s="1335">
        <v>2027</v>
      </c>
      <c r="AI547" s="1335"/>
      <c r="AJ547" s="1335"/>
      <c r="AK547" s="1336"/>
      <c r="AZ547" s="3"/>
      <c r="BA547" s="3"/>
      <c r="BB547" s="3"/>
      <c r="BC547" s="3"/>
      <c r="BD547" s="3"/>
      <c r="BE547" s="3"/>
      <c r="BF547" s="3"/>
      <c r="BG547" s="3"/>
      <c r="BH547" s="3"/>
      <c r="BI547" s="3"/>
      <c r="BJ547" s="3"/>
      <c r="BK547" s="3"/>
      <c r="BL547" s="3"/>
      <c r="BM547" s="3"/>
      <c r="BN547" s="3"/>
    </row>
    <row r="548" spans="1:66" ht="12.95" customHeight="1">
      <c r="B548" s="1662"/>
      <c r="C548" s="1450"/>
      <c r="D548" s="1450"/>
      <c r="E548" s="1450"/>
      <c r="F548" s="1450"/>
      <c r="G548" s="1450"/>
      <c r="H548" s="1451"/>
      <c r="I548" t="s">
        <v>562</v>
      </c>
      <c r="AC548" s="1466">
        <v>11</v>
      </c>
      <c r="AD548" s="1467"/>
      <c r="AE548" s="1467"/>
      <c r="AF548" s="1467"/>
      <c r="AG548" s="38" t="s">
        <v>402</v>
      </c>
      <c r="AH548" s="1335">
        <v>2029</v>
      </c>
      <c r="AI548" s="1335"/>
      <c r="AJ548" s="1335"/>
      <c r="AK548" s="1336"/>
      <c r="AZ548" s="3"/>
      <c r="BA548" s="3"/>
      <c r="BB548" s="3"/>
      <c r="BC548" s="3"/>
      <c r="BD548" s="3"/>
      <c r="BE548" s="3"/>
      <c r="BF548" s="3"/>
      <c r="BG548" s="3"/>
      <c r="BH548" s="3"/>
      <c r="BI548" s="3"/>
      <c r="BJ548" s="3"/>
      <c r="BK548" s="3"/>
      <c r="BL548" s="3"/>
      <c r="BM548" s="3"/>
      <c r="BN548" s="3"/>
    </row>
    <row r="549" spans="1:66" ht="12.95" customHeight="1">
      <c r="B549" s="1662"/>
      <c r="C549" s="1450"/>
      <c r="D549" s="1450"/>
      <c r="E549" s="1450"/>
      <c r="F549" s="1450"/>
      <c r="G549" s="1450"/>
      <c r="H549" s="1451"/>
      <c r="I549" t="s">
        <v>563</v>
      </c>
      <c r="AC549" s="1466">
        <v>11</v>
      </c>
      <c r="AD549" s="1467"/>
      <c r="AE549" s="1467"/>
      <c r="AF549" s="1467"/>
      <c r="AG549" s="38" t="s">
        <v>402</v>
      </c>
      <c r="AH549" s="1335">
        <v>2029</v>
      </c>
      <c r="AI549" s="1335"/>
      <c r="AJ549" s="1335"/>
      <c r="AK549" s="1336"/>
      <c r="AZ549" s="3"/>
      <c r="BA549" s="3"/>
      <c r="BB549" s="3"/>
      <c r="BC549" s="3"/>
      <c r="BD549" s="3"/>
      <c r="BE549" s="3"/>
      <c r="BF549" s="3"/>
      <c r="BG549" s="3"/>
      <c r="BH549" s="3"/>
      <c r="BI549" s="3"/>
      <c r="BJ549" s="3"/>
      <c r="BK549" s="3"/>
      <c r="BL549" s="3"/>
      <c r="BM549" s="3"/>
      <c r="BN549" s="3"/>
    </row>
    <row r="550" spans="1:66" ht="12.95" customHeight="1">
      <c r="B550" s="1663"/>
      <c r="C550" s="1452"/>
      <c r="D550" s="1452"/>
      <c r="E550" s="1452"/>
      <c r="F550" s="1452"/>
      <c r="G550" s="1452"/>
      <c r="H550" s="1453"/>
      <c r="I550" s="48" t="s">
        <v>449</v>
      </c>
      <c r="J550" s="48"/>
      <c r="K550" s="48"/>
      <c r="L550" s="48"/>
      <c r="M550" s="48"/>
      <c r="N550" s="48"/>
      <c r="O550" s="48"/>
      <c r="P550" s="48"/>
      <c r="Q550" s="48"/>
      <c r="R550" s="48"/>
      <c r="S550" s="48"/>
      <c r="T550" s="48"/>
      <c r="U550" s="48"/>
      <c r="V550" s="48"/>
      <c r="W550" s="48"/>
      <c r="X550" s="48"/>
      <c r="Y550" s="48"/>
      <c r="Z550" s="48"/>
      <c r="AA550" s="48"/>
      <c r="AB550" s="48"/>
      <c r="AC550" s="1466">
        <v>3</v>
      </c>
      <c r="AD550" s="1467"/>
      <c r="AE550" s="1467"/>
      <c r="AF550" s="1467"/>
      <c r="AG550" s="38" t="s">
        <v>402</v>
      </c>
      <c r="AH550" s="1335">
        <v>2030</v>
      </c>
      <c r="AI550" s="1335"/>
      <c r="AJ550" s="1335"/>
      <c r="AK550" s="1336"/>
      <c r="BB550" s="3"/>
      <c r="BC550" s="3"/>
      <c r="BD550" s="3"/>
      <c r="BE550" s="3"/>
      <c r="BF550" s="3"/>
      <c r="BG550" s="3"/>
      <c r="BH550" s="3" t="s">
        <v>112</v>
      </c>
      <c r="BI550" s="3" t="str">
        <f>N657</f>
        <v>Yes</v>
      </c>
      <c r="BJ550" s="3"/>
      <c r="BK550" s="3"/>
      <c r="BL550" s="3"/>
      <c r="BM550" s="3"/>
      <c r="BN550" s="3"/>
    </row>
    <row r="551" spans="1:66" ht="12.95"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2.95" customHeight="1">
      <c r="A552" s="1427" t="s">
        <v>541</v>
      </c>
      <c r="B552" s="1427"/>
      <c r="C552" s="1427"/>
      <c r="D552" s="1427"/>
      <c r="E552" s="1427"/>
      <c r="F552" s="1427"/>
      <c r="G552" s="1427"/>
      <c r="H552" s="1427"/>
      <c r="I552" s="1427"/>
      <c r="J552" s="1427"/>
      <c r="K552" s="1427"/>
      <c r="L552" s="1427"/>
      <c r="M552" s="1427"/>
      <c r="N552" s="1427"/>
      <c r="O552" s="1427"/>
      <c r="P552" s="1427"/>
      <c r="Q552" s="1427"/>
      <c r="R552" s="1427"/>
      <c r="S552" s="1427"/>
      <c r="T552" s="1427"/>
      <c r="U552" s="1427"/>
      <c r="V552" s="1427"/>
      <c r="W552" s="1427"/>
      <c r="X552" s="1427"/>
      <c r="Y552" s="1427"/>
      <c r="Z552" s="1427"/>
      <c r="AA552" s="1427"/>
      <c r="AB552" s="1427"/>
      <c r="AC552" s="1427"/>
      <c r="AD552" s="1427"/>
      <c r="AE552" s="1427"/>
      <c r="AF552" s="1427"/>
      <c r="AG552" s="1427"/>
      <c r="AH552" s="1427"/>
      <c r="AI552" s="1427"/>
      <c r="AJ552" s="1427"/>
      <c r="AK552" s="1427"/>
      <c r="AL552" s="1427"/>
      <c r="AM552" s="1427"/>
      <c r="AN552" s="1427"/>
      <c r="AO552" s="1427"/>
      <c r="AP552" s="1427"/>
      <c r="AQ552" s="1427"/>
      <c r="AR552" s="1427"/>
      <c r="AS552" s="1427"/>
      <c r="AT552" s="1427"/>
      <c r="AU552" s="890"/>
      <c r="AV552" s="890"/>
      <c r="AW552" s="890"/>
      <c r="AX552" s="890"/>
      <c r="AY552" s="890"/>
      <c r="BB552" s="3"/>
      <c r="BC552" s="3"/>
      <c r="BD552" s="3"/>
      <c r="BE552" s="3"/>
      <c r="BF552" s="3"/>
      <c r="BG552" s="3"/>
      <c r="BH552" s="3"/>
      <c r="BI552" s="3"/>
      <c r="BJ552" s="3"/>
      <c r="BK552" s="3"/>
      <c r="BL552" s="3"/>
      <c r="BM552" s="3"/>
      <c r="BN552" s="3"/>
    </row>
    <row r="553" spans="1:66" ht="12.95" customHeight="1">
      <c r="A553" s="1427"/>
      <c r="B553" s="1427"/>
      <c r="C553" s="1427"/>
      <c r="D553" s="1427"/>
      <c r="E553" s="1427"/>
      <c r="F553" s="1427"/>
      <c r="G553" s="1427"/>
      <c r="H553" s="1427"/>
      <c r="I553" s="1427"/>
      <c r="J553" s="1427"/>
      <c r="K553" s="1427"/>
      <c r="L553" s="1427"/>
      <c r="M553" s="1427"/>
      <c r="N553" s="1427"/>
      <c r="O553" s="1427"/>
      <c r="P553" s="1427"/>
      <c r="Q553" s="1427"/>
      <c r="R553" s="1427"/>
      <c r="S553" s="1427"/>
      <c r="T553" s="1427"/>
      <c r="U553" s="1427"/>
      <c r="V553" s="1427"/>
      <c r="W553" s="1427"/>
      <c r="X553" s="1427"/>
      <c r="Y553" s="1427"/>
      <c r="Z553" s="1427"/>
      <c r="AA553" s="1427"/>
      <c r="AB553" s="1427"/>
      <c r="AC553" s="1427"/>
      <c r="AD553" s="1427"/>
      <c r="AE553" s="1427"/>
      <c r="AF553" s="1427"/>
      <c r="AG553" s="1427"/>
      <c r="AH553" s="1427"/>
      <c r="AI553" s="1427"/>
      <c r="AJ553" s="1427"/>
      <c r="AK553" s="1427"/>
      <c r="AL553" s="1427"/>
      <c r="AM553" s="1427"/>
      <c r="AN553" s="1427"/>
      <c r="AO553" s="1427"/>
      <c r="AP553" s="1427"/>
      <c r="AQ553" s="1427"/>
      <c r="AR553" s="1427"/>
      <c r="AS553" s="1427"/>
      <c r="AT553" s="1427"/>
      <c r="BB553" s="3"/>
      <c r="BC553" s="3"/>
      <c r="BD553" s="3"/>
      <c r="BE553" s="3"/>
      <c r="BF553" s="3"/>
      <c r="BG553" s="3"/>
      <c r="BH553" s="3"/>
      <c r="BI553" s="3"/>
    </row>
    <row r="554" spans="1:66" ht="12.95" customHeight="1">
      <c r="BB554" s="3"/>
      <c r="BC554" s="3"/>
      <c r="BD554" s="3"/>
      <c r="BE554" s="3"/>
      <c r="BF554" s="3"/>
      <c r="BG554" s="3"/>
      <c r="BH554" s="3"/>
      <c r="BI554" s="3"/>
    </row>
    <row r="555" spans="1:66" ht="12.95" customHeight="1">
      <c r="A555" s="2" t="s">
        <v>318</v>
      </c>
      <c r="B555" s="2"/>
      <c r="C555" s="2" t="s">
        <v>450</v>
      </c>
      <c r="BB555" s="3"/>
      <c r="BC555" s="3"/>
      <c r="BD555" s="3"/>
      <c r="BE555" s="3"/>
      <c r="BF555" s="3"/>
      <c r="BG555" s="3"/>
      <c r="BH555" s="3"/>
      <c r="BI555" s="3"/>
    </row>
    <row r="556" spans="1:66" ht="12.95" customHeight="1">
      <c r="A556" s="2"/>
      <c r="B556" s="2"/>
      <c r="C556" s="2"/>
      <c r="BB556" s="3"/>
      <c r="BC556" s="3"/>
      <c r="BD556" s="3"/>
      <c r="BE556" s="3"/>
      <c r="BF556" s="3"/>
      <c r="BG556" s="3"/>
      <c r="BH556" s="3"/>
      <c r="BI556" s="3"/>
    </row>
    <row r="557" spans="1:66" ht="12.95" customHeight="1">
      <c r="A557" s="2"/>
      <c r="B557" s="2"/>
      <c r="C557" s="2"/>
      <c r="D557" s="2" t="s">
        <v>2048</v>
      </c>
      <c r="AC557" s="98"/>
      <c r="BB557" s="3"/>
      <c r="BC557" s="3"/>
      <c r="BD557" s="3"/>
      <c r="BE557" s="3"/>
      <c r="BF557" s="3"/>
      <c r="BG557" s="3"/>
      <c r="BH557" s="3"/>
      <c r="BI557" s="3"/>
    </row>
    <row r="558" spans="1:66" ht="12.95" customHeight="1">
      <c r="B558" s="508"/>
      <c r="BB558" s="3"/>
      <c r="BC558" s="3"/>
      <c r="BD558" s="3"/>
      <c r="BE558" s="3"/>
      <c r="BF558" s="3"/>
      <c r="BG558" s="3"/>
      <c r="BH558" s="3" t="s">
        <v>119</v>
      </c>
      <c r="BI558" s="3" t="str">
        <f>N665</f>
        <v>Yes</v>
      </c>
    </row>
    <row r="559" spans="1:66" ht="12.95" customHeight="1">
      <c r="B559" s="1661" t="s">
        <v>2050</v>
      </c>
      <c r="C559" s="1448"/>
      <c r="D559" s="1448"/>
      <c r="E559" s="1448"/>
      <c r="F559" s="1448"/>
      <c r="G559" s="1448"/>
      <c r="H559" s="1448"/>
      <c r="I559" s="1448"/>
      <c r="J559" s="1448"/>
      <c r="K559" s="1448"/>
      <c r="L559" s="1449"/>
      <c r="M559" s="1661" t="s">
        <v>2051</v>
      </c>
      <c r="N559" s="1448"/>
      <c r="O559" s="1448"/>
      <c r="P559" s="1449"/>
      <c r="Q559" s="1661" t="s">
        <v>2077</v>
      </c>
      <c r="R559" s="1448"/>
      <c r="S559" s="1449"/>
      <c r="T559" s="1661" t="s">
        <v>2078</v>
      </c>
      <c r="U559" s="1448"/>
      <c r="V559" s="1449"/>
      <c r="W559" s="1661" t="s">
        <v>451</v>
      </c>
      <c r="X559" s="1448"/>
      <c r="Y559" s="1449"/>
      <c r="Z559" s="1661" t="s">
        <v>1820</v>
      </c>
      <c r="AA559" s="1448"/>
      <c r="AB559" s="1448"/>
      <c r="AC559" s="1448"/>
      <c r="AD559" s="1449"/>
      <c r="AE559" s="1661" t="s">
        <v>1662</v>
      </c>
      <c r="AF559" s="1448"/>
      <c r="AG559" s="1448"/>
      <c r="AH559" s="1449"/>
      <c r="AI559" s="1661" t="s">
        <v>1663</v>
      </c>
      <c r="AJ559" s="1448"/>
      <c r="AK559" s="1448"/>
      <c r="AL559" s="1449"/>
      <c r="AM559" s="1661" t="s">
        <v>452</v>
      </c>
      <c r="AN559" s="1448"/>
      <c r="AO559" s="1448"/>
      <c r="AP559" s="1448"/>
      <c r="AQ559" s="1448"/>
      <c r="AR559" s="1448"/>
      <c r="AS559" s="1449"/>
      <c r="BB559" s="3"/>
      <c r="BC559" s="3"/>
      <c r="BD559" s="3"/>
      <c r="BE559" s="3"/>
      <c r="BF559" s="3"/>
      <c r="BG559" s="3"/>
      <c r="BH559" s="3" t="s">
        <v>579</v>
      </c>
      <c r="BI559" s="3" t="str">
        <f>AG665</f>
        <v>Yes</v>
      </c>
    </row>
    <row r="560" spans="1:66" ht="12.95" customHeight="1">
      <c r="B560" s="1662"/>
      <c r="C560" s="1450"/>
      <c r="D560" s="1450"/>
      <c r="E560" s="1450"/>
      <c r="F560" s="1450"/>
      <c r="G560" s="1450"/>
      <c r="H560" s="1450"/>
      <c r="I560" s="1450"/>
      <c r="J560" s="1450"/>
      <c r="K560" s="1450"/>
      <c r="L560" s="1451"/>
      <c r="M560" s="1662"/>
      <c r="N560" s="1450"/>
      <c r="O560" s="1450"/>
      <c r="P560" s="1451"/>
      <c r="Q560" s="1662"/>
      <c r="R560" s="1450"/>
      <c r="S560" s="1451"/>
      <c r="T560" s="1662"/>
      <c r="U560" s="1450"/>
      <c r="V560" s="1451"/>
      <c r="W560" s="1662"/>
      <c r="X560" s="1450"/>
      <c r="Y560" s="1451"/>
      <c r="Z560" s="1662"/>
      <c r="AA560" s="1450"/>
      <c r="AB560" s="1450"/>
      <c r="AC560" s="1450"/>
      <c r="AD560" s="1451"/>
      <c r="AE560" s="1662"/>
      <c r="AF560" s="1450"/>
      <c r="AG560" s="1450"/>
      <c r="AH560" s="1451"/>
      <c r="AI560" s="1662"/>
      <c r="AJ560" s="1450"/>
      <c r="AK560" s="1450"/>
      <c r="AL560" s="1451"/>
      <c r="AM560" s="1662"/>
      <c r="AN560" s="1450"/>
      <c r="AO560" s="1450"/>
      <c r="AP560" s="1450"/>
      <c r="AQ560" s="1450"/>
      <c r="AR560" s="1450"/>
      <c r="AS560" s="1451"/>
      <c r="AU560" s="1136"/>
      <c r="BB560" s="3"/>
      <c r="BC560" s="3"/>
      <c r="BD560" s="3"/>
      <c r="BE560" s="3"/>
      <c r="BF560" s="3"/>
      <c r="BG560" s="3"/>
      <c r="BH560" s="3"/>
      <c r="BI560" s="3"/>
    </row>
    <row r="561" spans="1:61" ht="12.95" customHeight="1">
      <c r="B561" s="1663"/>
      <c r="C561" s="1452"/>
      <c r="D561" s="1452"/>
      <c r="E561" s="1452"/>
      <c r="F561" s="1452"/>
      <c r="G561" s="1452"/>
      <c r="H561" s="1452"/>
      <c r="I561" s="1452"/>
      <c r="J561" s="1452"/>
      <c r="K561" s="1452"/>
      <c r="L561" s="1453"/>
      <c r="M561" s="1663"/>
      <c r="N561" s="1452"/>
      <c r="O561" s="1452"/>
      <c r="P561" s="1453"/>
      <c r="Q561" s="1663"/>
      <c r="R561" s="1452"/>
      <c r="S561" s="1453"/>
      <c r="T561" s="1663"/>
      <c r="U561" s="1452"/>
      <c r="V561" s="1453"/>
      <c r="W561" s="1663"/>
      <c r="X561" s="1452"/>
      <c r="Y561" s="1453"/>
      <c r="Z561" s="1663"/>
      <c r="AA561" s="1452"/>
      <c r="AB561" s="1452"/>
      <c r="AC561" s="1452"/>
      <c r="AD561" s="1453"/>
      <c r="AE561" s="1663"/>
      <c r="AF561" s="1452"/>
      <c r="AG561" s="1452"/>
      <c r="AH561" s="1453"/>
      <c r="AI561" s="1663"/>
      <c r="AJ561" s="1452"/>
      <c r="AK561" s="1452"/>
      <c r="AL561" s="1453"/>
      <c r="AM561" s="1663"/>
      <c r="AN561" s="1452"/>
      <c r="AO561" s="1452"/>
      <c r="AP561" s="1452"/>
      <c r="AQ561" s="1452"/>
      <c r="AR561" s="1452"/>
      <c r="AS561" s="1453"/>
      <c r="AU561" s="1136"/>
      <c r="BB561" s="3"/>
      <c r="BC561" s="3"/>
      <c r="BD561" s="3"/>
      <c r="BE561" s="3"/>
      <c r="BF561" s="3"/>
      <c r="BG561" s="3"/>
      <c r="BH561" s="3"/>
      <c r="BI561" s="3"/>
    </row>
    <row r="562" spans="1:61" ht="12.95" customHeight="1">
      <c r="B562" s="51" t="s">
        <v>112</v>
      </c>
      <c r="C562" s="1425" t="s">
        <v>2732</v>
      </c>
      <c r="D562" s="1425"/>
      <c r="E562" s="1425"/>
      <c r="F562" s="1425"/>
      <c r="G562" s="1425"/>
      <c r="H562" s="1425"/>
      <c r="I562" s="1425"/>
      <c r="J562" s="1425"/>
      <c r="K562" s="1425"/>
      <c r="L562" s="1425"/>
      <c r="M562" s="1425" t="s">
        <v>2067</v>
      </c>
      <c r="N562" s="1425"/>
      <c r="O562" s="1425"/>
      <c r="P562" s="1425"/>
      <c r="Q562" s="1481">
        <v>38</v>
      </c>
      <c r="R562" s="1481"/>
      <c r="S562" s="1482"/>
      <c r="T562" s="1480"/>
      <c r="U562" s="1481"/>
      <c r="V562" s="1482"/>
      <c r="W562" s="1483">
        <v>5.6059999999999999E-2</v>
      </c>
      <c r="X562" s="1484"/>
      <c r="Y562" s="1485"/>
      <c r="Z562" s="1660" t="s">
        <v>2835</v>
      </c>
      <c r="AA562" s="1660"/>
      <c r="AB562" s="1660"/>
      <c r="AC562" s="1660"/>
      <c r="AD562" s="1660"/>
      <c r="AE562" s="1463">
        <v>2</v>
      </c>
      <c r="AF562" s="1464"/>
      <c r="AG562" s="1464"/>
      <c r="AH562" s="1465"/>
      <c r="AI562" s="1417"/>
      <c r="AJ562" s="1418"/>
      <c r="AK562" s="1418"/>
      <c r="AL562" s="1419"/>
      <c r="AM562" s="1414">
        <v>22209313</v>
      </c>
      <c r="AN562" s="1415"/>
      <c r="AO562" s="1415"/>
      <c r="AP562" s="1415"/>
      <c r="AQ562" s="1415"/>
      <c r="AR562" s="1415"/>
      <c r="AS562" s="1416"/>
      <c r="AT562" s="1137"/>
      <c r="AU562" s="1136"/>
      <c r="BB562" s="3"/>
      <c r="BC562" s="3"/>
      <c r="BD562" s="3"/>
      <c r="BE562" s="3"/>
      <c r="BF562" s="3"/>
      <c r="BG562" s="3"/>
      <c r="BH562" s="3"/>
      <c r="BI562" s="3"/>
    </row>
    <row r="563" spans="1:61" ht="12.95" customHeight="1">
      <c r="B563" s="52" t="s">
        <v>113</v>
      </c>
      <c r="C563" s="1489" t="s">
        <v>2733</v>
      </c>
      <c r="D563" s="1489"/>
      <c r="E563" s="1489"/>
      <c r="F563" s="1489"/>
      <c r="G563" s="1489"/>
      <c r="H563" s="1489"/>
      <c r="I563" s="1489"/>
      <c r="J563" s="1489"/>
      <c r="K563" s="1489"/>
      <c r="L563" s="1489"/>
      <c r="M563" s="1425" t="s">
        <v>2066</v>
      </c>
      <c r="N563" s="1425"/>
      <c r="O563" s="1425"/>
      <c r="P563" s="1425"/>
      <c r="Q563" s="1480">
        <v>38</v>
      </c>
      <c r="R563" s="1481"/>
      <c r="S563" s="1482"/>
      <c r="T563" s="1480"/>
      <c r="U563" s="1481"/>
      <c r="V563" s="1482"/>
      <c r="W563" s="1483">
        <v>6.3060000000000005E-2</v>
      </c>
      <c r="X563" s="1484"/>
      <c r="Y563" s="1485"/>
      <c r="Z563" s="1660" t="s">
        <v>2835</v>
      </c>
      <c r="AA563" s="1660"/>
      <c r="AB563" s="1660"/>
      <c r="AC563" s="1660"/>
      <c r="AD563" s="1660"/>
      <c r="AE563" s="1463">
        <v>1</v>
      </c>
      <c r="AF563" s="1464"/>
      <c r="AG563" s="1464"/>
      <c r="AH563" s="1465"/>
      <c r="AI563" s="1417"/>
      <c r="AJ563" s="1418"/>
      <c r="AK563" s="1418"/>
      <c r="AL563" s="1419"/>
      <c r="AM563" s="1414">
        <v>23901431</v>
      </c>
      <c r="AN563" s="1415"/>
      <c r="AO563" s="1415"/>
      <c r="AP563" s="1415"/>
      <c r="AQ563" s="1415"/>
      <c r="AR563" s="1415"/>
      <c r="AS563" s="1416"/>
      <c r="AT563" s="1137" t="str">
        <f>IF(AND(NOT(C562=""),C563="",NOT(C564="")),"!","")</f>
        <v/>
      </c>
      <c r="AU563" s="1136"/>
      <c r="BB563" s="3"/>
      <c r="BC563" s="3"/>
      <c r="BD563" s="3"/>
      <c r="BE563" s="3"/>
      <c r="BF563" s="3"/>
      <c r="BG563" s="3"/>
      <c r="BH563" s="3"/>
      <c r="BI563" s="3"/>
    </row>
    <row r="564" spans="1:61" ht="12.95" customHeight="1">
      <c r="B564" s="52" t="s">
        <v>119</v>
      </c>
      <c r="C564" s="1489" t="s">
        <v>2834</v>
      </c>
      <c r="D564" s="1489"/>
      <c r="E564" s="1489"/>
      <c r="F564" s="1489"/>
      <c r="G564" s="1489"/>
      <c r="H564" s="1489"/>
      <c r="I564" s="1489"/>
      <c r="J564" s="1489"/>
      <c r="K564" s="1489"/>
      <c r="L564" s="1489"/>
      <c r="M564" s="1425" t="s">
        <v>2063</v>
      </c>
      <c r="N564" s="1425"/>
      <c r="O564" s="1425"/>
      <c r="P564" s="1425"/>
      <c r="Q564" s="1480">
        <f>55*12</f>
        <v>660</v>
      </c>
      <c r="R564" s="1481"/>
      <c r="S564" s="1482"/>
      <c r="T564" s="1480"/>
      <c r="U564" s="1481"/>
      <c r="V564" s="1482"/>
      <c r="W564" s="1483">
        <v>0.03</v>
      </c>
      <c r="X564" s="1484"/>
      <c r="Y564" s="1485"/>
      <c r="Z564" s="1660" t="s">
        <v>2726</v>
      </c>
      <c r="AA564" s="1660"/>
      <c r="AB564" s="1660"/>
      <c r="AC564" s="1660"/>
      <c r="AD564" s="1660"/>
      <c r="AE564" s="1463">
        <v>5</v>
      </c>
      <c r="AF564" s="1464"/>
      <c r="AG564" s="1464"/>
      <c r="AH564" s="1465"/>
      <c r="AI564" s="1417">
        <v>0</v>
      </c>
      <c r="AJ564" s="1418"/>
      <c r="AK564" s="1418"/>
      <c r="AL564" s="1419"/>
      <c r="AM564" s="1414">
        <v>4500000</v>
      </c>
      <c r="AN564" s="1415"/>
      <c r="AO564" s="1415"/>
      <c r="AP564" s="1415"/>
      <c r="AQ564" s="1415"/>
      <c r="AR564" s="1415"/>
      <c r="AS564" s="1416"/>
      <c r="AT564" s="1137" t="str">
        <f>IF(AND(NOT(C563=""),C564="",NOT(C565="")),"!","")</f>
        <v/>
      </c>
      <c r="AU564" s="1136"/>
      <c r="BB564" s="3"/>
      <c r="BC564" s="3"/>
      <c r="BD564" s="3"/>
      <c r="BE564" s="3"/>
      <c r="BF564" s="3"/>
      <c r="BG564" s="3"/>
      <c r="BH564" s="3"/>
      <c r="BI564" s="3"/>
    </row>
    <row r="565" spans="1:61" ht="12.95" customHeight="1">
      <c r="B565" s="52" t="s">
        <v>579</v>
      </c>
      <c r="C565" s="1489" t="s">
        <v>2727</v>
      </c>
      <c r="D565" s="1489"/>
      <c r="E565" s="1489"/>
      <c r="F565" s="1489"/>
      <c r="G565" s="1489"/>
      <c r="H565" s="1489"/>
      <c r="I565" s="1489"/>
      <c r="J565" s="1489"/>
      <c r="K565" s="1489"/>
      <c r="L565" s="1489"/>
      <c r="M565" s="1425" t="s">
        <v>2063</v>
      </c>
      <c r="N565" s="1425"/>
      <c r="O565" s="1425"/>
      <c r="P565" s="1425"/>
      <c r="Q565" s="1480">
        <f>55*12</f>
        <v>660</v>
      </c>
      <c r="R565" s="1481"/>
      <c r="S565" s="1482"/>
      <c r="T565" s="1480"/>
      <c r="U565" s="1481"/>
      <c r="V565" s="1482"/>
      <c r="W565" s="1483">
        <v>0.03</v>
      </c>
      <c r="X565" s="1484"/>
      <c r="Y565" s="1485"/>
      <c r="Z565" s="1660" t="s">
        <v>2726</v>
      </c>
      <c r="AA565" s="1660"/>
      <c r="AB565" s="1660"/>
      <c r="AC565" s="1660"/>
      <c r="AD565" s="1660"/>
      <c r="AE565" s="1463">
        <v>3</v>
      </c>
      <c r="AF565" s="1464"/>
      <c r="AG565" s="1464"/>
      <c r="AH565" s="1465"/>
      <c r="AI565" s="1417">
        <v>0</v>
      </c>
      <c r="AJ565" s="1418"/>
      <c r="AK565" s="1418"/>
      <c r="AL565" s="1419"/>
      <c r="AM565" s="1414">
        <v>9000000</v>
      </c>
      <c r="AN565" s="1415"/>
      <c r="AO565" s="1415"/>
      <c r="AP565" s="1415"/>
      <c r="AQ565" s="1415"/>
      <c r="AR565" s="1415"/>
      <c r="AS565" s="1416"/>
      <c r="AT565" s="1137" t="str">
        <f>IF(AND(NOT(C564=""),C565="",NOT(C566="")),"!","")</f>
        <v/>
      </c>
      <c r="AU565" s="1136"/>
      <c r="BB565" s="3"/>
      <c r="BC565" s="3"/>
      <c r="BD565" s="3"/>
      <c r="BE565" s="3"/>
      <c r="BF565" s="3"/>
      <c r="BG565" s="3"/>
      <c r="BH565" s="3"/>
      <c r="BI565" s="3"/>
    </row>
    <row r="566" spans="1:61" ht="12.95" customHeight="1">
      <c r="B566" s="52" t="s">
        <v>761</v>
      </c>
      <c r="C566" s="1489" t="s">
        <v>2728</v>
      </c>
      <c r="D566" s="1489"/>
      <c r="E566" s="1489"/>
      <c r="F566" s="1489"/>
      <c r="G566" s="1489"/>
      <c r="H566" s="1489"/>
      <c r="I566" s="1489"/>
      <c r="J566" s="1489"/>
      <c r="K566" s="1489"/>
      <c r="L566" s="1489"/>
      <c r="M566" s="1425" t="s">
        <v>2063</v>
      </c>
      <c r="N566" s="1425"/>
      <c r="O566" s="1425"/>
      <c r="P566" s="1425"/>
      <c r="Q566" s="1480">
        <v>660</v>
      </c>
      <c r="R566" s="1481"/>
      <c r="S566" s="1482"/>
      <c r="T566" s="1480"/>
      <c r="U566" s="1481"/>
      <c r="V566" s="1482"/>
      <c r="W566" s="1483">
        <v>0.03</v>
      </c>
      <c r="X566" s="1484"/>
      <c r="Y566" s="1485"/>
      <c r="Z566" s="1660" t="s">
        <v>2726</v>
      </c>
      <c r="AA566" s="1660"/>
      <c r="AB566" s="1660"/>
      <c r="AC566" s="1660"/>
      <c r="AD566" s="1660"/>
      <c r="AE566" s="1463">
        <v>4</v>
      </c>
      <c r="AF566" s="1464"/>
      <c r="AG566" s="1464"/>
      <c r="AH566" s="1465"/>
      <c r="AI566" s="1417">
        <v>0</v>
      </c>
      <c r="AJ566" s="1418"/>
      <c r="AK566" s="1418"/>
      <c r="AL566" s="1419"/>
      <c r="AM566" s="1414">
        <v>8585280</v>
      </c>
      <c r="AN566" s="1415"/>
      <c r="AO566" s="1415"/>
      <c r="AP566" s="1415"/>
      <c r="AQ566" s="1415"/>
      <c r="AR566" s="1415"/>
      <c r="AS566" s="1416"/>
      <c r="AT566" s="1137" t="str">
        <f t="shared" ref="AT566:AT573" si="1">IF(AND(NOT(C565=""),C566="",NOT(C567="")),"!","")</f>
        <v/>
      </c>
      <c r="AU566" s="1136"/>
      <c r="BB566" s="3"/>
      <c r="BC566" s="3"/>
      <c r="BD566" s="3"/>
      <c r="BE566" s="3"/>
      <c r="BF566" s="3"/>
      <c r="BG566" s="3"/>
      <c r="BH566" s="3" t="s">
        <v>761</v>
      </c>
      <c r="BI566" s="3" t="str">
        <f>N673</f>
        <v>Yes</v>
      </c>
    </row>
    <row r="567" spans="1:61" ht="12.95" customHeight="1">
      <c r="B567" s="52" t="s">
        <v>582</v>
      </c>
      <c r="C567" s="1489" t="s">
        <v>2734</v>
      </c>
      <c r="D567" s="1489"/>
      <c r="E567" s="1489"/>
      <c r="F567" s="1489"/>
      <c r="G567" s="1489"/>
      <c r="H567" s="1489"/>
      <c r="I567" s="1489"/>
      <c r="J567" s="1489"/>
      <c r="K567" s="1489"/>
      <c r="L567" s="1489"/>
      <c r="M567" s="1425" t="s">
        <v>2052</v>
      </c>
      <c r="N567" s="1425"/>
      <c r="O567" s="1425"/>
      <c r="P567" s="1425"/>
      <c r="Q567" s="1480"/>
      <c r="R567" s="1481"/>
      <c r="S567" s="1482"/>
      <c r="T567" s="1480"/>
      <c r="U567" s="1481"/>
      <c r="V567" s="1482"/>
      <c r="W567" s="1483"/>
      <c r="X567" s="1484"/>
      <c r="Y567" s="1485"/>
      <c r="Z567" s="1660" t="s">
        <v>2726</v>
      </c>
      <c r="AA567" s="1660"/>
      <c r="AB567" s="1660"/>
      <c r="AC567" s="1660"/>
      <c r="AD567" s="1660"/>
      <c r="AE567" s="1463"/>
      <c r="AF567" s="1464"/>
      <c r="AG567" s="1464"/>
      <c r="AH567" s="1465"/>
      <c r="AI567" s="1417"/>
      <c r="AJ567" s="1418"/>
      <c r="AK567" s="1418"/>
      <c r="AL567" s="1419"/>
      <c r="AM567" s="1414">
        <f>523797+499660+261898</f>
        <v>1285355</v>
      </c>
      <c r="AN567" s="1415"/>
      <c r="AO567" s="1415"/>
      <c r="AP567" s="1415"/>
      <c r="AQ567" s="1415"/>
      <c r="AR567" s="1415"/>
      <c r="AS567" s="1416"/>
      <c r="AT567" s="1137" t="str">
        <f t="shared" si="1"/>
        <v/>
      </c>
      <c r="AU567" s="1136"/>
      <c r="BB567" s="3"/>
      <c r="BC567" s="3"/>
      <c r="BD567" s="3"/>
      <c r="BE567" s="3"/>
      <c r="BF567" s="3"/>
      <c r="BG567" s="3"/>
      <c r="BH567" s="3" t="s">
        <v>582</v>
      </c>
      <c r="BI567" s="3" t="str">
        <f>AG673</f>
        <v>Yes</v>
      </c>
    </row>
    <row r="568" spans="1:61" ht="12.95" customHeight="1">
      <c r="B568" s="52" t="s">
        <v>453</v>
      </c>
      <c r="C568" s="1489" t="s">
        <v>2254</v>
      </c>
      <c r="D568" s="1489"/>
      <c r="E568" s="1489"/>
      <c r="F568" s="1489"/>
      <c r="G568" s="1489"/>
      <c r="H568" s="1489"/>
      <c r="I568" s="1489"/>
      <c r="J568" s="1489"/>
      <c r="K568" s="1489"/>
      <c r="L568" s="1489"/>
      <c r="M568" s="1425" t="s">
        <v>2055</v>
      </c>
      <c r="N568" s="1425"/>
      <c r="O568" s="1425"/>
      <c r="P568" s="1425"/>
      <c r="Q568" s="1480"/>
      <c r="R568" s="1481"/>
      <c r="S568" s="1482"/>
      <c r="T568" s="1480"/>
      <c r="U568" s="1481"/>
      <c r="V568" s="1482"/>
      <c r="W568" s="1483"/>
      <c r="X568" s="1484"/>
      <c r="Y568" s="1485"/>
      <c r="Z568" s="1660" t="s">
        <v>589</v>
      </c>
      <c r="AA568" s="1660"/>
      <c r="AB568" s="1660"/>
      <c r="AC568" s="1660"/>
      <c r="AD568" s="1660"/>
      <c r="AE568" s="1463"/>
      <c r="AF568" s="1464"/>
      <c r="AG568" s="1464"/>
      <c r="AH568" s="1465"/>
      <c r="AI568" s="1417"/>
      <c r="AJ568" s="1418"/>
      <c r="AK568" s="1418"/>
      <c r="AL568" s="1419"/>
      <c r="AM568" s="1414">
        <f>AO640</f>
        <v>7832949</v>
      </c>
      <c r="AN568" s="1415"/>
      <c r="AO568" s="1415"/>
      <c r="AP568" s="1415"/>
      <c r="AQ568" s="1415"/>
      <c r="AR568" s="1415"/>
      <c r="AS568" s="1416"/>
      <c r="AT568" s="1137" t="str">
        <f t="shared" si="1"/>
        <v/>
      </c>
      <c r="AU568" s="1136"/>
      <c r="BB568" s="3"/>
      <c r="BC568" s="3"/>
      <c r="BD568" s="3"/>
      <c r="BE568" s="3"/>
      <c r="BF568" s="3"/>
      <c r="BG568" s="3"/>
      <c r="BH568" s="3"/>
      <c r="BI568" s="3"/>
    </row>
    <row r="569" spans="1:61" ht="12.95" customHeight="1">
      <c r="B569" s="52" t="s">
        <v>454</v>
      </c>
      <c r="C569" s="1489" t="s">
        <v>2736</v>
      </c>
      <c r="D569" s="1489"/>
      <c r="E569" s="1489"/>
      <c r="F569" s="1489"/>
      <c r="G569" s="1489"/>
      <c r="H569" s="1489"/>
      <c r="I569" s="1489"/>
      <c r="J569" s="1489"/>
      <c r="K569" s="1489"/>
      <c r="L569" s="1489"/>
      <c r="M569" s="1425" t="s">
        <v>2053</v>
      </c>
      <c r="N569" s="1425"/>
      <c r="O569" s="1425"/>
      <c r="P569" s="1425"/>
      <c r="Q569" s="1480"/>
      <c r="R569" s="1481"/>
      <c r="S569" s="1482"/>
      <c r="T569" s="1480"/>
      <c r="U569" s="1481"/>
      <c r="V569" s="1482"/>
      <c r="W569" s="1483"/>
      <c r="X569" s="1484"/>
      <c r="Y569" s="1485"/>
      <c r="Z569" s="1660" t="s">
        <v>589</v>
      </c>
      <c r="AA569" s="1660"/>
      <c r="AB569" s="1660"/>
      <c r="AC569" s="1660"/>
      <c r="AD569" s="1660"/>
      <c r="AE569" s="1463"/>
      <c r="AF569" s="1464"/>
      <c r="AG569" s="1464"/>
      <c r="AH569" s="1465"/>
      <c r="AI569" s="1417"/>
      <c r="AJ569" s="1418"/>
      <c r="AK569" s="1418"/>
      <c r="AL569" s="1419"/>
      <c r="AM569" s="1414">
        <v>1664631</v>
      </c>
      <c r="AN569" s="1415"/>
      <c r="AO569" s="1415"/>
      <c r="AP569" s="1415"/>
      <c r="AQ569" s="1415"/>
      <c r="AR569" s="1415"/>
      <c r="AS569" s="1416"/>
      <c r="AT569" s="1137" t="str">
        <f t="shared" si="1"/>
        <v/>
      </c>
      <c r="AU569" s="1136"/>
      <c r="BB569" s="3"/>
      <c r="BC569" s="3"/>
      <c r="BD569" s="3"/>
      <c r="BE569" s="3"/>
      <c r="BF569" s="3"/>
      <c r="BG569" s="3"/>
      <c r="BH569" s="3"/>
      <c r="BI569" s="3"/>
    </row>
    <row r="570" spans="1:61" ht="12.95" customHeight="1">
      <c r="B570" s="52" t="s">
        <v>459</v>
      </c>
      <c r="C570" s="1489" t="s">
        <v>2825</v>
      </c>
      <c r="D570" s="1489"/>
      <c r="E570" s="1489"/>
      <c r="F570" s="1489"/>
      <c r="G570" s="1489"/>
      <c r="H570" s="1489"/>
      <c r="I570" s="1489"/>
      <c r="J570" s="1489"/>
      <c r="K570" s="1489"/>
      <c r="L570" s="1489"/>
      <c r="M570" s="1425" t="s">
        <v>2057</v>
      </c>
      <c r="N570" s="1425"/>
      <c r="O570" s="1425"/>
      <c r="P570" s="1425"/>
      <c r="Q570" s="1480"/>
      <c r="R570" s="1481"/>
      <c r="S570" s="1482"/>
      <c r="T570" s="1480"/>
      <c r="U570" s="1481"/>
      <c r="V570" s="1482"/>
      <c r="W570" s="1483"/>
      <c r="X570" s="1484"/>
      <c r="Y570" s="1485"/>
      <c r="Z570" s="1660" t="s">
        <v>589</v>
      </c>
      <c r="AA570" s="1660"/>
      <c r="AB570" s="1660"/>
      <c r="AC570" s="1660"/>
      <c r="AD570" s="1660"/>
      <c r="AE570" s="1463"/>
      <c r="AF570" s="1464"/>
      <c r="AG570" s="1464"/>
      <c r="AH570" s="1465"/>
      <c r="AI570" s="1417"/>
      <c r="AJ570" s="1418"/>
      <c r="AK570" s="1418"/>
      <c r="AL570" s="1419"/>
      <c r="AM570" s="1414">
        <v>100</v>
      </c>
      <c r="AN570" s="1415"/>
      <c r="AO570" s="1415"/>
      <c r="AP570" s="1415"/>
      <c r="AQ570" s="1415"/>
      <c r="AR570" s="1415"/>
      <c r="AS570" s="1416"/>
      <c r="AT570" s="1137" t="str">
        <f t="shared" si="1"/>
        <v/>
      </c>
      <c r="AU570" s="1136"/>
      <c r="BB570" s="3"/>
      <c r="BC570" s="3"/>
      <c r="BD570" s="3"/>
      <c r="BE570" s="3"/>
      <c r="BF570" s="3"/>
      <c r="BG570" s="3"/>
      <c r="BH570" s="3"/>
      <c r="BI570" s="3"/>
    </row>
    <row r="571" spans="1:61" ht="12.95" customHeight="1">
      <c r="B571" s="52" t="s">
        <v>644</v>
      </c>
      <c r="C571" s="1489" t="s">
        <v>2749</v>
      </c>
      <c r="D571" s="1489"/>
      <c r="E571" s="1489"/>
      <c r="F571" s="1489"/>
      <c r="G571" s="1489"/>
      <c r="H571" s="1489"/>
      <c r="I571" s="1489"/>
      <c r="J571" s="1489"/>
      <c r="K571" s="1489"/>
      <c r="L571" s="1489"/>
      <c r="M571" s="1425" t="s">
        <v>2058</v>
      </c>
      <c r="N571" s="1425"/>
      <c r="O571" s="1425"/>
      <c r="P571" s="1425"/>
      <c r="Q571" s="1480"/>
      <c r="R571" s="1481"/>
      <c r="S571" s="1482"/>
      <c r="T571" s="1480"/>
      <c r="U571" s="1481"/>
      <c r="V571" s="1482"/>
      <c r="W571" s="1483"/>
      <c r="X571" s="1484"/>
      <c r="Y571" s="1485"/>
      <c r="Z571" s="1660" t="s">
        <v>589</v>
      </c>
      <c r="AA571" s="1660"/>
      <c r="AB571" s="1660"/>
      <c r="AC571" s="1660"/>
      <c r="AD571" s="1660"/>
      <c r="AE571" s="1463"/>
      <c r="AF571" s="1464"/>
      <c r="AG571" s="1464"/>
      <c r="AH571" s="1465"/>
      <c r="AI571" s="1417"/>
      <c r="AJ571" s="1418"/>
      <c r="AK571" s="1418"/>
      <c r="AL571" s="1419"/>
      <c r="AM571" s="1414">
        <f>6431979-208717</f>
        <v>6223262</v>
      </c>
      <c r="AN571" s="1415"/>
      <c r="AO571" s="1415"/>
      <c r="AP571" s="1415"/>
      <c r="AQ571" s="1415"/>
      <c r="AR571" s="1415"/>
      <c r="AS571" s="1416"/>
      <c r="AT571" s="1137" t="str">
        <f t="shared" si="1"/>
        <v/>
      </c>
      <c r="BB571" s="3"/>
      <c r="BC571" s="3"/>
      <c r="BD571" s="3"/>
      <c r="BE571" s="3"/>
      <c r="BF571" s="3"/>
      <c r="BG571" s="3"/>
      <c r="BH571" s="3"/>
      <c r="BI571" s="3"/>
    </row>
    <row r="572" spans="1:61" ht="12.95" customHeight="1">
      <c r="B572" s="52" t="s">
        <v>361</v>
      </c>
      <c r="C572" s="1489"/>
      <c r="D572" s="1489"/>
      <c r="E572" s="1489"/>
      <c r="F572" s="1489"/>
      <c r="G572" s="1489"/>
      <c r="H572" s="1489"/>
      <c r="I572" s="1489"/>
      <c r="J572" s="1489"/>
      <c r="K572" s="1489"/>
      <c r="L572" s="1489"/>
      <c r="M572" s="1425" t="s">
        <v>1181</v>
      </c>
      <c r="N572" s="1425"/>
      <c r="O572" s="1425"/>
      <c r="P572" s="1425"/>
      <c r="Q572" s="1480"/>
      <c r="R572" s="1481"/>
      <c r="S572" s="1482"/>
      <c r="T572" s="1480"/>
      <c r="U572" s="1481"/>
      <c r="V572" s="1482"/>
      <c r="W572" s="1483"/>
      <c r="X572" s="1484"/>
      <c r="Y572" s="1485"/>
      <c r="Z572" s="1660" t="s">
        <v>1181</v>
      </c>
      <c r="AA572" s="1660"/>
      <c r="AB572" s="1660"/>
      <c r="AC572" s="1660"/>
      <c r="AD572" s="1660"/>
      <c r="AE572" s="1463"/>
      <c r="AF572" s="1464"/>
      <c r="AG572" s="1464"/>
      <c r="AH572" s="1465"/>
      <c r="AI572" s="1417"/>
      <c r="AJ572" s="1418"/>
      <c r="AK572" s="1418"/>
      <c r="AL572" s="1419"/>
      <c r="AM572" s="1414"/>
      <c r="AN572" s="1415"/>
      <c r="AO572" s="1415"/>
      <c r="AP572" s="1415"/>
      <c r="AQ572" s="1415"/>
      <c r="AR572" s="1415"/>
      <c r="AS572" s="1416"/>
      <c r="AT572" s="1137" t="str">
        <f t="shared" si="1"/>
        <v/>
      </c>
      <c r="BB572" s="3"/>
      <c r="BC572" s="3"/>
      <c r="BD572" s="3"/>
      <c r="BE572" s="3"/>
      <c r="BF572" s="3"/>
      <c r="BG572" s="3"/>
      <c r="BH572" s="3"/>
      <c r="BI572" s="3"/>
    </row>
    <row r="573" spans="1:61" ht="12.95" customHeight="1">
      <c r="B573" s="52" t="s">
        <v>362</v>
      </c>
      <c r="C573" s="1489"/>
      <c r="D573" s="1489"/>
      <c r="E573" s="1489"/>
      <c r="F573" s="1489"/>
      <c r="G573" s="1489"/>
      <c r="H573" s="1489"/>
      <c r="I573" s="1489"/>
      <c r="J573" s="1489"/>
      <c r="K573" s="1489"/>
      <c r="L573" s="1489"/>
      <c r="M573" s="1425" t="s">
        <v>1181</v>
      </c>
      <c r="N573" s="1425"/>
      <c r="O573" s="1425"/>
      <c r="P573" s="1425"/>
      <c r="Q573" s="1480"/>
      <c r="R573" s="1481"/>
      <c r="S573" s="1482"/>
      <c r="T573" s="1480"/>
      <c r="U573" s="1481"/>
      <c r="V573" s="1482"/>
      <c r="W573" s="1483"/>
      <c r="X573" s="1484"/>
      <c r="Y573" s="1485"/>
      <c r="Z573" s="1660" t="s">
        <v>1181</v>
      </c>
      <c r="AA573" s="1660"/>
      <c r="AB573" s="1660"/>
      <c r="AC573" s="1660"/>
      <c r="AD573" s="1660"/>
      <c r="AE573" s="1463"/>
      <c r="AF573" s="1464"/>
      <c r="AG573" s="1464"/>
      <c r="AH573" s="1465"/>
      <c r="AI573" s="1417"/>
      <c r="AJ573" s="1418"/>
      <c r="AK573" s="1418"/>
      <c r="AL573" s="1419"/>
      <c r="AM573" s="1414"/>
      <c r="AN573" s="1415"/>
      <c r="AO573" s="1415"/>
      <c r="AP573" s="1415"/>
      <c r="AQ573" s="1415"/>
      <c r="AR573" s="1415"/>
      <c r="AS573" s="1416"/>
      <c r="AT573" s="1137" t="str">
        <f t="shared" si="1"/>
        <v/>
      </c>
      <c r="BB573" s="3"/>
      <c r="BC573" s="3"/>
      <c r="BD573" s="3"/>
      <c r="BE573" s="3"/>
      <c r="BF573" s="3"/>
      <c r="BG573" s="3"/>
      <c r="BH573" s="3"/>
      <c r="BI573" s="3"/>
    </row>
    <row r="574" spans="1:61" ht="12.95" customHeight="1">
      <c r="B574" s="1500" t="s">
        <v>127</v>
      </c>
      <c r="C574" s="1501"/>
      <c r="D574" s="1501"/>
      <c r="E574" s="1501"/>
      <c r="F574" s="1501"/>
      <c r="G574" s="1501"/>
      <c r="H574" s="1501"/>
      <c r="I574" s="1501"/>
      <c r="J574" s="1501"/>
      <c r="K574" s="1501"/>
      <c r="L574" s="1501"/>
      <c r="M574" s="1501"/>
      <c r="N574" s="1501"/>
      <c r="O574" s="1501"/>
      <c r="P574" s="1501"/>
      <c r="Q574" s="1501"/>
      <c r="R574" s="1501"/>
      <c r="S574" s="1501"/>
      <c r="T574" s="1501"/>
      <c r="U574" s="1656"/>
      <c r="V574" s="1501"/>
      <c r="W574" s="1501"/>
      <c r="X574" s="1501"/>
      <c r="Y574" s="1501"/>
      <c r="Z574" s="1501"/>
      <c r="AA574" s="1501"/>
      <c r="AB574" s="1501"/>
      <c r="AC574" s="1501"/>
      <c r="AD574" s="1501"/>
      <c r="AE574" s="1501"/>
      <c r="AF574" s="1501"/>
      <c r="AG574" s="1501"/>
      <c r="AH574" s="1501"/>
      <c r="AI574" s="1501"/>
      <c r="AJ574" s="1501"/>
      <c r="AK574" s="1501"/>
      <c r="AL574" s="1502"/>
      <c r="AM574" s="1611">
        <f>SUM(AM562:AS573)</f>
        <v>85202321</v>
      </c>
      <c r="AN574" s="1612"/>
      <c r="AO574" s="1612"/>
      <c r="AP574" s="1612"/>
      <c r="AQ574" s="1612"/>
      <c r="AR574" s="1612"/>
      <c r="AS574" s="1613"/>
      <c r="BB574" s="3"/>
      <c r="BC574" s="3"/>
      <c r="BD574" s="3"/>
      <c r="BE574" s="3"/>
      <c r="BF574" s="3"/>
      <c r="BG574" s="3"/>
      <c r="BH574" s="3" t="s">
        <v>453</v>
      </c>
      <c r="BI574" s="3" t="str">
        <f>N681</f>
        <v>Yes</v>
      </c>
    </row>
    <row r="575" spans="1:61" ht="12.95"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454</v>
      </c>
      <c r="BI575" s="3" t="str">
        <f>AG681</f>
        <v>Yes</v>
      </c>
    </row>
    <row r="576" spans="1:61" ht="12.95" customHeight="1">
      <c r="A576" s="55" t="s">
        <v>112</v>
      </c>
      <c r="B576" t="s">
        <v>461</v>
      </c>
      <c r="G576" s="1428" t="str">
        <f>C562</f>
        <v>Tax-Exempt Construction Loan</v>
      </c>
      <c r="H576" s="1428"/>
      <c r="I576" s="1428"/>
      <c r="J576" s="1428"/>
      <c r="K576" s="1428"/>
      <c r="L576" s="1428"/>
      <c r="M576" s="1428"/>
      <c r="N576" s="1428"/>
      <c r="O576" s="1428"/>
      <c r="P576" s="1428"/>
      <c r="Q576" s="1428"/>
      <c r="R576" s="1428"/>
      <c r="S576" s="8"/>
      <c r="T576" s="55" t="s">
        <v>113</v>
      </c>
      <c r="U576" t="s">
        <v>461</v>
      </c>
      <c r="Z576" s="1428" t="str">
        <f>C563</f>
        <v>Construction Loan Taxable Tail</v>
      </c>
      <c r="AA576" s="1428"/>
      <c r="AB576" s="1428"/>
      <c r="AC576" s="1428"/>
      <c r="AD576" s="1428"/>
      <c r="AE576" s="1428"/>
      <c r="AF576" s="1428"/>
      <c r="AG576" s="1428"/>
      <c r="AH576" s="1428"/>
      <c r="AI576" s="1428"/>
      <c r="AJ576" s="1428"/>
      <c r="AK576" s="1428"/>
      <c r="BB576" s="3"/>
      <c r="BC576" s="3"/>
      <c r="BD576" s="3"/>
      <c r="BE576" s="3"/>
      <c r="BF576" s="3"/>
      <c r="BG576" s="3"/>
      <c r="BH576" s="3"/>
      <c r="BI576" s="3"/>
    </row>
    <row r="577" spans="1:61" ht="12.95" customHeight="1">
      <c r="A577" s="22"/>
      <c r="B577" t="s">
        <v>85</v>
      </c>
      <c r="G577" s="1396" t="s">
        <v>2776</v>
      </c>
      <c r="H577" s="1397"/>
      <c r="I577" s="1397"/>
      <c r="J577" s="1397"/>
      <c r="K577" s="1397"/>
      <c r="L577" s="1397"/>
      <c r="M577" s="1397"/>
      <c r="N577" s="1397"/>
      <c r="O577" s="1397"/>
      <c r="P577" s="1397"/>
      <c r="Q577" s="1397"/>
      <c r="R577" s="1397"/>
      <c r="S577" s="8"/>
      <c r="T577" s="22"/>
      <c r="U577" t="s">
        <v>85</v>
      </c>
      <c r="Z577" s="1396" t="s">
        <v>2776</v>
      </c>
      <c r="AA577" s="1397"/>
      <c r="AB577" s="1397"/>
      <c r="AC577" s="1397"/>
      <c r="AD577" s="1397"/>
      <c r="AE577" s="1397"/>
      <c r="AF577" s="1397"/>
      <c r="AG577" s="1397"/>
      <c r="AH577" s="1397"/>
      <c r="AI577" s="1397"/>
      <c r="AJ577" s="1397"/>
      <c r="AK577" s="1397"/>
      <c r="BB577" s="3"/>
      <c r="BC577" s="3"/>
      <c r="BD577" s="3"/>
      <c r="BE577" s="3"/>
      <c r="BF577" s="3"/>
      <c r="BG577" s="3"/>
      <c r="BH577" s="3"/>
      <c r="BI577" s="3"/>
    </row>
    <row r="578" spans="1:61" ht="12.95" customHeight="1">
      <c r="A578" s="22"/>
      <c r="B578" t="s">
        <v>578</v>
      </c>
      <c r="G578" s="1397" t="s">
        <v>2775</v>
      </c>
      <c r="H578" s="1397"/>
      <c r="I578" s="1397"/>
      <c r="J578" s="1397"/>
      <c r="K578" s="1397"/>
      <c r="L578" s="1397"/>
      <c r="M578" s="1397"/>
      <c r="N578" s="1397"/>
      <c r="O578" s="1397"/>
      <c r="P578" s="1397"/>
      <c r="Q578" s="1397"/>
      <c r="R578" s="1397"/>
      <c r="T578" s="22"/>
      <c r="U578" t="s">
        <v>578</v>
      </c>
      <c r="Z578" s="1412" t="s">
        <v>2775</v>
      </c>
      <c r="AA578" s="1420"/>
      <c r="AB578" s="1420"/>
      <c r="AC578" s="1420"/>
      <c r="AD578" s="1420"/>
      <c r="AE578" s="1420"/>
      <c r="AF578" s="1420"/>
      <c r="AG578" s="1420"/>
      <c r="AH578" s="1420"/>
      <c r="AI578" s="1420"/>
      <c r="AJ578" s="1420"/>
      <c r="AK578" s="1420"/>
      <c r="BB578" s="3"/>
      <c r="BC578" s="3"/>
      <c r="BD578" s="3"/>
      <c r="BE578" s="3"/>
      <c r="BF578" s="3"/>
      <c r="BG578" s="3"/>
      <c r="BH578" s="3"/>
      <c r="BI578" s="3"/>
    </row>
    <row r="579" spans="1:61" ht="12.95" customHeight="1">
      <c r="A579" s="22"/>
      <c r="B579" t="s">
        <v>17</v>
      </c>
      <c r="G579" s="1397" t="s">
        <v>2773</v>
      </c>
      <c r="H579" s="1397"/>
      <c r="I579" s="1397"/>
      <c r="J579" s="1397"/>
      <c r="K579" s="1397"/>
      <c r="L579" s="1397"/>
      <c r="M579" s="1397"/>
      <c r="N579" s="1397"/>
      <c r="O579" s="1397"/>
      <c r="P579" s="1397"/>
      <c r="Q579" s="1397"/>
      <c r="R579" s="1397"/>
      <c r="S579" s="8"/>
      <c r="T579" s="22"/>
      <c r="U579" t="s">
        <v>17</v>
      </c>
      <c r="Z579" s="1412" t="s">
        <v>2773</v>
      </c>
      <c r="AA579" s="1420"/>
      <c r="AB579" s="1420"/>
      <c r="AC579" s="1420"/>
      <c r="AD579" s="1420"/>
      <c r="AE579" s="1420"/>
      <c r="AF579" s="1420"/>
      <c r="AG579" s="1420"/>
      <c r="AH579" s="1420"/>
      <c r="AI579" s="1420"/>
      <c r="AJ579" s="1420"/>
      <c r="AK579" s="1420"/>
      <c r="BB579" s="3"/>
      <c r="BC579" s="3"/>
      <c r="BD579" s="3"/>
      <c r="BE579" s="3"/>
      <c r="BF579" s="3"/>
      <c r="BG579" s="3"/>
      <c r="BH579" s="3"/>
      <c r="BI579" s="3"/>
    </row>
    <row r="580" spans="1:61" ht="12.95" customHeight="1">
      <c r="A580" s="22"/>
      <c r="B580" t="s">
        <v>315</v>
      </c>
      <c r="G580" s="1394" t="s">
        <v>2774</v>
      </c>
      <c r="H580" s="1395"/>
      <c r="I580" s="1395"/>
      <c r="J580" s="1395"/>
      <c r="K580" s="1395"/>
      <c r="L580" s="1395"/>
      <c r="O580" s="33" t="s">
        <v>205</v>
      </c>
      <c r="P580" s="1426"/>
      <c r="Q580" s="1426"/>
      <c r="R580" s="1426"/>
      <c r="S580" s="10"/>
      <c r="T580" s="22"/>
      <c r="U580" t="s">
        <v>315</v>
      </c>
      <c r="Z580" s="1394" t="s">
        <v>2774</v>
      </c>
      <c r="AA580" s="1395"/>
      <c r="AB580" s="1395"/>
      <c r="AC580" s="1395"/>
      <c r="AD580" s="1395"/>
      <c r="AE580" s="1395"/>
      <c r="AH580" s="33" t="s">
        <v>205</v>
      </c>
      <c r="AI580" s="1426"/>
      <c r="AJ580" s="1426"/>
      <c r="AK580" s="1426"/>
      <c r="BB580" s="3"/>
      <c r="BC580" s="3"/>
      <c r="BD580" s="3"/>
      <c r="BE580" s="3"/>
      <c r="BF580" s="3"/>
      <c r="BG580" s="3"/>
      <c r="BH580" s="3"/>
      <c r="BI580" s="3"/>
    </row>
    <row r="581" spans="1:61" ht="12.95" customHeight="1">
      <c r="A581" s="22"/>
      <c r="B581" t="s">
        <v>18</v>
      </c>
      <c r="H581" s="1397" t="s">
        <v>2067</v>
      </c>
      <c r="I581" s="1397"/>
      <c r="J581" s="1397"/>
      <c r="K581" s="1397"/>
      <c r="L581" s="1397"/>
      <c r="M581" s="1397"/>
      <c r="N581" s="1397"/>
      <c r="O581" s="1397"/>
      <c r="P581" s="1397"/>
      <c r="Q581" s="1397"/>
      <c r="R581" s="1397"/>
      <c r="S581" s="8"/>
      <c r="T581" s="22"/>
      <c r="U581" t="s">
        <v>18</v>
      </c>
      <c r="AA581" s="1397" t="s">
        <v>2066</v>
      </c>
      <c r="AB581" s="1397"/>
      <c r="AC581" s="1397"/>
      <c r="AD581" s="1397"/>
      <c r="AE581" s="1397"/>
      <c r="AF581" s="1397"/>
      <c r="AG581" s="1397"/>
      <c r="AH581" s="1397"/>
      <c r="AI581" s="1397"/>
      <c r="AJ581" s="1397"/>
      <c r="AK581" s="1397"/>
      <c r="BB581" s="3"/>
      <c r="BC581" s="3"/>
      <c r="BD581" s="3"/>
      <c r="BE581" s="3"/>
      <c r="BF581" s="3"/>
      <c r="BG581" s="3"/>
      <c r="BH581" s="3"/>
      <c r="BI581" s="3"/>
    </row>
    <row r="582" spans="1:61" ht="12.95" customHeight="1">
      <c r="A582" s="22"/>
      <c r="B582" s="317" t="s">
        <v>1182</v>
      </c>
      <c r="H582" s="8"/>
      <c r="I582" s="8"/>
      <c r="J582" s="8"/>
      <c r="K582" s="8"/>
      <c r="L582" s="8"/>
      <c r="M582" s="1429" t="s">
        <v>2848</v>
      </c>
      <c r="N582" s="1429"/>
      <c r="O582" s="1429"/>
      <c r="P582" s="1429"/>
      <c r="Q582" s="1429"/>
      <c r="R582" s="1429"/>
      <c r="S582" s="8"/>
      <c r="T582" s="22"/>
      <c r="U582" s="317" t="s">
        <v>1182</v>
      </c>
      <c r="AA582" s="8"/>
      <c r="AB582" s="8"/>
      <c r="AC582" s="8"/>
      <c r="AD582" s="8"/>
      <c r="AE582" s="8"/>
      <c r="AF582" s="1429" t="s">
        <v>2848</v>
      </c>
      <c r="AG582" s="1429"/>
      <c r="AH582" s="1429"/>
      <c r="AI582" s="1429"/>
      <c r="AJ582" s="1429"/>
      <c r="AK582" s="1429"/>
      <c r="BB582" s="3"/>
      <c r="BC582" s="3"/>
      <c r="BD582" s="3"/>
      <c r="BE582" s="3"/>
      <c r="BF582" s="3"/>
      <c r="BG582" s="3"/>
      <c r="BH582" s="3"/>
      <c r="BI582" s="3"/>
    </row>
    <row r="583" spans="1:61" ht="12.95" customHeight="1">
      <c r="A583" s="22"/>
      <c r="B583" t="s">
        <v>20</v>
      </c>
      <c r="N583" s="1296" t="s">
        <v>543</v>
      </c>
      <c r="O583" s="1296"/>
      <c r="T583" s="22"/>
      <c r="U583" t="s">
        <v>20</v>
      </c>
      <c r="AG583" s="1296" t="s">
        <v>543</v>
      </c>
      <c r="AH583" s="1296"/>
      <c r="BB583" s="3"/>
      <c r="BC583" s="3"/>
      <c r="BD583" s="3"/>
      <c r="BE583" s="3"/>
      <c r="BF583" s="3"/>
      <c r="BG583" s="3"/>
      <c r="BH583" s="3"/>
      <c r="BI583" s="3"/>
    </row>
    <row r="584" spans="1:61" ht="12.95" customHeight="1">
      <c r="A584" s="22"/>
      <c r="T584" s="22"/>
      <c r="BB584" s="3"/>
      <c r="BC584" s="3"/>
      <c r="BD584" s="3"/>
      <c r="BE584" s="3"/>
      <c r="BF584" s="3"/>
      <c r="BG584" s="3"/>
      <c r="BH584" s="3"/>
      <c r="BI584" s="3"/>
    </row>
    <row r="585" spans="1:61" ht="12.95" customHeight="1">
      <c r="A585" s="55" t="s">
        <v>119</v>
      </c>
      <c r="B585" t="s">
        <v>461</v>
      </c>
      <c r="G585" s="1428" t="str">
        <f>C564</f>
        <v>City of Long Beach Development Loan</v>
      </c>
      <c r="H585" s="1428"/>
      <c r="I585" s="1428"/>
      <c r="J585" s="1428"/>
      <c r="K585" s="1428"/>
      <c r="L585" s="1428"/>
      <c r="M585" s="1428"/>
      <c r="N585" s="1428"/>
      <c r="O585" s="1428"/>
      <c r="P585" s="1428"/>
      <c r="Q585" s="1428"/>
      <c r="R585" s="1428"/>
      <c r="T585" s="55" t="s">
        <v>579</v>
      </c>
      <c r="U585" t="s">
        <v>461</v>
      </c>
      <c r="Z585" s="1428" t="str">
        <f>C565</f>
        <v>LACAHSA - Residual Receipt Loan</v>
      </c>
      <c r="AA585" s="1428"/>
      <c r="AB585" s="1428"/>
      <c r="AC585" s="1428"/>
      <c r="AD585" s="1428"/>
      <c r="AE585" s="1428"/>
      <c r="AF585" s="1428"/>
      <c r="AG585" s="1428"/>
      <c r="AH585" s="1428"/>
      <c r="AI585" s="1428"/>
      <c r="AJ585" s="1428"/>
      <c r="AK585" s="1428"/>
      <c r="BB585" s="3"/>
      <c r="BC585" s="3"/>
    </row>
    <row r="586" spans="1:61" ht="12.95" customHeight="1">
      <c r="A586" s="22"/>
      <c r="B586" t="s">
        <v>85</v>
      </c>
      <c r="G586" s="1397" t="s">
        <v>2768</v>
      </c>
      <c r="H586" s="1397"/>
      <c r="I586" s="1397"/>
      <c r="J586" s="1397"/>
      <c r="K586" s="1397"/>
      <c r="L586" s="1397"/>
      <c r="M586" s="1397"/>
      <c r="N586" s="1397"/>
      <c r="O586" s="1397"/>
      <c r="P586" s="1397"/>
      <c r="Q586" s="1397"/>
      <c r="R586" s="1397"/>
      <c r="T586" s="22"/>
      <c r="U586" t="s">
        <v>85</v>
      </c>
      <c r="Z586" s="1397" t="s">
        <v>2764</v>
      </c>
      <c r="AA586" s="1397"/>
      <c r="AB586" s="1397"/>
      <c r="AC586" s="1397"/>
      <c r="AD586" s="1397"/>
      <c r="AE586" s="1397"/>
      <c r="AF586" s="1397"/>
      <c r="AG586" s="1397"/>
      <c r="AH586" s="1397"/>
      <c r="AI586" s="1397"/>
      <c r="AJ586" s="1397"/>
      <c r="AK586" s="1397"/>
      <c r="BB586" s="3"/>
      <c r="BC586" s="3"/>
    </row>
    <row r="587" spans="1:61" ht="12.95" customHeight="1">
      <c r="A587" s="22"/>
      <c r="B587" t="s">
        <v>578</v>
      </c>
      <c r="G587" s="1420" t="s">
        <v>2769</v>
      </c>
      <c r="H587" s="1420"/>
      <c r="I587" s="1420"/>
      <c r="J587" s="1420"/>
      <c r="K587" s="1420"/>
      <c r="L587" s="1420"/>
      <c r="M587" s="1420"/>
      <c r="N587" s="1420"/>
      <c r="O587" s="1420"/>
      <c r="P587" s="1420"/>
      <c r="Q587" s="1420"/>
      <c r="R587" s="1420"/>
      <c r="T587" s="22"/>
      <c r="U587" t="s">
        <v>578</v>
      </c>
      <c r="Z587" s="1420" t="s">
        <v>2765</v>
      </c>
      <c r="AA587" s="1420"/>
      <c r="AB587" s="1420"/>
      <c r="AC587" s="1420"/>
      <c r="AD587" s="1420"/>
      <c r="AE587" s="1420"/>
      <c r="AF587" s="1420"/>
      <c r="AG587" s="1420"/>
      <c r="AH587" s="1420"/>
      <c r="AI587" s="1420"/>
      <c r="AJ587" s="1420"/>
      <c r="AK587" s="1420"/>
      <c r="BB587" s="3"/>
      <c r="BC587" s="3"/>
    </row>
    <row r="588" spans="1:61" ht="12.95" customHeight="1">
      <c r="A588" s="22"/>
      <c r="B588" t="s">
        <v>17</v>
      </c>
      <c r="G588" s="1412" t="s">
        <v>2772</v>
      </c>
      <c r="H588" s="1420"/>
      <c r="I588" s="1420"/>
      <c r="J588" s="1420"/>
      <c r="K588" s="1420"/>
      <c r="L588" s="1420"/>
      <c r="M588" s="1420"/>
      <c r="N588" s="1420"/>
      <c r="O588" s="1420"/>
      <c r="P588" s="1420"/>
      <c r="Q588" s="1420"/>
      <c r="R588" s="1420"/>
      <c r="T588" s="22"/>
      <c r="U588" t="s">
        <v>17</v>
      </c>
      <c r="Z588" s="1412" t="s">
        <v>2770</v>
      </c>
      <c r="AA588" s="1420"/>
      <c r="AB588" s="1420"/>
      <c r="AC588" s="1420"/>
      <c r="AD588" s="1420"/>
      <c r="AE588" s="1420"/>
      <c r="AF588" s="1420"/>
      <c r="AG588" s="1420"/>
      <c r="AH588" s="1420"/>
      <c r="AI588" s="1420"/>
      <c r="AJ588" s="1420"/>
      <c r="AK588" s="1420"/>
      <c r="BB588" s="3"/>
      <c r="BC588" s="3"/>
    </row>
    <row r="589" spans="1:61" ht="12.95" customHeight="1">
      <c r="A589" s="22"/>
      <c r="B589" t="s">
        <v>315</v>
      </c>
      <c r="G589" s="1395" t="s">
        <v>2767</v>
      </c>
      <c r="H589" s="1395"/>
      <c r="I589" s="1395"/>
      <c r="J589" s="1395"/>
      <c r="K589" s="1395"/>
      <c r="L589" s="1395"/>
      <c r="O589" s="33" t="s">
        <v>205</v>
      </c>
      <c r="P589" s="1426"/>
      <c r="Q589" s="1426"/>
      <c r="R589" s="1426"/>
      <c r="T589" s="22"/>
      <c r="U589" t="s">
        <v>315</v>
      </c>
      <c r="Z589" s="1394" t="s">
        <v>2771</v>
      </c>
      <c r="AA589" s="1395"/>
      <c r="AB589" s="1395"/>
      <c r="AC589" s="1395"/>
      <c r="AD589" s="1395"/>
      <c r="AE589" s="1395"/>
      <c r="AH589" s="33" t="s">
        <v>205</v>
      </c>
      <c r="AI589" s="1426"/>
      <c r="AJ589" s="1426"/>
      <c r="AK589" s="1426"/>
      <c r="BB589" s="3"/>
      <c r="BC589" s="3"/>
    </row>
    <row r="590" spans="1:61" ht="12.95" customHeight="1">
      <c r="A590" s="22"/>
      <c r="B590" t="s">
        <v>18</v>
      </c>
      <c r="H590" s="1397" t="s">
        <v>2063</v>
      </c>
      <c r="I590" s="1397"/>
      <c r="J590" s="1397"/>
      <c r="K590" s="1397"/>
      <c r="L590" s="1397"/>
      <c r="M590" s="1397"/>
      <c r="N590" s="1397"/>
      <c r="O590" s="1397"/>
      <c r="P590" s="1397"/>
      <c r="Q590" s="1397"/>
      <c r="R590" s="1397"/>
      <c r="T590" s="22"/>
      <c r="U590" t="s">
        <v>18</v>
      </c>
      <c r="AA590" s="1397" t="s">
        <v>2063</v>
      </c>
      <c r="AB590" s="1397"/>
      <c r="AC590" s="1397"/>
      <c r="AD590" s="1397"/>
      <c r="AE590" s="1397"/>
      <c r="AF590" s="1397"/>
      <c r="AG590" s="1397"/>
      <c r="AH590" s="1397"/>
      <c r="AI590" s="1397"/>
      <c r="AJ590" s="1397"/>
      <c r="AK590" s="1397"/>
      <c r="BB590" s="3"/>
      <c r="BC590" s="3"/>
    </row>
    <row r="591" spans="1:61" ht="12.95" customHeight="1">
      <c r="A591" s="22"/>
      <c r="B591" t="s">
        <v>20</v>
      </c>
      <c r="N591" s="1296" t="s">
        <v>543</v>
      </c>
      <c r="O591" s="1296"/>
      <c r="T591" s="22"/>
      <c r="U591" t="s">
        <v>20</v>
      </c>
      <c r="AG591" s="1296" t="s">
        <v>543</v>
      </c>
      <c r="AH591" s="1296"/>
      <c r="BB591" s="3"/>
      <c r="BC591" s="3"/>
    </row>
    <row r="592" spans="1:61" ht="12.95" customHeight="1">
      <c r="A592" s="22"/>
      <c r="T592" s="22"/>
      <c r="BB592" s="3"/>
      <c r="BC592" s="3"/>
    </row>
    <row r="593" spans="1:55" ht="12.95" customHeight="1">
      <c r="A593" s="55" t="s">
        <v>761</v>
      </c>
      <c r="B593" t="s">
        <v>461</v>
      </c>
      <c r="G593" s="1428" t="str">
        <f>C566</f>
        <v>LACAHSA - Matching Grant</v>
      </c>
      <c r="H593" s="1428"/>
      <c r="I593" s="1428"/>
      <c r="J593" s="1428"/>
      <c r="K593" s="1428"/>
      <c r="L593" s="1428"/>
      <c r="M593" s="1428"/>
      <c r="N593" s="1428"/>
      <c r="O593" s="1428"/>
      <c r="P593" s="1428"/>
      <c r="Q593" s="1428"/>
      <c r="R593" s="1428"/>
      <c r="T593" s="55" t="s">
        <v>582</v>
      </c>
      <c r="U593" t="s">
        <v>461</v>
      </c>
      <c r="Z593" s="1428" t="str">
        <f>C567</f>
        <v>Accrued and Deferred Soft loan Interest</v>
      </c>
      <c r="AA593" s="1428"/>
      <c r="AB593" s="1428"/>
      <c r="AC593" s="1428"/>
      <c r="AD593" s="1428"/>
      <c r="AE593" s="1428"/>
      <c r="AF593" s="1428"/>
      <c r="AG593" s="1428"/>
      <c r="AH593" s="1428"/>
      <c r="AI593" s="1428"/>
      <c r="AJ593" s="1428"/>
      <c r="AK593" s="1428"/>
      <c r="BB593" s="3"/>
      <c r="BC593" s="3"/>
    </row>
    <row r="594" spans="1:55" ht="12.95" customHeight="1">
      <c r="A594" s="22"/>
      <c r="B594" t="s">
        <v>85</v>
      </c>
      <c r="G594" s="1397" t="s">
        <v>2764</v>
      </c>
      <c r="H594" s="1397"/>
      <c r="I594" s="1397"/>
      <c r="J594" s="1397"/>
      <c r="K594" s="1397"/>
      <c r="L594" s="1397"/>
      <c r="M594" s="1397"/>
      <c r="N594" s="1397"/>
      <c r="O594" s="1397"/>
      <c r="P594" s="1397"/>
      <c r="Q594" s="1397"/>
      <c r="R594" s="1397"/>
      <c r="T594" s="22"/>
      <c r="U594" t="s">
        <v>85</v>
      </c>
      <c r="Z594" s="1396" t="s">
        <v>2845</v>
      </c>
      <c r="AA594" s="1397"/>
      <c r="AB594" s="1397"/>
      <c r="AC594" s="1397"/>
      <c r="AD594" s="1397"/>
      <c r="AE594" s="1397"/>
      <c r="AF594" s="1397"/>
      <c r="AG594" s="1397"/>
      <c r="AH594" s="1397"/>
      <c r="AI594" s="1397"/>
      <c r="AJ594" s="1397"/>
      <c r="AK594" s="1397"/>
      <c r="BB594" s="3"/>
      <c r="BC594" s="3"/>
    </row>
    <row r="595" spans="1:55" ht="12.95" customHeight="1">
      <c r="A595" s="22"/>
      <c r="B595" t="s">
        <v>578</v>
      </c>
      <c r="G595" s="1397" t="s">
        <v>2765</v>
      </c>
      <c r="H595" s="1397"/>
      <c r="I595" s="1397"/>
      <c r="J595" s="1397"/>
      <c r="K595" s="1397"/>
      <c r="L595" s="1397"/>
      <c r="M595" s="1397"/>
      <c r="N595" s="1397"/>
      <c r="O595" s="1397"/>
      <c r="P595" s="1397"/>
      <c r="Q595" s="1397"/>
      <c r="R595" s="1397"/>
      <c r="T595" s="22"/>
      <c r="U595" t="s">
        <v>578</v>
      </c>
      <c r="Z595" s="1412"/>
      <c r="AA595" s="1420"/>
      <c r="AB595" s="1420"/>
      <c r="AC595" s="1420"/>
      <c r="AD595" s="1420"/>
      <c r="AE595" s="1420"/>
      <c r="AF595" s="1420"/>
      <c r="AG595" s="1420"/>
      <c r="AH595" s="1420"/>
      <c r="AI595" s="1420"/>
      <c r="AJ595" s="1420"/>
      <c r="AK595" s="1420"/>
      <c r="BB595" s="3"/>
      <c r="BC595" s="3"/>
    </row>
    <row r="596" spans="1:55" ht="12.95" customHeight="1">
      <c r="A596" s="22"/>
      <c r="B596" t="s">
        <v>17</v>
      </c>
      <c r="G596" s="1397" t="s">
        <v>2770</v>
      </c>
      <c r="H596" s="1397"/>
      <c r="I596" s="1397"/>
      <c r="J596" s="1397"/>
      <c r="K596" s="1397"/>
      <c r="L596" s="1397"/>
      <c r="M596" s="1397"/>
      <c r="N596" s="1397"/>
      <c r="O596" s="1397"/>
      <c r="P596" s="1397"/>
      <c r="Q596" s="1397"/>
      <c r="R596" s="1397"/>
      <c r="T596" s="22"/>
      <c r="U596" t="s">
        <v>17</v>
      </c>
      <c r="Z596" s="1412"/>
      <c r="AA596" s="1420"/>
      <c r="AB596" s="1420"/>
      <c r="AC596" s="1420"/>
      <c r="AD596" s="1420"/>
      <c r="AE596" s="1420"/>
      <c r="AF596" s="1420"/>
      <c r="AG596" s="1420"/>
      <c r="AH596" s="1420"/>
      <c r="AI596" s="1420"/>
      <c r="AJ596" s="1420"/>
      <c r="AK596" s="1420"/>
    </row>
    <row r="597" spans="1:55" ht="12.95" customHeight="1">
      <c r="A597" s="22"/>
      <c r="B597" t="s">
        <v>315</v>
      </c>
      <c r="G597" s="1394" t="s">
        <v>2771</v>
      </c>
      <c r="H597" s="1395"/>
      <c r="I597" s="1395"/>
      <c r="J597" s="1395"/>
      <c r="K597" s="1395"/>
      <c r="L597" s="1395"/>
      <c r="O597" s="33" t="s">
        <v>205</v>
      </c>
      <c r="P597" s="1426"/>
      <c r="Q597" s="1426"/>
      <c r="R597" s="1426"/>
      <c r="T597" s="22"/>
      <c r="U597" t="s">
        <v>315</v>
      </c>
      <c r="Z597" s="1395"/>
      <c r="AA597" s="1395"/>
      <c r="AB597" s="1395"/>
      <c r="AC597" s="1395"/>
      <c r="AD597" s="1395"/>
      <c r="AE597" s="1395"/>
      <c r="AH597" s="33" t="s">
        <v>205</v>
      </c>
      <c r="AI597" s="1426"/>
      <c r="AJ597" s="1426"/>
      <c r="AK597" s="1426"/>
      <c r="AZ597" s="3"/>
      <c r="BA597" s="3"/>
      <c r="BB597" s="3"/>
      <c r="BC597" s="3"/>
    </row>
    <row r="598" spans="1:55" ht="12.95" customHeight="1">
      <c r="A598" s="22"/>
      <c r="B598" t="s">
        <v>18</v>
      </c>
      <c r="H598" s="1397" t="s">
        <v>2060</v>
      </c>
      <c r="I598" s="1397"/>
      <c r="J598" s="1397"/>
      <c r="K598" s="1397"/>
      <c r="L598" s="1397"/>
      <c r="M598" s="1397"/>
      <c r="N598" s="1397"/>
      <c r="O598" s="1397"/>
      <c r="P598" s="1397"/>
      <c r="Q598" s="1397"/>
      <c r="R598" s="1397"/>
      <c r="T598" s="22"/>
      <c r="U598" t="s">
        <v>18</v>
      </c>
      <c r="AA598" s="1397" t="s">
        <v>2052</v>
      </c>
      <c r="AB598" s="1397"/>
      <c r="AC598" s="1397"/>
      <c r="AD598" s="1397"/>
      <c r="AE598" s="1397"/>
      <c r="AF598" s="1397"/>
      <c r="AG598" s="1397"/>
      <c r="AH598" s="1397"/>
      <c r="AI598" s="1397"/>
      <c r="AJ598" s="1397"/>
      <c r="AK598" s="1397"/>
      <c r="AZ598" s="3"/>
      <c r="BA598" s="3"/>
      <c r="BB598" s="3"/>
      <c r="BC598" s="3"/>
    </row>
    <row r="599" spans="1:55" ht="12.95" customHeight="1">
      <c r="A599" s="22"/>
      <c r="B599" t="s">
        <v>20</v>
      </c>
      <c r="N599" s="1296" t="s">
        <v>543</v>
      </c>
      <c r="O599" s="1296"/>
      <c r="T599" s="22"/>
      <c r="U599" t="s">
        <v>20</v>
      </c>
      <c r="AG599" s="1296" t="s">
        <v>543</v>
      </c>
      <c r="AH599" s="1296"/>
      <c r="AZ599" s="3"/>
      <c r="BA599" s="3"/>
      <c r="BB599" s="3"/>
      <c r="BC599" s="3"/>
    </row>
    <row r="600" spans="1:55" ht="12.95" customHeight="1">
      <c r="A600" s="22"/>
      <c r="T600" s="22"/>
      <c r="AZ600" s="3"/>
      <c r="BA600" s="3"/>
      <c r="BB600" s="3"/>
      <c r="BC600" s="3"/>
    </row>
    <row r="601" spans="1:55" ht="12.95" customHeight="1">
      <c r="A601" s="55" t="s">
        <v>453</v>
      </c>
      <c r="B601" t="s">
        <v>461</v>
      </c>
      <c r="G601" s="1428" t="str">
        <f>C568</f>
        <v>Deferred Developer Fee</v>
      </c>
      <c r="H601" s="1428"/>
      <c r="I601" s="1428"/>
      <c r="J601" s="1428"/>
      <c r="K601" s="1428"/>
      <c r="L601" s="1428"/>
      <c r="M601" s="1428"/>
      <c r="N601" s="1428"/>
      <c r="O601" s="1428"/>
      <c r="P601" s="1428"/>
      <c r="Q601" s="1428"/>
      <c r="R601" s="1428"/>
      <c r="T601" s="55" t="s">
        <v>454</v>
      </c>
      <c r="U601" t="s">
        <v>461</v>
      </c>
      <c r="Z601" s="1428" t="str">
        <f>C569</f>
        <v>Costs Deferred Until Completion</v>
      </c>
      <c r="AA601" s="1428"/>
      <c r="AB601" s="1428"/>
      <c r="AC601" s="1428"/>
      <c r="AD601" s="1428"/>
      <c r="AE601" s="1428"/>
      <c r="AF601" s="1428"/>
      <c r="AG601" s="1428"/>
      <c r="AH601" s="1428"/>
      <c r="AI601" s="1428"/>
      <c r="AJ601" s="1428"/>
      <c r="AK601" s="1428"/>
      <c r="AZ601" s="3"/>
      <c r="BA601" s="3"/>
      <c r="BB601" s="3"/>
      <c r="BC601" s="3"/>
    </row>
    <row r="602" spans="1:55" s="4" customFormat="1" ht="12.95" customHeight="1">
      <c r="A602" s="22"/>
      <c r="B602" t="s">
        <v>85</v>
      </c>
      <c r="C602"/>
      <c r="D602"/>
      <c r="E602"/>
      <c r="F602"/>
      <c r="G602" s="1397" t="s">
        <v>2666</v>
      </c>
      <c r="H602" s="1397"/>
      <c r="I602" s="1397"/>
      <c r="J602" s="1397"/>
      <c r="K602" s="1397"/>
      <c r="L602" s="1397"/>
      <c r="M602" s="1397"/>
      <c r="N602" s="1397"/>
      <c r="O602" s="1397"/>
      <c r="P602" s="1397"/>
      <c r="Q602" s="1397"/>
      <c r="R602" s="1397"/>
      <c r="S602"/>
      <c r="T602" s="22"/>
      <c r="U602" t="s">
        <v>85</v>
      </c>
      <c r="V602"/>
      <c r="W602"/>
      <c r="X602"/>
      <c r="Y602"/>
      <c r="Z602" s="1397" t="s">
        <v>2666</v>
      </c>
      <c r="AA602" s="1397"/>
      <c r="AB602" s="1397"/>
      <c r="AC602" s="1397"/>
      <c r="AD602" s="1397"/>
      <c r="AE602" s="1397"/>
      <c r="AF602" s="1397"/>
      <c r="AG602" s="1397"/>
      <c r="AH602" s="1397"/>
      <c r="AI602" s="1397"/>
      <c r="AJ602" s="1397"/>
      <c r="AK602" s="1397"/>
      <c r="AL602"/>
      <c r="AM602"/>
      <c r="AN602"/>
      <c r="AO602"/>
      <c r="AP602"/>
      <c r="AQ602"/>
      <c r="AR602"/>
      <c r="AS602"/>
      <c r="AT602"/>
      <c r="AU602"/>
      <c r="AV602"/>
      <c r="AW602"/>
      <c r="AX602"/>
      <c r="AY602"/>
      <c r="AZ602" s="3"/>
      <c r="BA602" s="3"/>
      <c r="BB602" s="3"/>
      <c r="BC602" s="3"/>
    </row>
    <row r="603" spans="1:55" s="4" customFormat="1" ht="12.95" customHeight="1">
      <c r="A603" s="22"/>
      <c r="B603" t="s">
        <v>578</v>
      </c>
      <c r="C603"/>
      <c r="D603"/>
      <c r="E603"/>
      <c r="F603"/>
      <c r="G603" s="1397" t="s">
        <v>2667</v>
      </c>
      <c r="H603" s="1397"/>
      <c r="I603" s="1397"/>
      <c r="J603" s="1397"/>
      <c r="K603" s="1397"/>
      <c r="L603" s="1397"/>
      <c r="M603" s="1397"/>
      <c r="N603" s="1397"/>
      <c r="O603" s="1397"/>
      <c r="P603" s="1397"/>
      <c r="Q603" s="1397"/>
      <c r="R603" s="1397"/>
      <c r="S603"/>
      <c r="T603" s="22"/>
      <c r="U603" t="s">
        <v>578</v>
      </c>
      <c r="V603"/>
      <c r="W603"/>
      <c r="X603"/>
      <c r="Y603"/>
      <c r="Z603" s="1420" t="s">
        <v>2667</v>
      </c>
      <c r="AA603" s="1420"/>
      <c r="AB603" s="1420"/>
      <c r="AC603" s="1420"/>
      <c r="AD603" s="1420"/>
      <c r="AE603" s="1420"/>
      <c r="AF603" s="1420"/>
      <c r="AG603" s="1420"/>
      <c r="AH603" s="1420"/>
      <c r="AI603" s="1420"/>
      <c r="AJ603" s="1420"/>
      <c r="AK603" s="1420"/>
      <c r="AL603"/>
      <c r="AM603"/>
      <c r="AN603"/>
      <c r="AO603"/>
      <c r="AP603"/>
      <c r="AQ603"/>
      <c r="AR603"/>
      <c r="AS603"/>
      <c r="AT603"/>
      <c r="AU603"/>
      <c r="AV603"/>
      <c r="AW603"/>
      <c r="AX603"/>
      <c r="AY603"/>
      <c r="AZ603" s="3"/>
      <c r="BA603" s="3"/>
      <c r="BB603" s="3"/>
      <c r="BC603" s="3"/>
    </row>
    <row r="604" spans="1:55" s="4" customFormat="1" ht="12.95" customHeight="1">
      <c r="A604" s="22"/>
      <c r="B604" t="s">
        <v>17</v>
      </c>
      <c r="C604"/>
      <c r="D604"/>
      <c r="E604"/>
      <c r="F604"/>
      <c r="G604" s="1397" t="s">
        <v>2693</v>
      </c>
      <c r="H604" s="1397"/>
      <c r="I604" s="1397"/>
      <c r="J604" s="1397"/>
      <c r="K604" s="1397"/>
      <c r="L604" s="1397"/>
      <c r="M604" s="1397"/>
      <c r="N604" s="1397"/>
      <c r="O604" s="1397"/>
      <c r="P604" s="1397"/>
      <c r="Q604" s="1397"/>
      <c r="R604" s="1397"/>
      <c r="S604"/>
      <c r="T604" s="22"/>
      <c r="U604" t="s">
        <v>17</v>
      </c>
      <c r="V604"/>
      <c r="W604"/>
      <c r="X604"/>
      <c r="Y604"/>
      <c r="Z604" s="1420" t="s">
        <v>2693</v>
      </c>
      <c r="AA604" s="1420"/>
      <c r="AB604" s="1420"/>
      <c r="AC604" s="1420"/>
      <c r="AD604" s="1420"/>
      <c r="AE604" s="1420"/>
      <c r="AF604" s="1420"/>
      <c r="AG604" s="1420"/>
      <c r="AH604" s="1420"/>
      <c r="AI604" s="1420"/>
      <c r="AJ604" s="1420"/>
      <c r="AK604" s="1420"/>
      <c r="AL604"/>
      <c r="AM604"/>
      <c r="AN604"/>
      <c r="AO604"/>
      <c r="AP604"/>
      <c r="AQ604"/>
      <c r="AR604"/>
      <c r="AS604"/>
      <c r="AT604"/>
      <c r="AU604"/>
      <c r="AV604"/>
      <c r="AW604"/>
      <c r="AX604"/>
      <c r="AY604"/>
      <c r="BB604" s="3"/>
      <c r="BC604" s="3"/>
    </row>
    <row r="605" spans="1:55" s="4" customFormat="1" ht="12.95" customHeight="1">
      <c r="A605" s="22"/>
      <c r="B605" t="s">
        <v>315</v>
      </c>
      <c r="C605"/>
      <c r="D605"/>
      <c r="E605"/>
      <c r="F605"/>
      <c r="G605" s="1394" t="s">
        <v>2694</v>
      </c>
      <c r="H605" s="1395"/>
      <c r="I605" s="1395"/>
      <c r="J605" s="1395"/>
      <c r="K605" s="1395"/>
      <c r="L605" s="1395"/>
      <c r="M605"/>
      <c r="N605"/>
      <c r="O605" s="33" t="s">
        <v>205</v>
      </c>
      <c r="P605" s="1426"/>
      <c r="Q605" s="1426"/>
      <c r="R605" s="1426"/>
      <c r="S605"/>
      <c r="T605" s="22"/>
      <c r="U605" t="s">
        <v>315</v>
      </c>
      <c r="V605"/>
      <c r="W605"/>
      <c r="X605"/>
      <c r="Y605"/>
      <c r="Z605" s="1395" t="s">
        <v>2694</v>
      </c>
      <c r="AA605" s="1395"/>
      <c r="AB605" s="1395"/>
      <c r="AC605" s="1395"/>
      <c r="AD605" s="1395"/>
      <c r="AE605" s="1395"/>
      <c r="AF605"/>
      <c r="AG605"/>
      <c r="AH605" s="33" t="s">
        <v>205</v>
      </c>
      <c r="AI605" s="1426"/>
      <c r="AJ605" s="1426"/>
      <c r="AK605" s="1426"/>
      <c r="AL605"/>
      <c r="AM605"/>
      <c r="AN605"/>
      <c r="AO605"/>
      <c r="AP605"/>
      <c r="AQ605"/>
      <c r="AR605"/>
      <c r="AS605"/>
      <c r="AT605"/>
      <c r="AU605"/>
      <c r="AV605"/>
      <c r="AW605"/>
      <c r="AX605"/>
      <c r="AY605"/>
      <c r="BB605" s="3"/>
      <c r="BC605" s="3"/>
    </row>
    <row r="606" spans="1:55" s="4" customFormat="1" ht="12.95" customHeight="1">
      <c r="A606" s="22"/>
      <c r="B606" t="s">
        <v>18</v>
      </c>
      <c r="C606"/>
      <c r="D606"/>
      <c r="E606"/>
      <c r="F606"/>
      <c r="G606"/>
      <c r="H606" s="1397" t="s">
        <v>2735</v>
      </c>
      <c r="I606" s="1397"/>
      <c r="J606" s="1397"/>
      <c r="K606" s="1397"/>
      <c r="L606" s="1397"/>
      <c r="M606" s="1397"/>
      <c r="N606" s="1397"/>
      <c r="O606" s="1397"/>
      <c r="P606" s="1397"/>
      <c r="Q606" s="1397"/>
      <c r="R606" s="1397"/>
      <c r="S606"/>
      <c r="T606" s="22"/>
      <c r="U606" t="s">
        <v>18</v>
      </c>
      <c r="V606"/>
      <c r="W606"/>
      <c r="X606"/>
      <c r="Y606"/>
      <c r="Z606"/>
      <c r="AA606" s="1396" t="s">
        <v>2840</v>
      </c>
      <c r="AB606" s="1397"/>
      <c r="AC606" s="1397"/>
      <c r="AD606" s="1397"/>
      <c r="AE606" s="1397"/>
      <c r="AF606" s="1397"/>
      <c r="AG606" s="1397"/>
      <c r="AH606" s="1397"/>
      <c r="AI606" s="1397"/>
      <c r="AJ606" s="1397"/>
      <c r="AK606" s="1397"/>
      <c r="AL606"/>
      <c r="AM606"/>
      <c r="AN606"/>
      <c r="AO606"/>
      <c r="AP606"/>
      <c r="AQ606"/>
      <c r="AR606"/>
      <c r="AS606"/>
      <c r="AT606"/>
      <c r="AU606"/>
      <c r="AV606"/>
      <c r="AW606"/>
      <c r="AX606"/>
      <c r="AY606"/>
      <c r="BB606" s="3"/>
      <c r="BC606" s="3"/>
    </row>
    <row r="607" spans="1:55" ht="12.95" customHeight="1">
      <c r="A607" s="22"/>
      <c r="B607" t="s">
        <v>20</v>
      </c>
      <c r="N607" s="1296" t="s">
        <v>543</v>
      </c>
      <c r="O607" s="1296"/>
      <c r="T607" s="22"/>
      <c r="U607" t="s">
        <v>20</v>
      </c>
      <c r="AG607" s="1296" t="s">
        <v>543</v>
      </c>
      <c r="AH607" s="1296"/>
      <c r="BB607" s="3"/>
      <c r="BC607" s="3"/>
    </row>
    <row r="608" spans="1:55" ht="12.95" customHeight="1">
      <c r="A608" s="22"/>
      <c r="T608" s="22"/>
      <c r="BB608" s="3"/>
      <c r="BC608" s="3"/>
    </row>
    <row r="609" spans="1:55" ht="12.95" customHeight="1">
      <c r="A609" s="55" t="s">
        <v>459</v>
      </c>
      <c r="B609" t="s">
        <v>461</v>
      </c>
      <c r="G609" s="1428" t="str">
        <f>C570</f>
        <v>General Partner Equity</v>
      </c>
      <c r="H609" s="1428"/>
      <c r="I609" s="1428"/>
      <c r="J609" s="1428"/>
      <c r="K609" s="1428"/>
      <c r="L609" s="1428"/>
      <c r="M609" s="1428"/>
      <c r="N609" s="1428"/>
      <c r="O609" s="1428"/>
      <c r="P609" s="1428"/>
      <c r="Q609" s="1428"/>
      <c r="R609" s="1428"/>
      <c r="T609" s="55" t="s">
        <v>644</v>
      </c>
      <c r="U609" t="s">
        <v>461</v>
      </c>
      <c r="Z609" s="1428" t="str">
        <f>C571</f>
        <v>LIHTC Equity</v>
      </c>
      <c r="AA609" s="1428"/>
      <c r="AB609" s="1428"/>
      <c r="AC609" s="1428"/>
      <c r="AD609" s="1428"/>
      <c r="AE609" s="1428"/>
      <c r="AF609" s="1428"/>
      <c r="AG609" s="1428"/>
      <c r="AH609" s="1428"/>
      <c r="AI609" s="1428"/>
      <c r="AJ609" s="1428"/>
      <c r="AK609" s="1428"/>
      <c r="BB609" s="3"/>
      <c r="BC609" s="3"/>
    </row>
    <row r="610" spans="1:55" ht="12.95" customHeight="1">
      <c r="A610" s="22"/>
      <c r="B610" t="s">
        <v>85</v>
      </c>
      <c r="G610" s="1397" t="s">
        <v>2666</v>
      </c>
      <c r="H610" s="1397"/>
      <c r="I610" s="1397"/>
      <c r="J610" s="1397"/>
      <c r="K610" s="1397"/>
      <c r="L610" s="1397"/>
      <c r="M610" s="1397"/>
      <c r="N610" s="1397"/>
      <c r="O610" s="1397"/>
      <c r="P610" s="1397"/>
      <c r="Q610" s="1397"/>
      <c r="R610" s="1397"/>
      <c r="T610" s="22"/>
      <c r="U610" t="s">
        <v>85</v>
      </c>
      <c r="Z610" s="1397"/>
      <c r="AA610" s="1397"/>
      <c r="AB610" s="1397"/>
      <c r="AC610" s="1397"/>
      <c r="AD610" s="1397"/>
      <c r="AE610" s="1397"/>
      <c r="AF610" s="1397"/>
      <c r="AG610" s="1397"/>
      <c r="AH610" s="1397"/>
      <c r="AI610" s="1397"/>
      <c r="AJ610" s="1397"/>
      <c r="AK610" s="1397"/>
      <c r="AZ610" s="3"/>
      <c r="BA610" s="3"/>
      <c r="BB610" s="3"/>
      <c r="BC610" s="3"/>
    </row>
    <row r="611" spans="1:55" ht="12.95" customHeight="1">
      <c r="A611" s="22"/>
      <c r="B611" t="s">
        <v>578</v>
      </c>
      <c r="G611" s="1397" t="s">
        <v>2667</v>
      </c>
      <c r="H611" s="1397"/>
      <c r="I611" s="1397"/>
      <c r="J611" s="1397"/>
      <c r="K611" s="1397"/>
      <c r="L611" s="1397"/>
      <c r="M611" s="1397"/>
      <c r="N611" s="1397"/>
      <c r="O611" s="1397"/>
      <c r="P611" s="1397"/>
      <c r="Q611" s="1397"/>
      <c r="R611" s="1397"/>
      <c r="T611" s="22"/>
      <c r="U611" t="s">
        <v>578</v>
      </c>
      <c r="Z611" s="1420"/>
      <c r="AA611" s="1420"/>
      <c r="AB611" s="1420"/>
      <c r="AC611" s="1420"/>
      <c r="AD611" s="1420"/>
      <c r="AE611" s="1420"/>
      <c r="AF611" s="1420"/>
      <c r="AG611" s="1420"/>
      <c r="AH611" s="1420"/>
      <c r="AI611" s="1420"/>
      <c r="AJ611" s="1420"/>
      <c r="AK611" s="1420"/>
      <c r="AZ611" s="3"/>
      <c r="BA611" s="3"/>
      <c r="BB611" s="3"/>
      <c r="BC611" s="3"/>
    </row>
    <row r="612" spans="1:55" ht="12.95" customHeight="1">
      <c r="A612" s="22"/>
      <c r="B612" t="s">
        <v>17</v>
      </c>
      <c r="G612" s="1397" t="s">
        <v>2693</v>
      </c>
      <c r="H612" s="1397"/>
      <c r="I612" s="1397"/>
      <c r="J612" s="1397"/>
      <c r="K612" s="1397"/>
      <c r="L612" s="1397"/>
      <c r="M612" s="1397"/>
      <c r="N612" s="1397"/>
      <c r="O612" s="1397"/>
      <c r="P612" s="1397"/>
      <c r="Q612" s="1397"/>
      <c r="R612" s="1397"/>
      <c r="T612" s="22"/>
      <c r="U612" t="s">
        <v>17</v>
      </c>
      <c r="Z612" s="1420"/>
      <c r="AA612" s="1420"/>
      <c r="AB612" s="1420"/>
      <c r="AC612" s="1420"/>
      <c r="AD612" s="1420"/>
      <c r="AE612" s="1420"/>
      <c r="AF612" s="1420"/>
      <c r="AG612" s="1420"/>
      <c r="AH612" s="1420"/>
      <c r="AI612" s="1420"/>
      <c r="AJ612" s="1420"/>
      <c r="AK612" s="1420"/>
      <c r="AZ612" s="3"/>
      <c r="BA612" s="3"/>
      <c r="BB612" s="3"/>
      <c r="BC612" s="3"/>
    </row>
    <row r="613" spans="1:55" s="4" customFormat="1" ht="12.95" customHeight="1">
      <c r="A613" s="22"/>
      <c r="B613" t="s">
        <v>315</v>
      </c>
      <c r="C613"/>
      <c r="D613"/>
      <c r="E613"/>
      <c r="F613"/>
      <c r="G613" s="1395" t="s">
        <v>2694</v>
      </c>
      <c r="H613" s="1395"/>
      <c r="I613" s="1395"/>
      <c r="J613" s="1395"/>
      <c r="K613" s="1395"/>
      <c r="L613" s="1395"/>
      <c r="M613"/>
      <c r="N613"/>
      <c r="O613" s="33" t="s">
        <v>205</v>
      </c>
      <c r="P613" s="1426"/>
      <c r="Q613" s="1426"/>
      <c r="R613" s="1426"/>
      <c r="S613"/>
      <c r="T613" s="22"/>
      <c r="U613" t="s">
        <v>315</v>
      </c>
      <c r="V613"/>
      <c r="W613"/>
      <c r="X613"/>
      <c r="Y613"/>
      <c r="Z613" s="1395"/>
      <c r="AA613" s="1395"/>
      <c r="AB613" s="1395"/>
      <c r="AC613" s="1395"/>
      <c r="AD613" s="1395"/>
      <c r="AE613" s="1395"/>
      <c r="AF613"/>
      <c r="AG613"/>
      <c r="AH613" s="33" t="s">
        <v>205</v>
      </c>
      <c r="AI613" s="1426"/>
      <c r="AJ613" s="1426"/>
      <c r="AK613" s="1426"/>
      <c r="AL613"/>
      <c r="AM613"/>
      <c r="AN613"/>
      <c r="AO613"/>
      <c r="AP613"/>
      <c r="AQ613"/>
      <c r="AR613"/>
      <c r="AS613"/>
      <c r="AT613"/>
      <c r="AU613"/>
      <c r="AV613"/>
      <c r="AW613"/>
      <c r="AX613"/>
      <c r="AY613"/>
      <c r="AZ613" s="3"/>
      <c r="BA613" s="3"/>
      <c r="BB613" s="3"/>
      <c r="BC613" s="3"/>
    </row>
    <row r="614" spans="1:55" s="4" customFormat="1" ht="12.95" customHeight="1">
      <c r="A614" s="22"/>
      <c r="B614" t="s">
        <v>18</v>
      </c>
      <c r="C614"/>
      <c r="D614"/>
      <c r="E614"/>
      <c r="F614"/>
      <c r="G614"/>
      <c r="H614" s="1396" t="s">
        <v>2841</v>
      </c>
      <c r="I614" s="1397"/>
      <c r="J614" s="1397"/>
      <c r="K614" s="1397"/>
      <c r="L614" s="1397"/>
      <c r="M614" s="1397"/>
      <c r="N614" s="1397"/>
      <c r="O614" s="1397"/>
      <c r="P614" s="1397"/>
      <c r="Q614" s="1397"/>
      <c r="R614" s="1397"/>
      <c r="S614"/>
      <c r="T614" s="22"/>
      <c r="U614" t="s">
        <v>18</v>
      </c>
      <c r="V614"/>
      <c r="W614"/>
      <c r="X614"/>
      <c r="Y614"/>
      <c r="Z614"/>
      <c r="AA614" s="1397" t="s">
        <v>2058</v>
      </c>
      <c r="AB614" s="1397"/>
      <c r="AC614" s="1397"/>
      <c r="AD614" s="1397"/>
      <c r="AE614" s="1397"/>
      <c r="AF614" s="1397"/>
      <c r="AG614" s="1397"/>
      <c r="AH614" s="1397"/>
      <c r="AI614" s="1397"/>
      <c r="AJ614" s="1397"/>
      <c r="AK614" s="1397"/>
      <c r="AL614"/>
      <c r="AM614"/>
      <c r="AN614"/>
      <c r="AO614"/>
      <c r="AP614"/>
      <c r="AQ614"/>
      <c r="AR614"/>
      <c r="AS614"/>
      <c r="AT614"/>
      <c r="AU614"/>
      <c r="AV614"/>
      <c r="AW614"/>
      <c r="AX614"/>
      <c r="AY614"/>
      <c r="AZ614" s="3"/>
      <c r="BA614" s="3"/>
      <c r="BB614" s="3"/>
      <c r="BC614" s="3"/>
    </row>
    <row r="615" spans="1:55" s="4" customFormat="1" ht="12.95" customHeight="1">
      <c r="A615" s="22"/>
      <c r="B615" t="s">
        <v>20</v>
      </c>
      <c r="C615"/>
      <c r="D615"/>
      <c r="E615"/>
      <c r="F615"/>
      <c r="G615"/>
      <c r="H615"/>
      <c r="I615"/>
      <c r="J615"/>
      <c r="K615"/>
      <c r="L615"/>
      <c r="M615"/>
      <c r="N615" s="1296" t="s">
        <v>543</v>
      </c>
      <c r="O615" s="1296"/>
      <c r="P615"/>
      <c r="Q615"/>
      <c r="R615"/>
      <c r="S615"/>
      <c r="T615" s="22"/>
      <c r="U615" t="s">
        <v>20</v>
      </c>
      <c r="V615"/>
      <c r="W615"/>
      <c r="X615"/>
      <c r="Y615"/>
      <c r="Z615"/>
      <c r="AA615"/>
      <c r="AB615"/>
      <c r="AC615"/>
      <c r="AD615"/>
      <c r="AE615"/>
      <c r="AF615"/>
      <c r="AG615" s="1296" t="s">
        <v>667</v>
      </c>
      <c r="AH615" s="1296"/>
      <c r="AI615"/>
      <c r="AJ615"/>
      <c r="AK615"/>
      <c r="AL615"/>
      <c r="AM615"/>
      <c r="AN615"/>
      <c r="AO615"/>
      <c r="AP615"/>
      <c r="AQ615"/>
      <c r="AR615"/>
      <c r="AS615"/>
      <c r="AT615"/>
      <c r="AU615"/>
      <c r="AV615"/>
      <c r="AW615"/>
      <c r="AX615"/>
      <c r="AY615"/>
      <c r="AZ615" s="3"/>
      <c r="BA615" s="3"/>
      <c r="BB615" s="3"/>
      <c r="BC615" s="3"/>
    </row>
    <row r="616" spans="1:55" ht="12.95" customHeight="1">
      <c r="A616" s="22"/>
      <c r="T616" s="22"/>
      <c r="AZ616" s="3"/>
      <c r="BA616" s="3"/>
      <c r="BB616" s="3"/>
      <c r="BC616" s="3"/>
    </row>
    <row r="617" spans="1:55" ht="12.95" customHeight="1">
      <c r="A617" s="55" t="s">
        <v>361</v>
      </c>
      <c r="B617" t="s">
        <v>461</v>
      </c>
      <c r="G617" s="1428">
        <f>C572</f>
        <v>0</v>
      </c>
      <c r="H617" s="1428"/>
      <c r="I617" s="1428"/>
      <c r="J617" s="1428"/>
      <c r="K617" s="1428"/>
      <c r="L617" s="1428"/>
      <c r="M617" s="1428"/>
      <c r="N617" s="1428"/>
      <c r="O617" s="1428"/>
      <c r="P617" s="1428"/>
      <c r="Q617" s="1428"/>
      <c r="R617" s="1428"/>
      <c r="T617" s="55" t="s">
        <v>362</v>
      </c>
      <c r="U617" t="s">
        <v>461</v>
      </c>
      <c r="Z617" s="1428">
        <f>C573</f>
        <v>0</v>
      </c>
      <c r="AA617" s="1428"/>
      <c r="AB617" s="1428"/>
      <c r="AC617" s="1428"/>
      <c r="AD617" s="1428"/>
      <c r="AE617" s="1428"/>
      <c r="AF617" s="1428"/>
      <c r="AG617" s="1428"/>
      <c r="AH617" s="1428"/>
      <c r="AI617" s="1428"/>
      <c r="AJ617" s="1428"/>
      <c r="AK617" s="1428"/>
      <c r="AZ617" s="3"/>
      <c r="BA617" s="3"/>
      <c r="BB617" s="3"/>
      <c r="BC617" s="3"/>
    </row>
    <row r="618" spans="1:55" ht="12.95" customHeight="1">
      <c r="B618" t="s">
        <v>85</v>
      </c>
      <c r="G618" s="1397"/>
      <c r="H618" s="1397"/>
      <c r="I618" s="1397"/>
      <c r="J618" s="1397"/>
      <c r="K618" s="1397"/>
      <c r="L618" s="1397"/>
      <c r="M618" s="1397"/>
      <c r="N618" s="1397"/>
      <c r="O618" s="1397"/>
      <c r="P618" s="1397"/>
      <c r="Q618" s="1397"/>
      <c r="R618" s="1397"/>
      <c r="U618" t="s">
        <v>85</v>
      </c>
      <c r="Z618" s="1397"/>
      <c r="AA618" s="1397"/>
      <c r="AB618" s="1397"/>
      <c r="AC618" s="1397"/>
      <c r="AD618" s="1397"/>
      <c r="AE618" s="1397"/>
      <c r="AF618" s="1397"/>
      <c r="AG618" s="1397"/>
      <c r="AH618" s="1397"/>
      <c r="AI618" s="1397"/>
      <c r="AJ618" s="1397"/>
      <c r="AK618" s="1397"/>
      <c r="AZ618" s="3"/>
      <c r="BA618" s="3"/>
      <c r="BB618" s="3"/>
      <c r="BC618" s="3"/>
    </row>
    <row r="619" spans="1:55" ht="12.95" customHeight="1">
      <c r="B619" t="s">
        <v>578</v>
      </c>
      <c r="G619" s="1397"/>
      <c r="H619" s="1397"/>
      <c r="I619" s="1397"/>
      <c r="J619" s="1397"/>
      <c r="K619" s="1397"/>
      <c r="L619" s="1397"/>
      <c r="M619" s="1397"/>
      <c r="N619" s="1397"/>
      <c r="O619" s="1397"/>
      <c r="P619" s="1397"/>
      <c r="Q619" s="1397"/>
      <c r="R619" s="1397"/>
      <c r="U619" t="s">
        <v>578</v>
      </c>
      <c r="Z619" s="1420"/>
      <c r="AA619" s="1420"/>
      <c r="AB619" s="1420"/>
      <c r="AC619" s="1420"/>
      <c r="AD619" s="1420"/>
      <c r="AE619" s="1420"/>
      <c r="AF619" s="1420"/>
      <c r="AG619" s="1420"/>
      <c r="AH619" s="1420"/>
      <c r="AI619" s="1420"/>
      <c r="AJ619" s="1420"/>
      <c r="AK619" s="1420"/>
      <c r="AZ619" s="3"/>
      <c r="BA619" s="3"/>
      <c r="BB619" s="3"/>
      <c r="BC619" s="3"/>
    </row>
    <row r="620" spans="1:55" ht="12.95" customHeight="1">
      <c r="B620" t="s">
        <v>17</v>
      </c>
      <c r="G620" s="1397"/>
      <c r="H620" s="1397"/>
      <c r="I620" s="1397"/>
      <c r="J620" s="1397"/>
      <c r="K620" s="1397"/>
      <c r="L620" s="1397"/>
      <c r="M620" s="1397"/>
      <c r="N620" s="1397"/>
      <c r="O620" s="1397"/>
      <c r="P620" s="1397"/>
      <c r="Q620" s="1397"/>
      <c r="R620" s="1397"/>
      <c r="U620" t="s">
        <v>17</v>
      </c>
      <c r="Z620" s="1420"/>
      <c r="AA620" s="1420"/>
      <c r="AB620" s="1420"/>
      <c r="AC620" s="1420"/>
      <c r="AD620" s="1420"/>
      <c r="AE620" s="1420"/>
      <c r="AF620" s="1420"/>
      <c r="AG620" s="1420"/>
      <c r="AH620" s="1420"/>
      <c r="AI620" s="1420"/>
      <c r="AJ620" s="1420"/>
      <c r="AK620" s="1420"/>
      <c r="AZ620" s="3"/>
      <c r="BA620" s="3"/>
      <c r="BB620" s="3"/>
      <c r="BC620" s="3"/>
    </row>
    <row r="621" spans="1:55" ht="12.95" customHeight="1">
      <c r="B621" t="s">
        <v>315</v>
      </c>
      <c r="G621" s="1395"/>
      <c r="H621" s="1395"/>
      <c r="I621" s="1395"/>
      <c r="J621" s="1395"/>
      <c r="K621" s="1395"/>
      <c r="L621" s="1395"/>
      <c r="O621" s="33" t="s">
        <v>205</v>
      </c>
      <c r="P621" s="1426"/>
      <c r="Q621" s="1426"/>
      <c r="R621" s="1426"/>
      <c r="U621" t="s">
        <v>315</v>
      </c>
      <c r="Z621" s="1395"/>
      <c r="AA621" s="1395"/>
      <c r="AB621" s="1395"/>
      <c r="AC621" s="1395"/>
      <c r="AD621" s="1395"/>
      <c r="AE621" s="1395"/>
      <c r="AH621" s="33" t="s">
        <v>205</v>
      </c>
      <c r="AI621" s="1426"/>
      <c r="AJ621" s="1426"/>
      <c r="AK621" s="1426"/>
      <c r="AZ621" s="3"/>
      <c r="BA621" s="3"/>
      <c r="BB621" s="3"/>
      <c r="BC621" s="3"/>
    </row>
    <row r="622" spans="1:55" ht="12.95" customHeight="1">
      <c r="B622" t="s">
        <v>18</v>
      </c>
      <c r="H622" s="1397"/>
      <c r="I622" s="1397"/>
      <c r="J622" s="1397"/>
      <c r="K622" s="1397"/>
      <c r="L622" s="1397"/>
      <c r="M622" s="1397"/>
      <c r="N622" s="1397"/>
      <c r="O622" s="1397"/>
      <c r="P622" s="1397"/>
      <c r="Q622" s="1397"/>
      <c r="R622" s="1397"/>
      <c r="U622" t="s">
        <v>18</v>
      </c>
      <c r="AA622" s="1397"/>
      <c r="AB622" s="1397"/>
      <c r="AC622" s="1397"/>
      <c r="AD622" s="1397"/>
      <c r="AE622" s="1397"/>
      <c r="AF622" s="1397"/>
      <c r="AG622" s="1397"/>
      <c r="AH622" s="1397"/>
      <c r="AI622" s="1397"/>
      <c r="AJ622" s="1397"/>
      <c r="AK622" s="1397"/>
      <c r="AU622" s="890"/>
      <c r="AV622" s="890"/>
      <c r="AW622" s="890"/>
      <c r="AX622" s="890"/>
      <c r="AY622" s="890"/>
      <c r="AZ622" s="3"/>
      <c r="BA622" s="3"/>
      <c r="BB622" s="3"/>
      <c r="BC622" s="3"/>
    </row>
    <row r="623" spans="1:55" ht="12.95" customHeight="1">
      <c r="B623" t="s">
        <v>20</v>
      </c>
      <c r="N623" s="1296" t="s">
        <v>667</v>
      </c>
      <c r="O623" s="1296"/>
      <c r="U623" t="s">
        <v>20</v>
      </c>
      <c r="AG623" s="1296" t="s">
        <v>667</v>
      </c>
      <c r="AH623" s="1296"/>
      <c r="AU623" s="890"/>
      <c r="AV623" s="890"/>
      <c r="AW623" s="890"/>
      <c r="AX623" s="890"/>
      <c r="AY623" s="890"/>
      <c r="AZ623" s="3"/>
      <c r="BA623" s="3"/>
      <c r="BB623" s="3"/>
      <c r="BC623" s="3"/>
    </row>
    <row r="624" spans="1:55" ht="12.95" customHeight="1">
      <c r="AZ624" s="3"/>
      <c r="BA624" s="3"/>
      <c r="BB624" s="3"/>
      <c r="BC624" s="3"/>
    </row>
    <row r="625" spans="1:56" ht="12.95" customHeight="1">
      <c r="A625" s="1427" t="s">
        <v>542</v>
      </c>
      <c r="B625" s="1427"/>
      <c r="C625" s="1427"/>
      <c r="D625" s="1427"/>
      <c r="E625" s="1427"/>
      <c r="F625" s="1427"/>
      <c r="G625" s="1427"/>
      <c r="H625" s="1427"/>
      <c r="I625" s="1427"/>
      <c r="J625" s="1427"/>
      <c r="K625" s="1427"/>
      <c r="L625" s="1427"/>
      <c r="M625" s="1427"/>
      <c r="N625" s="1427"/>
      <c r="O625" s="1427"/>
      <c r="P625" s="1427"/>
      <c r="Q625" s="1427"/>
      <c r="R625" s="1427"/>
      <c r="S625" s="1427"/>
      <c r="T625" s="1427"/>
      <c r="U625" s="1427"/>
      <c r="V625" s="1427"/>
      <c r="W625" s="1427"/>
      <c r="X625" s="1427"/>
      <c r="Y625" s="1427"/>
      <c r="Z625" s="1427"/>
      <c r="AA625" s="1427"/>
      <c r="AB625" s="1427"/>
      <c r="AC625" s="1427"/>
      <c r="AD625" s="1427"/>
      <c r="AE625" s="1427"/>
      <c r="AF625" s="1427"/>
      <c r="AG625" s="1427"/>
      <c r="AH625" s="1427"/>
      <c r="AI625" s="1427"/>
      <c r="AJ625" s="1427"/>
      <c r="AK625" s="1427"/>
      <c r="AL625" s="1427"/>
      <c r="AM625" s="1427"/>
      <c r="AN625" s="1427"/>
      <c r="AO625" s="1427"/>
      <c r="AP625" s="1427"/>
      <c r="AQ625" s="1427"/>
      <c r="AR625" s="1427"/>
      <c r="AS625" s="1427"/>
      <c r="AT625" s="1427"/>
      <c r="AZ625" s="3"/>
      <c r="BA625" s="3"/>
      <c r="BB625" s="3"/>
      <c r="BC625" s="3"/>
    </row>
    <row r="626" spans="1:56" ht="12.95" customHeight="1">
      <c r="A626" s="1427"/>
      <c r="B626" s="1427"/>
      <c r="C626" s="1427"/>
      <c r="D626" s="1427"/>
      <c r="E626" s="1427"/>
      <c r="F626" s="1427"/>
      <c r="G626" s="1427"/>
      <c r="H626" s="1427"/>
      <c r="I626" s="1427"/>
      <c r="J626" s="1427"/>
      <c r="K626" s="1427"/>
      <c r="L626" s="1427"/>
      <c r="M626" s="1427"/>
      <c r="N626" s="1427"/>
      <c r="O626" s="1427"/>
      <c r="P626" s="1427"/>
      <c r="Q626" s="1427"/>
      <c r="R626" s="1427"/>
      <c r="S626" s="1427"/>
      <c r="T626" s="1427"/>
      <c r="U626" s="1427"/>
      <c r="V626" s="1427"/>
      <c r="W626" s="1427"/>
      <c r="X626" s="1427"/>
      <c r="Y626" s="1427"/>
      <c r="Z626" s="1427"/>
      <c r="AA626" s="1427"/>
      <c r="AB626" s="1427"/>
      <c r="AC626" s="1427"/>
      <c r="AD626" s="1427"/>
      <c r="AE626" s="1427"/>
      <c r="AF626" s="1427"/>
      <c r="AG626" s="1427"/>
      <c r="AH626" s="1427"/>
      <c r="AI626" s="1427"/>
      <c r="AJ626" s="1427"/>
      <c r="AK626" s="1427"/>
      <c r="AL626" s="1427"/>
      <c r="AM626" s="1427"/>
      <c r="AN626" s="1427"/>
      <c r="AO626" s="1427"/>
      <c r="AP626" s="1427"/>
      <c r="AQ626" s="1427"/>
      <c r="AR626" s="1427"/>
      <c r="AS626" s="1427"/>
      <c r="AT626" s="1427"/>
      <c r="AZ626" s="3"/>
      <c r="BA626" s="3"/>
      <c r="BB626" s="3"/>
      <c r="BC626" s="3"/>
    </row>
    <row r="627" spans="1:56" ht="12.95" customHeight="1">
      <c r="AZ627" s="3"/>
      <c r="BA627" s="3"/>
      <c r="BB627" s="3"/>
      <c r="BC627" s="3"/>
    </row>
    <row r="628" spans="1:56" ht="12.95" customHeight="1">
      <c r="A628" s="2" t="s">
        <v>318</v>
      </c>
      <c r="B628" s="2"/>
      <c r="C628" s="2" t="s">
        <v>21</v>
      </c>
      <c r="AZ628" s="3"/>
      <c r="BA628" s="3"/>
      <c r="BB628" s="3"/>
      <c r="BC628" s="3"/>
    </row>
    <row r="629" spans="1:56" ht="12.95" customHeight="1">
      <c r="A629" s="2"/>
      <c r="B629" s="2"/>
      <c r="C629" s="2"/>
      <c r="AZ629" s="3"/>
      <c r="BA629" s="3"/>
      <c r="BB629" s="3"/>
      <c r="BC629" s="3"/>
    </row>
    <row r="630" spans="1:56" ht="12.95" customHeight="1">
      <c r="C630" s="2" t="s">
        <v>2048</v>
      </c>
      <c r="AZ630" s="3"/>
      <c r="BA630" s="3"/>
      <c r="BB630" s="3"/>
      <c r="BC630" s="3"/>
    </row>
    <row r="631" spans="1:56" ht="12.95" customHeight="1">
      <c r="B631" s="508"/>
      <c r="C631" s="2"/>
      <c r="AU631" s="3"/>
      <c r="AZ631" s="3"/>
      <c r="BA631" s="3"/>
      <c r="BB631" s="3"/>
      <c r="BC631" s="3"/>
    </row>
    <row r="632" spans="1:56" ht="12.95" customHeight="1">
      <c r="B632" s="1664" t="s">
        <v>2050</v>
      </c>
      <c r="C632" s="1664"/>
      <c r="D632" s="1664"/>
      <c r="E632" s="1664"/>
      <c r="F632" s="1664"/>
      <c r="G632" s="1664"/>
      <c r="H632" s="1664"/>
      <c r="I632" s="1664"/>
      <c r="J632" s="1664"/>
      <c r="K632" s="1664"/>
      <c r="L632" s="1664"/>
      <c r="M632" s="1424" t="s">
        <v>2051</v>
      </c>
      <c r="N632" s="1424"/>
      <c r="O632" s="1424"/>
      <c r="P632" s="1424"/>
      <c r="Q632" s="1424" t="s">
        <v>1821</v>
      </c>
      <c r="R632" s="1424"/>
      <c r="S632" s="1424"/>
      <c r="T632" s="1424" t="s">
        <v>1819</v>
      </c>
      <c r="U632" s="1424"/>
      <c r="V632" s="1424"/>
      <c r="W632" s="1798" t="s">
        <v>451</v>
      </c>
      <c r="X632" s="1798"/>
      <c r="Y632" s="1798"/>
      <c r="Z632" s="1448" t="s">
        <v>2080</v>
      </c>
      <c r="AA632" s="1448"/>
      <c r="AB632" s="1449"/>
      <c r="AC632" s="1468" t="s">
        <v>1662</v>
      </c>
      <c r="AD632" s="1469"/>
      <c r="AE632" s="1470"/>
      <c r="AF632" s="1661" t="s">
        <v>1896</v>
      </c>
      <c r="AG632" s="1448"/>
      <c r="AH632" s="1448"/>
      <c r="AI632" s="1448"/>
      <c r="AJ632" s="1449"/>
      <c r="AK632" s="1665" t="s">
        <v>1897</v>
      </c>
      <c r="AL632" s="1666"/>
      <c r="AM632" s="1666"/>
      <c r="AN632" s="1667"/>
      <c r="AO632" s="1424" t="s">
        <v>452</v>
      </c>
      <c r="AP632" s="1424"/>
      <c r="AQ632" s="1424"/>
      <c r="AR632" s="1424"/>
      <c r="AS632" s="1424"/>
      <c r="AU632" s="3"/>
      <c r="AZ632" s="3"/>
      <c r="BA632" s="3"/>
      <c r="BB632" s="3"/>
      <c r="BC632" s="3"/>
    </row>
    <row r="633" spans="1:56" ht="12.95" customHeight="1">
      <c r="B633" s="1664"/>
      <c r="C633" s="1664"/>
      <c r="D633" s="1664"/>
      <c r="E633" s="1664"/>
      <c r="F633" s="1664"/>
      <c r="G633" s="1664"/>
      <c r="H633" s="1664"/>
      <c r="I633" s="1664"/>
      <c r="J633" s="1664"/>
      <c r="K633" s="1664"/>
      <c r="L633" s="1664"/>
      <c r="M633" s="1424"/>
      <c r="N633" s="1424"/>
      <c r="O633" s="1424"/>
      <c r="P633" s="1424"/>
      <c r="Q633" s="1424"/>
      <c r="R633" s="1424"/>
      <c r="S633" s="1424"/>
      <c r="T633" s="1424"/>
      <c r="U633" s="1424"/>
      <c r="V633" s="1424"/>
      <c r="W633" s="1798"/>
      <c r="X633" s="1798"/>
      <c r="Y633" s="1798"/>
      <c r="Z633" s="1450"/>
      <c r="AA633" s="1450"/>
      <c r="AB633" s="1451"/>
      <c r="AC633" s="1471"/>
      <c r="AD633" s="1472"/>
      <c r="AE633" s="1473"/>
      <c r="AF633" s="1662"/>
      <c r="AG633" s="1450"/>
      <c r="AH633" s="1450"/>
      <c r="AI633" s="1450"/>
      <c r="AJ633" s="1451"/>
      <c r="AK633" s="1668"/>
      <c r="AL633" s="1669"/>
      <c r="AM633" s="1669"/>
      <c r="AN633" s="1670"/>
      <c r="AO633" s="1424"/>
      <c r="AP633" s="1424"/>
      <c r="AQ633" s="1424"/>
      <c r="AR633" s="1424"/>
      <c r="AS633" s="1424"/>
      <c r="AU633" s="3"/>
      <c r="AZ633" s="3"/>
      <c r="BA633" s="3"/>
      <c r="BB633" s="3"/>
      <c r="BC633" s="3"/>
      <c r="BD633" s="3"/>
    </row>
    <row r="634" spans="1:56" ht="12.95" customHeight="1">
      <c r="B634" s="1664"/>
      <c r="C634" s="1664"/>
      <c r="D634" s="1664"/>
      <c r="E634" s="1664"/>
      <c r="F634" s="1664"/>
      <c r="G634" s="1664"/>
      <c r="H634" s="1664"/>
      <c r="I634" s="1664"/>
      <c r="J634" s="1664"/>
      <c r="K634" s="1664"/>
      <c r="L634" s="1664"/>
      <c r="M634" s="1424"/>
      <c r="N634" s="1424"/>
      <c r="O634" s="1424"/>
      <c r="P634" s="1424"/>
      <c r="Q634" s="1424"/>
      <c r="R634" s="1424"/>
      <c r="S634" s="1424"/>
      <c r="T634" s="1424"/>
      <c r="U634" s="1424"/>
      <c r="V634" s="1424"/>
      <c r="W634" s="1798"/>
      <c r="X634" s="1798"/>
      <c r="Y634" s="1798"/>
      <c r="Z634" s="1452"/>
      <c r="AA634" s="1452"/>
      <c r="AB634" s="1453"/>
      <c r="AC634" s="1474"/>
      <c r="AD634" s="1475"/>
      <c r="AE634" s="1476"/>
      <c r="AF634" s="1663"/>
      <c r="AG634" s="1452"/>
      <c r="AH634" s="1452"/>
      <c r="AI634" s="1452"/>
      <c r="AJ634" s="1453"/>
      <c r="AK634" s="1671"/>
      <c r="AL634" s="1672"/>
      <c r="AM634" s="1672"/>
      <c r="AN634" s="1673"/>
      <c r="AO634" s="1424"/>
      <c r="AP634" s="1424"/>
      <c r="AQ634" s="1424"/>
      <c r="AR634" s="1424"/>
      <c r="AS634" s="1424"/>
      <c r="AT634" s="3"/>
      <c r="AU634" s="3"/>
      <c r="AZ634" s="3"/>
      <c r="BA634" s="3"/>
      <c r="BB634" s="3"/>
      <c r="BC634" s="3"/>
      <c r="BD634" s="3"/>
    </row>
    <row r="635" spans="1:56" ht="12.95" customHeight="1">
      <c r="B635" s="51" t="s">
        <v>112</v>
      </c>
      <c r="C635" s="1659" t="s">
        <v>2827</v>
      </c>
      <c r="D635" s="1659"/>
      <c r="E635" s="1659"/>
      <c r="F635" s="1659"/>
      <c r="G635" s="1659"/>
      <c r="H635" s="1659"/>
      <c r="I635" s="1659"/>
      <c r="J635" s="1659"/>
      <c r="K635" s="1659"/>
      <c r="L635" s="1659"/>
      <c r="M635" s="1658" t="s">
        <v>2061</v>
      </c>
      <c r="N635" s="1658"/>
      <c r="O635" s="1658"/>
      <c r="P635" s="1658"/>
      <c r="Q635" s="1445">
        <v>240</v>
      </c>
      <c r="R635" s="1445"/>
      <c r="S635" s="1446"/>
      <c r="T635" s="1444">
        <v>480</v>
      </c>
      <c r="U635" s="1445"/>
      <c r="V635" s="1446"/>
      <c r="W635" s="1454">
        <v>5.5999999999999994E-2</v>
      </c>
      <c r="X635" s="1455"/>
      <c r="Y635" s="1456"/>
      <c r="Z635" s="1457" t="s">
        <v>2079</v>
      </c>
      <c r="AA635" s="1458"/>
      <c r="AB635" s="1459"/>
      <c r="AC635" s="1421">
        <v>1</v>
      </c>
      <c r="AD635" s="1422"/>
      <c r="AE635" s="1423"/>
      <c r="AF635" s="1406">
        <v>1288552</v>
      </c>
      <c r="AG635" s="1407"/>
      <c r="AH635" s="1407"/>
      <c r="AI635" s="1407"/>
      <c r="AJ635" s="1408"/>
      <c r="AK635" s="1391"/>
      <c r="AL635" s="1392"/>
      <c r="AM635" s="1392"/>
      <c r="AN635" s="1393"/>
      <c r="AO635" s="1622">
        <v>20547458</v>
      </c>
      <c r="AP635" s="1622"/>
      <c r="AQ635" s="1622"/>
      <c r="AR635" s="1622"/>
      <c r="AS635" s="1622"/>
      <c r="AT635" s="3"/>
      <c r="AU635" s="3"/>
      <c r="AZ635" s="3"/>
      <c r="BA635" s="3"/>
      <c r="BB635" s="3"/>
      <c r="BC635" s="3"/>
      <c r="BD635" s="3"/>
    </row>
    <row r="636" spans="1:56" ht="12.95" customHeight="1">
      <c r="B636" s="52" t="s">
        <v>113</v>
      </c>
      <c r="C636" s="1659" t="s">
        <v>2727</v>
      </c>
      <c r="D636" s="1659"/>
      <c r="E636" s="1659"/>
      <c r="F636" s="1659"/>
      <c r="G636" s="1659"/>
      <c r="H636" s="1659"/>
      <c r="I636" s="1659"/>
      <c r="J636" s="1659"/>
      <c r="K636" s="1659"/>
      <c r="L636" s="1659"/>
      <c r="M636" s="1658" t="s">
        <v>2063</v>
      </c>
      <c r="N636" s="1658"/>
      <c r="O636" s="1658"/>
      <c r="P636" s="1658"/>
      <c r="Q636" s="1444">
        <v>660</v>
      </c>
      <c r="R636" s="1445"/>
      <c r="S636" s="1446"/>
      <c r="T636" s="1444"/>
      <c r="U636" s="1445"/>
      <c r="V636" s="1446"/>
      <c r="W636" s="1454">
        <v>0.03</v>
      </c>
      <c r="X636" s="1455"/>
      <c r="Y636" s="1456"/>
      <c r="Z636" s="1457" t="s">
        <v>456</v>
      </c>
      <c r="AA636" s="1458"/>
      <c r="AB636" s="1459"/>
      <c r="AC636" s="1421">
        <v>2</v>
      </c>
      <c r="AD636" s="1422"/>
      <c r="AE636" s="1423"/>
      <c r="AF636" s="1406"/>
      <c r="AG636" s="1407"/>
      <c r="AH636" s="1407"/>
      <c r="AI636" s="1407"/>
      <c r="AJ636" s="1408"/>
      <c r="AK636" s="1391"/>
      <c r="AL636" s="1392"/>
      <c r="AM636" s="1392"/>
      <c r="AN636" s="1393"/>
      <c r="AO636" s="1623">
        <v>10000000</v>
      </c>
      <c r="AP636" s="1624"/>
      <c r="AQ636" s="1624"/>
      <c r="AR636" s="1624"/>
      <c r="AS636" s="1625"/>
      <c r="AT636" s="1137" t="str">
        <f>IF(AND(NOT(C635=""),C636="",NOT(C637="")),"!","")</f>
        <v/>
      </c>
      <c r="AU636" s="3"/>
      <c r="AZ636" s="3"/>
      <c r="BA636" s="3"/>
      <c r="BB636" s="3"/>
      <c r="BC636" s="3"/>
      <c r="BD636" s="3"/>
    </row>
    <row r="637" spans="1:56" ht="12.95" customHeight="1">
      <c r="B637" s="52" t="s">
        <v>119</v>
      </c>
      <c r="C637" s="1659" t="s">
        <v>2728</v>
      </c>
      <c r="D637" s="1659"/>
      <c r="E637" s="1659"/>
      <c r="F637" s="1659"/>
      <c r="G637" s="1659"/>
      <c r="H637" s="1659"/>
      <c r="I637" s="1659"/>
      <c r="J637" s="1659"/>
      <c r="K637" s="1659"/>
      <c r="L637" s="1659"/>
      <c r="M637" s="1658" t="s">
        <v>2063</v>
      </c>
      <c r="N637" s="1658"/>
      <c r="O637" s="1658"/>
      <c r="P637" s="1658"/>
      <c r="Q637" s="1444">
        <v>660</v>
      </c>
      <c r="R637" s="1445"/>
      <c r="S637" s="1446"/>
      <c r="T637" s="1444"/>
      <c r="U637" s="1445"/>
      <c r="V637" s="1446"/>
      <c r="W637" s="1454">
        <v>0.03</v>
      </c>
      <c r="X637" s="1455"/>
      <c r="Y637" s="1456"/>
      <c r="Z637" s="1457" t="s">
        <v>455</v>
      </c>
      <c r="AA637" s="1458"/>
      <c r="AB637" s="1459"/>
      <c r="AC637" s="1421">
        <v>3</v>
      </c>
      <c r="AD637" s="1422"/>
      <c r="AE637" s="1423"/>
      <c r="AF637" s="1406"/>
      <c r="AG637" s="1407"/>
      <c r="AH637" s="1407"/>
      <c r="AI637" s="1407"/>
      <c r="AJ637" s="1408"/>
      <c r="AK637" s="1391"/>
      <c r="AL637" s="1392"/>
      <c r="AM637" s="1392"/>
      <c r="AN637" s="1393"/>
      <c r="AO637" s="1623">
        <v>8585280</v>
      </c>
      <c r="AP637" s="1624"/>
      <c r="AQ637" s="1624"/>
      <c r="AR637" s="1624"/>
      <c r="AS637" s="1625"/>
      <c r="AT637" s="1137" t="str">
        <f t="shared" ref="AT637:AT646" si="2">IF(AND(NOT(C636=""),C637="",NOT(C638="")),"!","")</f>
        <v/>
      </c>
      <c r="AU637" s="3"/>
      <c r="AZ637" s="3"/>
      <c r="BA637" s="3"/>
      <c r="BB637" s="3"/>
      <c r="BC637" s="3"/>
      <c r="BD637" s="3"/>
    </row>
    <row r="638" spans="1:56" ht="12.95" customHeight="1">
      <c r="B638" s="52" t="s">
        <v>579</v>
      </c>
      <c r="C638" s="1659" t="s">
        <v>2834</v>
      </c>
      <c r="D638" s="1447"/>
      <c r="E638" s="1447"/>
      <c r="F638" s="1447"/>
      <c r="G638" s="1447"/>
      <c r="H638" s="1447"/>
      <c r="I638" s="1447"/>
      <c r="J638" s="1447"/>
      <c r="K638" s="1447"/>
      <c r="L638" s="1447"/>
      <c r="M638" s="1658" t="s">
        <v>2063</v>
      </c>
      <c r="N638" s="1658"/>
      <c r="O638" s="1658"/>
      <c r="P638" s="1658"/>
      <c r="Q638" s="1444">
        <v>660</v>
      </c>
      <c r="R638" s="1445"/>
      <c r="S638" s="1446"/>
      <c r="T638" s="1444"/>
      <c r="U638" s="1445"/>
      <c r="V638" s="1446"/>
      <c r="W638" s="1454">
        <v>0.03</v>
      </c>
      <c r="X638" s="1455"/>
      <c r="Y638" s="1456"/>
      <c r="Z638" s="1457" t="s">
        <v>455</v>
      </c>
      <c r="AA638" s="1458"/>
      <c r="AB638" s="1459"/>
      <c r="AC638" s="1421">
        <v>4</v>
      </c>
      <c r="AD638" s="1422"/>
      <c r="AE638" s="1423"/>
      <c r="AF638" s="1406"/>
      <c r="AG638" s="1407"/>
      <c r="AH638" s="1407"/>
      <c r="AI638" s="1407"/>
      <c r="AJ638" s="1408"/>
      <c r="AK638" s="1391"/>
      <c r="AL638" s="1392"/>
      <c r="AM638" s="1392"/>
      <c r="AN638" s="1393"/>
      <c r="AO638" s="1623">
        <v>5000000</v>
      </c>
      <c r="AP638" s="1624"/>
      <c r="AQ638" s="1624"/>
      <c r="AR638" s="1624"/>
      <c r="AS638" s="1625"/>
      <c r="AT638" s="1137" t="str">
        <f t="shared" si="2"/>
        <v/>
      </c>
      <c r="AU638" s="3"/>
      <c r="AZ638" s="3"/>
      <c r="BA638" s="3"/>
      <c r="BB638" s="3"/>
      <c r="BC638" s="3"/>
      <c r="BD638" s="3"/>
    </row>
    <row r="639" spans="1:56" ht="12.95" customHeight="1">
      <c r="B639" s="52" t="s">
        <v>761</v>
      </c>
      <c r="C639" s="1447" t="s">
        <v>2734</v>
      </c>
      <c r="D639" s="1447"/>
      <c r="E639" s="1447"/>
      <c r="F639" s="1447"/>
      <c r="G639" s="1447"/>
      <c r="H639" s="1447"/>
      <c r="I639" s="1447"/>
      <c r="J639" s="1447"/>
      <c r="K639" s="1447"/>
      <c r="L639" s="1447"/>
      <c r="M639" s="1658" t="s">
        <v>2052</v>
      </c>
      <c r="N639" s="1658"/>
      <c r="O639" s="1658"/>
      <c r="P639" s="1658"/>
      <c r="Q639" s="1444"/>
      <c r="R639" s="1445"/>
      <c r="S639" s="1446"/>
      <c r="T639" s="1444"/>
      <c r="U639" s="1445"/>
      <c r="V639" s="1446"/>
      <c r="W639" s="1454"/>
      <c r="X639" s="1455"/>
      <c r="Y639" s="1456"/>
      <c r="Z639" s="1457" t="s">
        <v>455</v>
      </c>
      <c r="AA639" s="1458"/>
      <c r="AB639" s="1459"/>
      <c r="AC639" s="1421">
        <v>2</v>
      </c>
      <c r="AD639" s="1422"/>
      <c r="AE639" s="1423"/>
      <c r="AF639" s="1406"/>
      <c r="AG639" s="1407"/>
      <c r="AH639" s="1407"/>
      <c r="AI639" s="1407"/>
      <c r="AJ639" s="1408"/>
      <c r="AK639" s="1391"/>
      <c r="AL639" s="1392"/>
      <c r="AM639" s="1392"/>
      <c r="AN639" s="1393"/>
      <c r="AO639" s="1623">
        <f>523797+499660+261898</f>
        <v>1285355</v>
      </c>
      <c r="AP639" s="1624"/>
      <c r="AQ639" s="1624"/>
      <c r="AR639" s="1624"/>
      <c r="AS639" s="1625"/>
      <c r="AT639" s="1137" t="str">
        <f t="shared" si="2"/>
        <v/>
      </c>
      <c r="AU639" s="3"/>
      <c r="AZ639" s="3"/>
      <c r="BA639" s="3"/>
      <c r="BB639" s="3"/>
      <c r="BC639" s="3"/>
      <c r="BD639" s="3"/>
    </row>
    <row r="640" spans="1:56" ht="12.95" customHeight="1">
      <c r="B640" s="52" t="s">
        <v>582</v>
      </c>
      <c r="C640" s="1659" t="s">
        <v>2254</v>
      </c>
      <c r="D640" s="1447"/>
      <c r="E640" s="1447"/>
      <c r="F640" s="1447"/>
      <c r="G640" s="1447"/>
      <c r="H640" s="1447"/>
      <c r="I640" s="1447"/>
      <c r="J640" s="1447"/>
      <c r="K640" s="1447"/>
      <c r="L640" s="1447"/>
      <c r="M640" s="1658" t="s">
        <v>2054</v>
      </c>
      <c r="N640" s="1658"/>
      <c r="O640" s="1658"/>
      <c r="P640" s="1658"/>
      <c r="Q640" s="1444"/>
      <c r="R640" s="1445"/>
      <c r="S640" s="1446"/>
      <c r="T640" s="1444"/>
      <c r="U640" s="1445"/>
      <c r="V640" s="1446"/>
      <c r="W640" s="1454"/>
      <c r="X640" s="1455"/>
      <c r="Y640" s="1456"/>
      <c r="Z640" s="1457" t="s">
        <v>456</v>
      </c>
      <c r="AA640" s="1458"/>
      <c r="AB640" s="1459"/>
      <c r="AC640" s="1421"/>
      <c r="AD640" s="1422"/>
      <c r="AE640" s="1423"/>
      <c r="AF640" s="1406"/>
      <c r="AG640" s="1407"/>
      <c r="AH640" s="1407"/>
      <c r="AI640" s="1407"/>
      <c r="AJ640" s="1408"/>
      <c r="AK640" s="1391"/>
      <c r="AL640" s="1392"/>
      <c r="AM640" s="1392"/>
      <c r="AN640" s="1393"/>
      <c r="AO640" s="1623">
        <f>7833409-458-1-1</f>
        <v>7832949</v>
      </c>
      <c r="AP640" s="1624"/>
      <c r="AQ640" s="1624"/>
      <c r="AR640" s="1624"/>
      <c r="AS640" s="1625"/>
      <c r="AT640" s="1137" t="str">
        <f t="shared" si="2"/>
        <v/>
      </c>
      <c r="AU640" s="3"/>
      <c r="AZ640" s="3"/>
      <c r="BA640" s="3"/>
      <c r="BB640" s="3"/>
      <c r="BC640" s="3"/>
      <c r="BD640" s="3"/>
    </row>
    <row r="641" spans="1:157" ht="12.95" customHeight="1">
      <c r="B641" s="52" t="s">
        <v>453</v>
      </c>
      <c r="C641" s="1447" t="s">
        <v>2748</v>
      </c>
      <c r="D641" s="1447"/>
      <c r="E641" s="1447"/>
      <c r="F641" s="1447"/>
      <c r="G641" s="1447"/>
      <c r="H641" s="1447"/>
      <c r="I641" s="1447"/>
      <c r="J641" s="1447"/>
      <c r="K641" s="1447"/>
      <c r="L641" s="1447"/>
      <c r="M641" s="1658" t="s">
        <v>2057</v>
      </c>
      <c r="N641" s="1658"/>
      <c r="O641" s="1658"/>
      <c r="P641" s="1658"/>
      <c r="Q641" s="1444"/>
      <c r="R641" s="1445"/>
      <c r="S641" s="1446"/>
      <c r="T641" s="1444"/>
      <c r="U641" s="1445"/>
      <c r="V641" s="1446"/>
      <c r="W641" s="1454"/>
      <c r="X641" s="1455"/>
      <c r="Y641" s="1456"/>
      <c r="Z641" s="1457" t="s">
        <v>299</v>
      </c>
      <c r="AA641" s="1458"/>
      <c r="AB641" s="1459"/>
      <c r="AC641" s="1421"/>
      <c r="AD641" s="1422"/>
      <c r="AE641" s="1423"/>
      <c r="AF641" s="1406"/>
      <c r="AG641" s="1407"/>
      <c r="AH641" s="1407"/>
      <c r="AI641" s="1407"/>
      <c r="AJ641" s="1408"/>
      <c r="AK641" s="1391"/>
      <c r="AL641" s="1392"/>
      <c r="AM641" s="1392"/>
      <c r="AN641" s="1393"/>
      <c r="AO641" s="1623">
        <v>100</v>
      </c>
      <c r="AP641" s="1624"/>
      <c r="AQ641" s="1624"/>
      <c r="AR641" s="1624"/>
      <c r="AS641" s="1625"/>
      <c r="AT641" s="1137" t="str">
        <f t="shared" si="2"/>
        <v/>
      </c>
      <c r="AU641" s="3"/>
      <c r="AV641" s="3"/>
      <c r="AW641" s="3"/>
      <c r="AX641" s="3"/>
      <c r="AY641" s="3"/>
      <c r="AZ641" s="3"/>
      <c r="BA641" s="3"/>
      <c r="BB641" s="3"/>
      <c r="BC641" s="3"/>
      <c r="BD641" s="3"/>
    </row>
    <row r="642" spans="1:157" ht="12.95" customHeight="1">
      <c r="B642" s="52" t="s">
        <v>454</v>
      </c>
      <c r="C642" s="1447"/>
      <c r="D642" s="1447"/>
      <c r="E642" s="1447"/>
      <c r="F642" s="1447"/>
      <c r="G642" s="1447"/>
      <c r="H642" s="1447"/>
      <c r="I642" s="1447"/>
      <c r="J642" s="1447"/>
      <c r="K642" s="1447"/>
      <c r="L642" s="1447"/>
      <c r="M642" s="1658" t="s">
        <v>1181</v>
      </c>
      <c r="N642" s="1658"/>
      <c r="O642" s="1658"/>
      <c r="P642" s="1658"/>
      <c r="Q642" s="1444"/>
      <c r="R642" s="1445"/>
      <c r="S642" s="1446"/>
      <c r="T642" s="1444"/>
      <c r="U642" s="1445"/>
      <c r="V642" s="1446"/>
      <c r="W642" s="1454"/>
      <c r="X642" s="1455"/>
      <c r="Y642" s="1456"/>
      <c r="Z642" s="1457" t="s">
        <v>1181</v>
      </c>
      <c r="AA642" s="1458"/>
      <c r="AB642" s="1459"/>
      <c r="AC642" s="1421"/>
      <c r="AD642" s="1422"/>
      <c r="AE642" s="1423"/>
      <c r="AF642" s="1406"/>
      <c r="AG642" s="1407"/>
      <c r="AH642" s="1407"/>
      <c r="AI642" s="1407"/>
      <c r="AJ642" s="1408"/>
      <c r="AK642" s="1391"/>
      <c r="AL642" s="1392"/>
      <c r="AM642" s="1392"/>
      <c r="AN642" s="1393"/>
      <c r="AO642" s="1623"/>
      <c r="AP642" s="1624"/>
      <c r="AQ642" s="1624"/>
      <c r="AR642" s="1624"/>
      <c r="AS642" s="1625"/>
      <c r="AT642" s="1137" t="str">
        <f t="shared" si="2"/>
        <v/>
      </c>
      <c r="AU642" s="3"/>
      <c r="AV642" s="3"/>
      <c r="AW642" s="3"/>
      <c r="AX642" s="3"/>
      <c r="AY642" s="3"/>
      <c r="AZ642" s="3"/>
      <c r="BA642" s="3" t="s">
        <v>1181</v>
      </c>
      <c r="BB642" s="3"/>
      <c r="BC642" s="3"/>
      <c r="BD642" s="3"/>
    </row>
    <row r="643" spans="1:157" ht="12.95" customHeight="1">
      <c r="B643" s="52" t="s">
        <v>459</v>
      </c>
      <c r="C643" s="1659"/>
      <c r="D643" s="1447"/>
      <c r="E643" s="1447"/>
      <c r="F643" s="1447"/>
      <c r="G643" s="1447"/>
      <c r="H643" s="1447"/>
      <c r="I643" s="1447"/>
      <c r="J643" s="1447"/>
      <c r="K643" s="1447"/>
      <c r="L643" s="1447"/>
      <c r="M643" s="1658" t="s">
        <v>1181</v>
      </c>
      <c r="N643" s="1658"/>
      <c r="O643" s="1658"/>
      <c r="P643" s="1658"/>
      <c r="Q643" s="1444"/>
      <c r="R643" s="1445"/>
      <c r="S643" s="1446"/>
      <c r="T643" s="1444"/>
      <c r="U643" s="1445"/>
      <c r="V643" s="1446"/>
      <c r="W643" s="1454"/>
      <c r="X643" s="1455"/>
      <c r="Y643" s="1456"/>
      <c r="Z643" s="1457" t="s">
        <v>1181</v>
      </c>
      <c r="AA643" s="1458"/>
      <c r="AB643" s="1459"/>
      <c r="AC643" s="1421"/>
      <c r="AD643" s="1422"/>
      <c r="AE643" s="1423"/>
      <c r="AF643" s="1406"/>
      <c r="AG643" s="1407"/>
      <c r="AH643" s="1407"/>
      <c r="AI643" s="1407"/>
      <c r="AJ643" s="1408"/>
      <c r="AK643" s="1391"/>
      <c r="AL643" s="1392"/>
      <c r="AM643" s="1392"/>
      <c r="AN643" s="1393"/>
      <c r="AO643" s="1623"/>
      <c r="AP643" s="1624"/>
      <c r="AQ643" s="1624"/>
      <c r="AR643" s="1624"/>
      <c r="AS643" s="1625"/>
      <c r="AT643" s="1137" t="str">
        <f t="shared" si="2"/>
        <v/>
      </c>
      <c r="AU643" s="3"/>
      <c r="AV643" s="3"/>
      <c r="AW643" s="3"/>
      <c r="AX643" s="3"/>
      <c r="AY643" s="3"/>
      <c r="AZ643" s="34"/>
      <c r="BA643" s="3" t="s">
        <v>456</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499">
        <f t="shared" ref="DX643:DX677" si="3">EZ726*(CP726/$CP$761)</f>
        <v>781</v>
      </c>
      <c r="DY643" s="1499"/>
      <c r="DZ643" s="1499"/>
      <c r="EA643" s="1499"/>
      <c r="EB643" s="1499"/>
      <c r="EC643" s="1499" t="e">
        <f t="shared" ref="EC643:EC677" si="4">FE726*(CU726/$CU$761)</f>
        <v>#VALUE!</v>
      </c>
      <c r="ED643" s="1499"/>
      <c r="EE643" s="1499"/>
      <c r="EF643" s="1499"/>
      <c r="EG643" s="1499"/>
      <c r="EH643" s="1499" t="e">
        <f t="shared" ref="EH643:EH677" si="5">FJ726*(CZ726/$CZ$761)</f>
        <v>#VALUE!</v>
      </c>
      <c r="EI643" s="1499"/>
      <c r="EJ643" s="1499"/>
      <c r="EK643" s="1499"/>
      <c r="EL643" s="1499"/>
      <c r="EM643" s="1499" t="e">
        <f t="shared" ref="EM643:EM677" si="6">FO726*(DE726/$DE$761)</f>
        <v>#VALUE!</v>
      </c>
      <c r="EN643" s="1499"/>
      <c r="EO643" s="1499"/>
      <c r="EP643" s="1499"/>
      <c r="EQ643" s="1499"/>
      <c r="ER643" s="1499" t="e">
        <f t="shared" ref="ER643:ER677" si="7">FT726*(DJ726/$DJ$761)</f>
        <v>#VALUE!</v>
      </c>
      <c r="ES643" s="1499"/>
      <c r="ET643" s="1499"/>
      <c r="EU643" s="1499"/>
      <c r="EV643" s="1499"/>
      <c r="EW643" s="1499" t="e">
        <f t="shared" ref="EW643:EW677" si="8">FY726*(DO726/$DO$761)</f>
        <v>#VALUE!</v>
      </c>
      <c r="EX643" s="1499"/>
      <c r="EY643" s="1499"/>
      <c r="EZ643" s="1499"/>
      <c r="FA643" s="1499"/>
    </row>
    <row r="644" spans="1:157" ht="12.95" customHeight="1">
      <c r="B644" s="52" t="s">
        <v>644</v>
      </c>
      <c r="C644" s="1447"/>
      <c r="D644" s="1447"/>
      <c r="E644" s="1447"/>
      <c r="F644" s="1447"/>
      <c r="G644" s="1447"/>
      <c r="H644" s="1447"/>
      <c r="I644" s="1447"/>
      <c r="J644" s="1447"/>
      <c r="K644" s="1447"/>
      <c r="L644" s="1447"/>
      <c r="M644" s="1658" t="s">
        <v>1181</v>
      </c>
      <c r="N644" s="1658"/>
      <c r="O644" s="1658"/>
      <c r="P644" s="1658"/>
      <c r="Q644" s="1444"/>
      <c r="R644" s="1445"/>
      <c r="S644" s="1446"/>
      <c r="T644" s="1444"/>
      <c r="U644" s="1445"/>
      <c r="V644" s="1446"/>
      <c r="W644" s="1454"/>
      <c r="X644" s="1455"/>
      <c r="Y644" s="1456"/>
      <c r="Z644" s="1457" t="s">
        <v>1181</v>
      </c>
      <c r="AA644" s="1458"/>
      <c r="AB644" s="1459"/>
      <c r="AC644" s="1421"/>
      <c r="AD644" s="1422"/>
      <c r="AE644" s="1423"/>
      <c r="AF644" s="1406"/>
      <c r="AG644" s="1407"/>
      <c r="AH644" s="1407"/>
      <c r="AI644" s="1407"/>
      <c r="AJ644" s="1408"/>
      <c r="AK644" s="1391"/>
      <c r="AL644" s="1392"/>
      <c r="AM644" s="1392"/>
      <c r="AN644" s="1393"/>
      <c r="AO644" s="1623"/>
      <c r="AP644" s="1624"/>
      <c r="AQ644" s="1624"/>
      <c r="AR644" s="1624"/>
      <c r="AS644" s="1625"/>
      <c r="AT644" s="1137" t="str">
        <f t="shared" si="2"/>
        <v/>
      </c>
      <c r="AV644" s="3"/>
      <c r="AW644" s="3"/>
      <c r="AX644" s="3"/>
      <c r="AY644" s="3"/>
      <c r="AZ644" s="34"/>
      <c r="BA644" s="3" t="s">
        <v>455</v>
      </c>
      <c r="BB644" s="34"/>
      <c r="BC644" s="34"/>
      <c r="BD644" s="34"/>
      <c r="BE644" s="34"/>
      <c r="BF644" s="34"/>
      <c r="BG644" s="34"/>
      <c r="BH644" s="34"/>
      <c r="BI644" s="34"/>
      <c r="BJ644" s="34"/>
      <c r="BK644" s="34"/>
      <c r="BL644" s="34"/>
      <c r="BM644" s="34"/>
      <c r="DA644" s="3"/>
      <c r="DB644" s="3"/>
      <c r="DC644" s="3"/>
      <c r="DD644" s="3"/>
      <c r="DE644" s="3"/>
      <c r="DF644" s="3"/>
      <c r="DX644" s="1499" t="e">
        <f t="shared" si="3"/>
        <v>#VALUE!</v>
      </c>
      <c r="DY644" s="1499"/>
      <c r="DZ644" s="1499"/>
      <c r="EA644" s="1499"/>
      <c r="EB644" s="1499"/>
      <c r="EC644" s="1499">
        <f t="shared" si="4"/>
        <v>828</v>
      </c>
      <c r="ED644" s="1499"/>
      <c r="EE644" s="1499"/>
      <c r="EF644" s="1499"/>
      <c r="EG644" s="1499"/>
      <c r="EH644" s="1499" t="e">
        <f t="shared" si="5"/>
        <v>#VALUE!</v>
      </c>
      <c r="EI644" s="1499"/>
      <c r="EJ644" s="1499"/>
      <c r="EK644" s="1499"/>
      <c r="EL644" s="1499"/>
      <c r="EM644" s="1499" t="e">
        <f t="shared" si="6"/>
        <v>#VALUE!</v>
      </c>
      <c r="EN644" s="1499"/>
      <c r="EO644" s="1499"/>
      <c r="EP644" s="1499"/>
      <c r="EQ644" s="1499"/>
      <c r="ER644" s="1499" t="e">
        <f t="shared" si="7"/>
        <v>#VALUE!</v>
      </c>
      <c r="ES644" s="1499"/>
      <c r="ET644" s="1499"/>
      <c r="EU644" s="1499"/>
      <c r="EV644" s="1499"/>
      <c r="EW644" s="1499" t="e">
        <f t="shared" si="8"/>
        <v>#VALUE!</v>
      </c>
      <c r="EX644" s="1499"/>
      <c r="EY644" s="1499"/>
      <c r="EZ644" s="1499"/>
      <c r="FA644" s="1499"/>
    </row>
    <row r="645" spans="1:157" ht="12.95" customHeight="1">
      <c r="B645" s="52" t="s">
        <v>361</v>
      </c>
      <c r="C645" s="1447"/>
      <c r="D645" s="1447"/>
      <c r="E645" s="1447"/>
      <c r="F645" s="1447"/>
      <c r="G645" s="1447"/>
      <c r="H645" s="1447"/>
      <c r="I645" s="1447"/>
      <c r="J645" s="1447"/>
      <c r="K645" s="1447"/>
      <c r="L645" s="1447"/>
      <c r="M645" s="1658" t="s">
        <v>1181</v>
      </c>
      <c r="N645" s="1658"/>
      <c r="O645" s="1658"/>
      <c r="P645" s="1658"/>
      <c r="Q645" s="1444"/>
      <c r="R645" s="1445"/>
      <c r="S645" s="1446"/>
      <c r="T645" s="1444"/>
      <c r="U645" s="1445"/>
      <c r="V645" s="1446"/>
      <c r="W645" s="1454"/>
      <c r="X645" s="1455"/>
      <c r="Y645" s="1456"/>
      <c r="Z645" s="1457" t="s">
        <v>1181</v>
      </c>
      <c r="AA645" s="1458"/>
      <c r="AB645" s="1459"/>
      <c r="AC645" s="1421"/>
      <c r="AD645" s="1422"/>
      <c r="AE645" s="1423"/>
      <c r="AF645" s="1406"/>
      <c r="AG645" s="1407"/>
      <c r="AH645" s="1407"/>
      <c r="AI645" s="1407"/>
      <c r="AJ645" s="1408"/>
      <c r="AK645" s="1391"/>
      <c r="AL645" s="1392"/>
      <c r="AM645" s="1392"/>
      <c r="AN645" s="1393"/>
      <c r="AO645" s="1623"/>
      <c r="AP645" s="1624"/>
      <c r="AQ645" s="1624"/>
      <c r="AR645" s="1624"/>
      <c r="AS645" s="1625"/>
      <c r="AT645" s="1137" t="str">
        <f t="shared" si="2"/>
        <v/>
      </c>
      <c r="AV645" s="3"/>
      <c r="AW645" s="3"/>
      <c r="AX645" s="3"/>
      <c r="AY645" s="3"/>
      <c r="AZ645" s="34"/>
      <c r="BA645" s="3" t="s">
        <v>2079</v>
      </c>
      <c r="BB645" s="34"/>
      <c r="BC645" s="34"/>
      <c r="BD645" s="34"/>
      <c r="BE645" s="34"/>
      <c r="BF645" s="34"/>
      <c r="BG645" s="34"/>
      <c r="BH645" s="34"/>
      <c r="BI645" s="34"/>
      <c r="BJ645" s="34"/>
      <c r="BK645" s="34"/>
      <c r="BL645" s="34"/>
      <c r="BM645" s="34"/>
      <c r="DA645" s="3"/>
      <c r="DB645" s="3"/>
      <c r="DC645" s="3"/>
      <c r="DD645" s="3"/>
      <c r="DE645" s="3"/>
      <c r="DF645" s="3"/>
      <c r="DX645" s="1499" t="e">
        <f t="shared" si="3"/>
        <v>#VALUE!</v>
      </c>
      <c r="DY645" s="1499"/>
      <c r="DZ645" s="1499"/>
      <c r="EA645" s="1499"/>
      <c r="EB645" s="1499"/>
      <c r="EC645" s="1499" t="e">
        <f t="shared" si="4"/>
        <v>#VALUE!</v>
      </c>
      <c r="ED645" s="1499"/>
      <c r="EE645" s="1499"/>
      <c r="EF645" s="1499"/>
      <c r="EG645" s="1499"/>
      <c r="EH645" s="1499">
        <f t="shared" si="5"/>
        <v>123</v>
      </c>
      <c r="EI645" s="1499"/>
      <c r="EJ645" s="1499"/>
      <c r="EK645" s="1499"/>
      <c r="EL645" s="1499"/>
      <c r="EM645" s="1499" t="e">
        <f t="shared" si="6"/>
        <v>#VALUE!</v>
      </c>
      <c r="EN645" s="1499"/>
      <c r="EO645" s="1499"/>
      <c r="EP645" s="1499"/>
      <c r="EQ645" s="1499"/>
      <c r="ER645" s="1499" t="e">
        <f t="shared" si="7"/>
        <v>#VALUE!</v>
      </c>
      <c r="ES645" s="1499"/>
      <c r="ET645" s="1499"/>
      <c r="EU645" s="1499"/>
      <c r="EV645" s="1499"/>
      <c r="EW645" s="1499" t="e">
        <f t="shared" si="8"/>
        <v>#VALUE!</v>
      </c>
      <c r="EX645" s="1499"/>
      <c r="EY645" s="1499"/>
      <c r="EZ645" s="1499"/>
      <c r="FA645" s="1499"/>
    </row>
    <row r="646" spans="1:157" ht="12.95" customHeight="1">
      <c r="B646" s="52" t="s">
        <v>362</v>
      </c>
      <c r="C646" s="1447"/>
      <c r="D646" s="1447"/>
      <c r="E646" s="1447"/>
      <c r="F646" s="1447"/>
      <c r="G646" s="1447"/>
      <c r="H646" s="1447"/>
      <c r="I646" s="1447"/>
      <c r="J646" s="1447"/>
      <c r="K646" s="1447"/>
      <c r="L646" s="1447"/>
      <c r="M646" s="1658" t="s">
        <v>1181</v>
      </c>
      <c r="N646" s="1658"/>
      <c r="O646" s="1658"/>
      <c r="P646" s="1658"/>
      <c r="Q646" s="1444"/>
      <c r="R646" s="1445"/>
      <c r="S646" s="1446"/>
      <c r="T646" s="1444"/>
      <c r="U646" s="1445"/>
      <c r="V646" s="1446"/>
      <c r="W646" s="1454"/>
      <c r="X646" s="1455"/>
      <c r="Y646" s="1456"/>
      <c r="Z646" s="1457" t="s">
        <v>1181</v>
      </c>
      <c r="AA646" s="1458"/>
      <c r="AB646" s="1459"/>
      <c r="AC646" s="1421"/>
      <c r="AD646" s="1422"/>
      <c r="AE646" s="1423"/>
      <c r="AF646" s="1406"/>
      <c r="AG646" s="1407"/>
      <c r="AH646" s="1407"/>
      <c r="AI646" s="1407"/>
      <c r="AJ646" s="1408"/>
      <c r="AK646" s="1391"/>
      <c r="AL646" s="1392"/>
      <c r="AM646" s="1392"/>
      <c r="AN646" s="1393"/>
      <c r="AO646" s="1623"/>
      <c r="AP646" s="1624"/>
      <c r="AQ646" s="1624"/>
      <c r="AR646" s="1624"/>
      <c r="AS646" s="1625"/>
      <c r="AT646" s="1137" t="str">
        <f t="shared" si="2"/>
        <v/>
      </c>
      <c r="AV646" s="3"/>
      <c r="AW646" s="3"/>
      <c r="AX646" s="3"/>
      <c r="AY646" s="3"/>
      <c r="AZ646" s="34"/>
      <c r="BA646" s="3" t="s">
        <v>299</v>
      </c>
      <c r="BB646" s="34"/>
      <c r="BC646" s="34"/>
      <c r="BD646" s="34"/>
      <c r="BE646" s="34"/>
      <c r="BF646" s="34"/>
      <c r="BG646" s="34"/>
      <c r="BH646" s="34"/>
      <c r="BI646" s="34"/>
      <c r="BJ646" s="34"/>
      <c r="BK646" s="34"/>
      <c r="BL646" s="34"/>
      <c r="BM646" s="34"/>
      <c r="DA646" s="3"/>
      <c r="DB646" s="3"/>
      <c r="DC646" s="3"/>
      <c r="DD646" s="3"/>
      <c r="DE646" s="3"/>
      <c r="DF646" s="3"/>
      <c r="DX646" s="1499" t="e">
        <f t="shared" si="3"/>
        <v>#VALUE!</v>
      </c>
      <c r="DY646" s="1499"/>
      <c r="DZ646" s="1499"/>
      <c r="EA646" s="1499"/>
      <c r="EB646" s="1499"/>
      <c r="EC646" s="1499" t="e">
        <f t="shared" si="4"/>
        <v>#VALUE!</v>
      </c>
      <c r="ED646" s="1499"/>
      <c r="EE646" s="1499"/>
      <c r="EF646" s="1499"/>
      <c r="EG646" s="1499"/>
      <c r="EH646" s="1499">
        <f t="shared" si="5"/>
        <v>2295.4285714285716</v>
      </c>
      <c r="EI646" s="1499"/>
      <c r="EJ646" s="1499"/>
      <c r="EK646" s="1499"/>
      <c r="EL646" s="1499"/>
      <c r="EM646" s="1499" t="e">
        <f t="shared" si="6"/>
        <v>#VALUE!</v>
      </c>
      <c r="EN646" s="1499"/>
      <c r="EO646" s="1499"/>
      <c r="EP646" s="1499"/>
      <c r="EQ646" s="1499"/>
      <c r="ER646" s="1499" t="e">
        <f t="shared" si="7"/>
        <v>#VALUE!</v>
      </c>
      <c r="ES646" s="1499"/>
      <c r="ET646" s="1499"/>
      <c r="EU646" s="1499"/>
      <c r="EV646" s="1499"/>
      <c r="EW646" s="1499" t="e">
        <f t="shared" si="8"/>
        <v>#VALUE!</v>
      </c>
      <c r="EX646" s="1499"/>
      <c r="EY646" s="1499"/>
      <c r="EZ646" s="1499"/>
      <c r="FA646" s="1499"/>
    </row>
    <row r="647" spans="1:157" ht="12.95" customHeight="1">
      <c r="B647" s="1500" t="s">
        <v>128</v>
      </c>
      <c r="C647" s="1501"/>
      <c r="D647" s="1501"/>
      <c r="E647" s="1501"/>
      <c r="F647" s="1501"/>
      <c r="G647" s="1501"/>
      <c r="H647" s="1501"/>
      <c r="I647" s="1501"/>
      <c r="J647" s="1501"/>
      <c r="K647" s="1501"/>
      <c r="L647" s="1501"/>
      <c r="M647" s="1501"/>
      <c r="N647" s="1501"/>
      <c r="O647" s="1501"/>
      <c r="P647" s="1501"/>
      <c r="Q647" s="1501"/>
      <c r="R647" s="1501"/>
      <c r="S647" s="1501"/>
      <c r="T647" s="1501"/>
      <c r="U647" s="1501"/>
      <c r="V647" s="1501"/>
      <c r="W647" s="1501"/>
      <c r="X647" s="1501"/>
      <c r="Y647" s="1501"/>
      <c r="Z647" s="1501"/>
      <c r="AA647" s="1501"/>
      <c r="AB647" s="1501"/>
      <c r="AC647" s="1501"/>
      <c r="AD647" s="1501"/>
      <c r="AE647" s="1501"/>
      <c r="AF647" s="1501"/>
      <c r="AG647" s="1501"/>
      <c r="AH647" s="1501"/>
      <c r="AI647" s="1501"/>
      <c r="AJ647" s="1501"/>
      <c r="AK647" s="1501"/>
      <c r="AL647" s="1501"/>
      <c r="AM647" s="1501"/>
      <c r="AN647" s="1502"/>
      <c r="AO647" s="1611">
        <f>SUM(AO635:AR646)</f>
        <v>53251142</v>
      </c>
      <c r="AP647" s="1612"/>
      <c r="AQ647" s="1612"/>
      <c r="AR647" s="1612"/>
      <c r="AS647" s="1613"/>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499" t="e">
        <f t="shared" si="3"/>
        <v>#VALUE!</v>
      </c>
      <c r="DY647" s="1499"/>
      <c r="DZ647" s="1499"/>
      <c r="EA647" s="1499"/>
      <c r="EB647" s="1499"/>
      <c r="EC647" s="1499" t="e">
        <f t="shared" si="4"/>
        <v>#VALUE!</v>
      </c>
      <c r="ED647" s="1499"/>
      <c r="EE647" s="1499"/>
      <c r="EF647" s="1499"/>
      <c r="EG647" s="1499"/>
      <c r="EH647" s="1499" t="e">
        <f t="shared" si="5"/>
        <v>#VALUE!</v>
      </c>
      <c r="EI647" s="1499"/>
      <c r="EJ647" s="1499"/>
      <c r="EK647" s="1499"/>
      <c r="EL647" s="1499"/>
      <c r="EM647" s="1499">
        <f t="shared" si="6"/>
        <v>2838</v>
      </c>
      <c r="EN647" s="1499"/>
      <c r="EO647" s="1499"/>
      <c r="EP647" s="1499"/>
      <c r="EQ647" s="1499"/>
      <c r="ER647" s="1499" t="e">
        <f t="shared" si="7"/>
        <v>#VALUE!</v>
      </c>
      <c r="ES647" s="1499"/>
      <c r="ET647" s="1499"/>
      <c r="EU647" s="1499"/>
      <c r="EV647" s="1499"/>
      <c r="EW647" s="1499" t="e">
        <f t="shared" si="8"/>
        <v>#VALUE!</v>
      </c>
      <c r="EX647" s="1499"/>
      <c r="EY647" s="1499"/>
      <c r="EZ647" s="1499"/>
      <c r="FA647" s="1499"/>
    </row>
    <row r="648" spans="1:157" ht="12.95" customHeight="1">
      <c r="B648" s="1500" t="s">
        <v>266</v>
      </c>
      <c r="C648" s="1501"/>
      <c r="D648" s="1501"/>
      <c r="E648" s="1501"/>
      <c r="F648" s="1501"/>
      <c r="G648" s="1501"/>
      <c r="H648" s="1501"/>
      <c r="I648" s="1501"/>
      <c r="J648" s="1501"/>
      <c r="K648" s="1501"/>
      <c r="L648" s="1501"/>
      <c r="M648" s="1501"/>
      <c r="N648" s="1501"/>
      <c r="O648" s="1501"/>
      <c r="P648" s="1501"/>
      <c r="Q648" s="1501"/>
      <c r="R648" s="1501"/>
      <c r="S648" s="1501"/>
      <c r="T648" s="1501"/>
      <c r="U648" s="1501"/>
      <c r="V648" s="1501"/>
      <c r="W648" s="1501"/>
      <c r="X648" s="1501"/>
      <c r="Y648" s="1501"/>
      <c r="Z648" s="1501"/>
      <c r="AA648" s="1501"/>
      <c r="AB648" s="1501"/>
      <c r="AC648" s="1501"/>
      <c r="AD648" s="1501"/>
      <c r="AE648" s="1501"/>
      <c r="AF648" s="1501"/>
      <c r="AG648" s="1501"/>
      <c r="AH648" s="1501"/>
      <c r="AI648" s="1501"/>
      <c r="AJ648" s="1501"/>
      <c r="AK648" s="1501"/>
      <c r="AL648" s="1501"/>
      <c r="AM648" s="1501"/>
      <c r="AN648" s="1502"/>
      <c r="AO648" s="1623">
        <v>31951179</v>
      </c>
      <c r="AP648" s="1624"/>
      <c r="AQ648" s="1624"/>
      <c r="AR648" s="1624"/>
      <c r="AS648" s="1625"/>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499" t="e">
        <f t="shared" si="3"/>
        <v>#VALUE!</v>
      </c>
      <c r="DY648" s="1499"/>
      <c r="DZ648" s="1499"/>
      <c r="EA648" s="1499"/>
      <c r="EB648" s="1499"/>
      <c r="EC648" s="1499" t="e">
        <f t="shared" si="4"/>
        <v>#VALUE!</v>
      </c>
      <c r="ED648" s="1499"/>
      <c r="EE648" s="1499"/>
      <c r="EF648" s="1499"/>
      <c r="EG648" s="1499"/>
      <c r="EH648" s="1499" t="e">
        <f t="shared" si="5"/>
        <v>#VALUE!</v>
      </c>
      <c r="EI648" s="1499"/>
      <c r="EJ648" s="1499"/>
      <c r="EK648" s="1499"/>
      <c r="EL648" s="1499"/>
      <c r="EM648" s="1499" t="e">
        <f t="shared" si="6"/>
        <v>#VALUE!</v>
      </c>
      <c r="EN648" s="1499"/>
      <c r="EO648" s="1499"/>
      <c r="EP648" s="1499"/>
      <c r="EQ648" s="1499"/>
      <c r="ER648" s="1499" t="e">
        <f t="shared" si="7"/>
        <v>#VALUE!</v>
      </c>
      <c r="ES648" s="1499"/>
      <c r="ET648" s="1499"/>
      <c r="EU648" s="1499"/>
      <c r="EV648" s="1499"/>
      <c r="EW648" s="1499" t="e">
        <f t="shared" si="8"/>
        <v>#VALUE!</v>
      </c>
      <c r="EX648" s="1499"/>
      <c r="EY648" s="1499"/>
      <c r="EZ648" s="1499"/>
      <c r="FA648" s="1499"/>
    </row>
    <row r="649" spans="1:157" ht="12.95" customHeight="1">
      <c r="B649" s="1655" t="s">
        <v>267</v>
      </c>
      <c r="C649" s="1656"/>
      <c r="D649" s="1656"/>
      <c r="E649" s="1656"/>
      <c r="F649" s="1656"/>
      <c r="G649" s="1656"/>
      <c r="H649" s="1656"/>
      <c r="I649" s="1656"/>
      <c r="J649" s="1656"/>
      <c r="K649" s="1656"/>
      <c r="L649" s="1656"/>
      <c r="M649" s="1656"/>
      <c r="N649" s="1656"/>
      <c r="O649" s="1656"/>
      <c r="P649" s="1656"/>
      <c r="Q649" s="1656"/>
      <c r="R649" s="1656"/>
      <c r="S649" s="1656"/>
      <c r="T649" s="1656"/>
      <c r="U649" s="1656"/>
      <c r="V649" s="1656"/>
      <c r="W649" s="1656"/>
      <c r="X649" s="1656"/>
      <c r="Y649" s="1656"/>
      <c r="Z649" s="1656"/>
      <c r="AA649" s="1656"/>
      <c r="AB649" s="1656"/>
      <c r="AC649" s="1656"/>
      <c r="AD649" s="1656"/>
      <c r="AE649" s="1656"/>
      <c r="AF649" s="1656"/>
      <c r="AG649" s="1656"/>
      <c r="AH649" s="1656"/>
      <c r="AI649" s="1656"/>
      <c r="AJ649" s="1656"/>
      <c r="AK649" s="1656"/>
      <c r="AL649" s="1656"/>
      <c r="AM649" s="1656"/>
      <c r="AN649" s="1657"/>
      <c r="AO649" s="1611">
        <f>AO647+AO648</f>
        <v>85202321</v>
      </c>
      <c r="AP649" s="1612"/>
      <c r="AQ649" s="1612"/>
      <c r="AR649" s="1612"/>
      <c r="AS649" s="1613"/>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499" t="e">
        <f t="shared" si="3"/>
        <v>#VALUE!</v>
      </c>
      <c r="DY649" s="1499"/>
      <c r="DZ649" s="1499"/>
      <c r="EA649" s="1499"/>
      <c r="EB649" s="1499"/>
      <c r="EC649" s="1499" t="e">
        <f t="shared" si="4"/>
        <v>#VALUE!</v>
      </c>
      <c r="ED649" s="1499"/>
      <c r="EE649" s="1499"/>
      <c r="EF649" s="1499"/>
      <c r="EG649" s="1499"/>
      <c r="EH649" s="1499" t="e">
        <f t="shared" si="5"/>
        <v>#VALUE!</v>
      </c>
      <c r="EI649" s="1499"/>
      <c r="EJ649" s="1499"/>
      <c r="EK649" s="1499"/>
      <c r="EL649" s="1499"/>
      <c r="EM649" s="1499" t="e">
        <f t="shared" si="6"/>
        <v>#VALUE!</v>
      </c>
      <c r="EN649" s="1499"/>
      <c r="EO649" s="1499"/>
      <c r="EP649" s="1499"/>
      <c r="EQ649" s="1499"/>
      <c r="ER649" s="1499" t="e">
        <f t="shared" si="7"/>
        <v>#VALUE!</v>
      </c>
      <c r="ES649" s="1499"/>
      <c r="ET649" s="1499"/>
      <c r="EU649" s="1499"/>
      <c r="EV649" s="1499"/>
      <c r="EW649" s="1499" t="e">
        <f t="shared" si="8"/>
        <v>#VALUE!</v>
      </c>
      <c r="EX649" s="1499"/>
      <c r="EY649" s="1499"/>
      <c r="EZ649" s="1499"/>
      <c r="FA649" s="1499"/>
    </row>
    <row r="650" spans="1:157" ht="12.95"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499" t="e">
        <f t="shared" si="3"/>
        <v>#VALUE!</v>
      </c>
      <c r="DY650" s="1499"/>
      <c r="DZ650" s="1499"/>
      <c r="EA650" s="1499"/>
      <c r="EB650" s="1499"/>
      <c r="EC650" s="1499" t="e">
        <f t="shared" si="4"/>
        <v>#VALUE!</v>
      </c>
      <c r="ED650" s="1499"/>
      <c r="EE650" s="1499"/>
      <c r="EF650" s="1499"/>
      <c r="EG650" s="1499"/>
      <c r="EH650" s="1499" t="e">
        <f t="shared" si="5"/>
        <v>#VALUE!</v>
      </c>
      <c r="EI650" s="1499"/>
      <c r="EJ650" s="1499"/>
      <c r="EK650" s="1499"/>
      <c r="EL650" s="1499"/>
      <c r="EM650" s="1499" t="e">
        <f t="shared" si="6"/>
        <v>#VALUE!</v>
      </c>
      <c r="EN650" s="1499"/>
      <c r="EO650" s="1499"/>
      <c r="EP650" s="1499"/>
      <c r="EQ650" s="1499"/>
      <c r="ER650" s="1499" t="e">
        <f t="shared" si="7"/>
        <v>#VALUE!</v>
      </c>
      <c r="ES650" s="1499"/>
      <c r="ET650" s="1499"/>
      <c r="EU650" s="1499"/>
      <c r="EV650" s="1499"/>
      <c r="EW650" s="1499" t="e">
        <f t="shared" si="8"/>
        <v>#VALUE!</v>
      </c>
      <c r="EX650" s="1499"/>
      <c r="EY650" s="1499"/>
      <c r="EZ650" s="1499"/>
      <c r="FA650" s="1499"/>
    </row>
    <row r="651" spans="1:157" ht="12.95" customHeight="1">
      <c r="A651" s="55" t="s">
        <v>112</v>
      </c>
      <c r="B651" t="s">
        <v>461</v>
      </c>
      <c r="G651" s="1428" t="str">
        <f>C635</f>
        <v>Permanent Loan</v>
      </c>
      <c r="H651" s="1428"/>
      <c r="I651" s="1428"/>
      <c r="J651" s="1428"/>
      <c r="K651" s="1428"/>
      <c r="L651" s="1428"/>
      <c r="M651" s="1428"/>
      <c r="N651" s="1428"/>
      <c r="O651" s="1428"/>
      <c r="P651" s="1428"/>
      <c r="Q651" s="1428"/>
      <c r="R651" s="1428"/>
      <c r="S651" s="8"/>
      <c r="T651" s="55" t="s">
        <v>113</v>
      </c>
      <c r="U651" t="s">
        <v>461</v>
      </c>
      <c r="Z651" s="1428" t="str">
        <f>C636</f>
        <v>LACAHSA - Residual Receipt Loan</v>
      </c>
      <c r="AA651" s="1428"/>
      <c r="AB651" s="1428"/>
      <c r="AC651" s="1428"/>
      <c r="AD651" s="1428"/>
      <c r="AE651" s="1428"/>
      <c r="AF651" s="1428"/>
      <c r="AG651" s="1428"/>
      <c r="AH651" s="1428"/>
      <c r="AI651" s="1428"/>
      <c r="AJ651" s="1428"/>
      <c r="AK651" s="1428"/>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499" t="e">
        <f t="shared" si="3"/>
        <v>#VALUE!</v>
      </c>
      <c r="DY651" s="1499"/>
      <c r="DZ651" s="1499"/>
      <c r="EA651" s="1499"/>
      <c r="EB651" s="1499"/>
      <c r="EC651" s="1499" t="e">
        <f t="shared" si="4"/>
        <v>#VALUE!</v>
      </c>
      <c r="ED651" s="1499"/>
      <c r="EE651" s="1499"/>
      <c r="EF651" s="1499"/>
      <c r="EG651" s="1499"/>
      <c r="EH651" s="1499" t="e">
        <f t="shared" si="5"/>
        <v>#VALUE!</v>
      </c>
      <c r="EI651" s="1499"/>
      <c r="EJ651" s="1499"/>
      <c r="EK651" s="1499"/>
      <c r="EL651" s="1499"/>
      <c r="EM651" s="1499" t="e">
        <f t="shared" si="6"/>
        <v>#VALUE!</v>
      </c>
      <c r="EN651" s="1499"/>
      <c r="EO651" s="1499"/>
      <c r="EP651" s="1499"/>
      <c r="EQ651" s="1499"/>
      <c r="ER651" s="1499" t="e">
        <f t="shared" si="7"/>
        <v>#VALUE!</v>
      </c>
      <c r="ES651" s="1499"/>
      <c r="ET651" s="1499"/>
      <c r="EU651" s="1499"/>
      <c r="EV651" s="1499"/>
      <c r="EW651" s="1499" t="e">
        <f t="shared" si="8"/>
        <v>#VALUE!</v>
      </c>
      <c r="EX651" s="1499"/>
      <c r="EY651" s="1499"/>
      <c r="EZ651" s="1499"/>
      <c r="FA651" s="1499"/>
    </row>
    <row r="652" spans="1:157" ht="12.95" customHeight="1">
      <c r="A652" s="22"/>
      <c r="B652" t="s">
        <v>85</v>
      </c>
      <c r="G652" s="1397" t="s">
        <v>2764</v>
      </c>
      <c r="H652" s="1397"/>
      <c r="I652" s="1397"/>
      <c r="J652" s="1397"/>
      <c r="K652" s="1397"/>
      <c r="L652" s="1397"/>
      <c r="M652" s="1397"/>
      <c r="N652" s="1397"/>
      <c r="O652" s="1397"/>
      <c r="P652" s="1397"/>
      <c r="Q652" s="1397"/>
      <c r="R652" s="1397"/>
      <c r="S652" s="8"/>
      <c r="T652" s="22"/>
      <c r="U652" t="s">
        <v>85</v>
      </c>
      <c r="Z652" s="1397" t="s">
        <v>2764</v>
      </c>
      <c r="AA652" s="1397"/>
      <c r="AB652" s="1397"/>
      <c r="AC652" s="1397"/>
      <c r="AD652" s="1397"/>
      <c r="AE652" s="1397"/>
      <c r="AF652" s="1397"/>
      <c r="AG652" s="1397"/>
      <c r="AH652" s="1397"/>
      <c r="AI652" s="1397"/>
      <c r="AJ652" s="1397"/>
      <c r="AK652" s="1397"/>
      <c r="AV652" s="3"/>
      <c r="AW652" s="3"/>
      <c r="AX652" s="3"/>
      <c r="AY652" s="3"/>
      <c r="AZ652" s="3"/>
      <c r="BA652" s="3"/>
      <c r="BB652" s="3"/>
      <c r="BC652" s="3"/>
      <c r="BD652" s="3"/>
      <c r="BE652" s="3"/>
      <c r="BF652" s="3"/>
      <c r="BG652" s="3"/>
      <c r="BH652" s="3"/>
      <c r="BI652" s="3"/>
      <c r="BJ652" s="3"/>
      <c r="BK652" s="3"/>
      <c r="BL652" s="3"/>
      <c r="BM652" s="3"/>
      <c r="DX652" s="1499" t="e">
        <f t="shared" si="3"/>
        <v>#VALUE!</v>
      </c>
      <c r="DY652" s="1499"/>
      <c r="DZ652" s="1499"/>
      <c r="EA652" s="1499"/>
      <c r="EB652" s="1499"/>
      <c r="EC652" s="1499" t="e">
        <f t="shared" si="4"/>
        <v>#VALUE!</v>
      </c>
      <c r="ED652" s="1499"/>
      <c r="EE652" s="1499"/>
      <c r="EF652" s="1499"/>
      <c r="EG652" s="1499"/>
      <c r="EH652" s="1499" t="e">
        <f t="shared" si="5"/>
        <v>#VALUE!</v>
      </c>
      <c r="EI652" s="1499"/>
      <c r="EJ652" s="1499"/>
      <c r="EK652" s="1499"/>
      <c r="EL652" s="1499"/>
      <c r="EM652" s="1499" t="e">
        <f t="shared" si="6"/>
        <v>#VALUE!</v>
      </c>
      <c r="EN652" s="1499"/>
      <c r="EO652" s="1499"/>
      <c r="EP652" s="1499"/>
      <c r="EQ652" s="1499"/>
      <c r="ER652" s="1499" t="e">
        <f t="shared" si="7"/>
        <v>#VALUE!</v>
      </c>
      <c r="ES652" s="1499"/>
      <c r="ET652" s="1499"/>
      <c r="EU652" s="1499"/>
      <c r="EV652" s="1499"/>
      <c r="EW652" s="1499" t="e">
        <f t="shared" si="8"/>
        <v>#VALUE!</v>
      </c>
      <c r="EX652" s="1499"/>
      <c r="EY652" s="1499"/>
      <c r="EZ652" s="1499"/>
      <c r="FA652" s="1499"/>
    </row>
    <row r="653" spans="1:157" ht="12.95" customHeight="1">
      <c r="A653" s="22"/>
      <c r="B653" t="s">
        <v>578</v>
      </c>
      <c r="G653" s="1397" t="s">
        <v>2765</v>
      </c>
      <c r="H653" s="1397"/>
      <c r="I653" s="1397"/>
      <c r="J653" s="1397"/>
      <c r="K653" s="1397"/>
      <c r="L653" s="1397"/>
      <c r="M653" s="1397"/>
      <c r="N653" s="1397"/>
      <c r="O653" s="1397"/>
      <c r="P653" s="1397"/>
      <c r="Q653" s="1397"/>
      <c r="R653" s="1397"/>
      <c r="T653" s="22"/>
      <c r="U653" t="s">
        <v>578</v>
      </c>
      <c r="Z653" s="1420" t="s">
        <v>2765</v>
      </c>
      <c r="AA653" s="1420"/>
      <c r="AB653" s="1420"/>
      <c r="AC653" s="1420"/>
      <c r="AD653" s="1420"/>
      <c r="AE653" s="1420"/>
      <c r="AF653" s="1420"/>
      <c r="AG653" s="1420"/>
      <c r="AH653" s="1420"/>
      <c r="AI653" s="1420"/>
      <c r="AJ653" s="1420"/>
      <c r="AK653" s="1420"/>
      <c r="AV653" s="3"/>
      <c r="AW653" s="3"/>
      <c r="AX653" s="3"/>
      <c r="AY653" s="3"/>
      <c r="AZ653" s="3"/>
      <c r="BA653" s="3"/>
      <c r="BB653" s="3"/>
      <c r="BC653" s="3"/>
      <c r="BD653" s="3"/>
      <c r="BE653" s="3"/>
      <c r="BF653" s="3"/>
      <c r="BG653" s="3"/>
      <c r="BH653" s="3"/>
      <c r="BI653" s="3"/>
      <c r="BJ653" s="3"/>
      <c r="BK653" s="3"/>
      <c r="BL653" s="3"/>
      <c r="BM653" s="3"/>
      <c r="DX653" s="1499" t="e">
        <f t="shared" si="3"/>
        <v>#VALUE!</v>
      </c>
      <c r="DY653" s="1499"/>
      <c r="DZ653" s="1499"/>
      <c r="EA653" s="1499"/>
      <c r="EB653" s="1499"/>
      <c r="EC653" s="1499" t="e">
        <f t="shared" si="4"/>
        <v>#VALUE!</v>
      </c>
      <c r="ED653" s="1499"/>
      <c r="EE653" s="1499"/>
      <c r="EF653" s="1499"/>
      <c r="EG653" s="1499"/>
      <c r="EH653" s="1499" t="e">
        <f t="shared" si="5"/>
        <v>#VALUE!</v>
      </c>
      <c r="EI653" s="1499"/>
      <c r="EJ653" s="1499"/>
      <c r="EK653" s="1499"/>
      <c r="EL653" s="1499"/>
      <c r="EM653" s="1499" t="e">
        <f t="shared" si="6"/>
        <v>#VALUE!</v>
      </c>
      <c r="EN653" s="1499"/>
      <c r="EO653" s="1499"/>
      <c r="EP653" s="1499"/>
      <c r="EQ653" s="1499"/>
      <c r="ER653" s="1499" t="e">
        <f t="shared" si="7"/>
        <v>#VALUE!</v>
      </c>
      <c r="ES653" s="1499"/>
      <c r="ET653" s="1499"/>
      <c r="EU653" s="1499"/>
      <c r="EV653" s="1499"/>
      <c r="EW653" s="1499" t="e">
        <f t="shared" si="8"/>
        <v>#VALUE!</v>
      </c>
      <c r="EX653" s="1499"/>
      <c r="EY653" s="1499"/>
      <c r="EZ653" s="1499"/>
      <c r="FA653" s="1499"/>
    </row>
    <row r="654" spans="1:157" ht="12.95" customHeight="1">
      <c r="A654" s="22"/>
      <c r="B654" t="s">
        <v>17</v>
      </c>
      <c r="G654" s="1397" t="s">
        <v>2770</v>
      </c>
      <c r="H654" s="1397"/>
      <c r="I654" s="1397"/>
      <c r="J654" s="1397"/>
      <c r="K654" s="1397"/>
      <c r="L654" s="1397"/>
      <c r="M654" s="1397"/>
      <c r="N654" s="1397"/>
      <c r="O654" s="1397"/>
      <c r="P654" s="1397"/>
      <c r="Q654" s="1397"/>
      <c r="R654" s="1397"/>
      <c r="S654" s="8"/>
      <c r="T654" s="22"/>
      <c r="U654" t="s">
        <v>17</v>
      </c>
      <c r="Z654" s="1420" t="s">
        <v>2770</v>
      </c>
      <c r="AA654" s="1420"/>
      <c r="AB654" s="1420"/>
      <c r="AC654" s="1420"/>
      <c r="AD654" s="1420"/>
      <c r="AE654" s="1420"/>
      <c r="AF654" s="1420"/>
      <c r="AG654" s="1420"/>
      <c r="AH654" s="1420"/>
      <c r="AI654" s="1420"/>
      <c r="AJ654" s="1420"/>
      <c r="AK654" s="1420"/>
      <c r="AZ654" s="3"/>
      <c r="BA654" s="3"/>
      <c r="BB654" s="3"/>
      <c r="BC654" s="3"/>
      <c r="BD654" s="3"/>
      <c r="BE654" s="3"/>
      <c r="BF654" s="3"/>
      <c r="BG654" s="3"/>
      <c r="BH654" s="3"/>
      <c r="BI654" s="3"/>
      <c r="BJ654" s="3"/>
      <c r="BK654" s="3"/>
      <c r="BL654" s="3"/>
      <c r="BM654" s="3"/>
      <c r="DX654" s="1499" t="e">
        <f t="shared" si="3"/>
        <v>#VALUE!</v>
      </c>
      <c r="DY654" s="1499"/>
      <c r="DZ654" s="1499"/>
      <c r="EA654" s="1499"/>
      <c r="EB654" s="1499"/>
      <c r="EC654" s="1499" t="e">
        <f t="shared" si="4"/>
        <v>#VALUE!</v>
      </c>
      <c r="ED654" s="1499"/>
      <c r="EE654" s="1499"/>
      <c r="EF654" s="1499"/>
      <c r="EG654" s="1499"/>
      <c r="EH654" s="1499" t="e">
        <f t="shared" si="5"/>
        <v>#VALUE!</v>
      </c>
      <c r="EI654" s="1499"/>
      <c r="EJ654" s="1499"/>
      <c r="EK654" s="1499"/>
      <c r="EL654" s="1499"/>
      <c r="EM654" s="1499" t="e">
        <f t="shared" si="6"/>
        <v>#VALUE!</v>
      </c>
      <c r="EN654" s="1499"/>
      <c r="EO654" s="1499"/>
      <c r="EP654" s="1499"/>
      <c r="EQ654" s="1499"/>
      <c r="ER654" s="1499" t="e">
        <f t="shared" si="7"/>
        <v>#VALUE!</v>
      </c>
      <c r="ES654" s="1499"/>
      <c r="ET654" s="1499"/>
      <c r="EU654" s="1499"/>
      <c r="EV654" s="1499"/>
      <c r="EW654" s="1499" t="e">
        <f t="shared" si="8"/>
        <v>#VALUE!</v>
      </c>
      <c r="EX654" s="1499"/>
      <c r="EY654" s="1499"/>
      <c r="EZ654" s="1499"/>
      <c r="FA654" s="1499"/>
    </row>
    <row r="655" spans="1:157" ht="12.95" customHeight="1">
      <c r="A655" s="22"/>
      <c r="B655" t="s">
        <v>315</v>
      </c>
      <c r="G655" s="1394" t="s">
        <v>2771</v>
      </c>
      <c r="H655" s="1395"/>
      <c r="I655" s="1395"/>
      <c r="J655" s="1395"/>
      <c r="K655" s="1395"/>
      <c r="L655" s="1395"/>
      <c r="O655" s="33" t="s">
        <v>205</v>
      </c>
      <c r="P655" s="1426"/>
      <c r="Q655" s="1426"/>
      <c r="R655" s="1426"/>
      <c r="S655" s="10"/>
      <c r="T655" s="22"/>
      <c r="U655" t="s">
        <v>315</v>
      </c>
      <c r="Z655" s="1394" t="s">
        <v>2771</v>
      </c>
      <c r="AA655" s="1395"/>
      <c r="AB655" s="1395"/>
      <c r="AC655" s="1395"/>
      <c r="AD655" s="1395"/>
      <c r="AE655" s="1395"/>
      <c r="AH655" s="33" t="s">
        <v>205</v>
      </c>
      <c r="AI655" s="1426"/>
      <c r="AJ655" s="1426"/>
      <c r="AK655" s="1426"/>
      <c r="AZ655" s="34"/>
      <c r="BA655" s="34"/>
      <c r="BB655" s="34"/>
      <c r="BC655" s="34"/>
      <c r="BD655" s="34"/>
      <c r="BE655" s="34"/>
      <c r="BF655" s="34"/>
      <c r="BG655" s="34"/>
      <c r="BH655" s="34"/>
      <c r="BI655" s="34"/>
      <c r="BJ655" s="34"/>
      <c r="BK655" s="34"/>
      <c r="BL655" s="34"/>
      <c r="BM655" s="34"/>
      <c r="DX655" s="1499" t="e">
        <f t="shared" si="3"/>
        <v>#VALUE!</v>
      </c>
      <c r="DY655" s="1499"/>
      <c r="DZ655" s="1499"/>
      <c r="EA655" s="1499"/>
      <c r="EB655" s="1499"/>
      <c r="EC655" s="1499" t="e">
        <f t="shared" si="4"/>
        <v>#VALUE!</v>
      </c>
      <c r="ED655" s="1499"/>
      <c r="EE655" s="1499"/>
      <c r="EF655" s="1499"/>
      <c r="EG655" s="1499"/>
      <c r="EH655" s="1499" t="e">
        <f t="shared" si="5"/>
        <v>#VALUE!</v>
      </c>
      <c r="EI655" s="1499"/>
      <c r="EJ655" s="1499"/>
      <c r="EK655" s="1499"/>
      <c r="EL655" s="1499"/>
      <c r="EM655" s="1499" t="e">
        <f t="shared" si="6"/>
        <v>#VALUE!</v>
      </c>
      <c r="EN655" s="1499"/>
      <c r="EO655" s="1499"/>
      <c r="EP655" s="1499"/>
      <c r="EQ655" s="1499"/>
      <c r="ER655" s="1499" t="e">
        <f t="shared" si="7"/>
        <v>#VALUE!</v>
      </c>
      <c r="ES655" s="1499"/>
      <c r="ET655" s="1499"/>
      <c r="EU655" s="1499"/>
      <c r="EV655" s="1499"/>
      <c r="EW655" s="1499" t="e">
        <f t="shared" si="8"/>
        <v>#VALUE!</v>
      </c>
      <c r="EX655" s="1499"/>
      <c r="EY655" s="1499"/>
      <c r="EZ655" s="1499"/>
      <c r="FA655" s="1499"/>
    </row>
    <row r="656" spans="1:157" ht="12.95" customHeight="1">
      <c r="A656" s="22"/>
      <c r="B656" t="s">
        <v>18</v>
      </c>
      <c r="H656" s="1396" t="s">
        <v>2836</v>
      </c>
      <c r="I656" s="1397"/>
      <c r="J656" s="1397"/>
      <c r="K656" s="1397"/>
      <c r="L656" s="1397"/>
      <c r="M656" s="1397"/>
      <c r="N656" s="1397"/>
      <c r="O656" s="1397"/>
      <c r="P656" s="1397"/>
      <c r="Q656" s="1397"/>
      <c r="R656" s="1397"/>
      <c r="S656" s="8"/>
      <c r="T656" s="22"/>
      <c r="U656" t="s">
        <v>18</v>
      </c>
      <c r="AA656" s="1396" t="s">
        <v>2837</v>
      </c>
      <c r="AB656" s="1397"/>
      <c r="AC656" s="1397"/>
      <c r="AD656" s="1397"/>
      <c r="AE656" s="1397"/>
      <c r="AF656" s="1397"/>
      <c r="AG656" s="1397"/>
      <c r="AH656" s="1397"/>
      <c r="AI656" s="1397"/>
      <c r="AJ656" s="1397"/>
      <c r="AK656" s="1397"/>
      <c r="AZ656" s="34"/>
      <c r="BA656" s="34"/>
      <c r="BB656" s="34"/>
      <c r="BC656" s="34"/>
      <c r="BD656" s="34"/>
      <c r="BE656" s="34"/>
      <c r="BF656" s="34"/>
      <c r="BG656" s="34"/>
      <c r="BH656" s="34"/>
      <c r="BI656" s="34"/>
      <c r="BJ656" s="34"/>
      <c r="BK656" s="34"/>
      <c r="BL656" s="34"/>
      <c r="BM656" s="34"/>
      <c r="DX656" s="1499" t="e">
        <f t="shared" si="3"/>
        <v>#VALUE!</v>
      </c>
      <c r="DY656" s="1499"/>
      <c r="DZ656" s="1499"/>
      <c r="EA656" s="1499"/>
      <c r="EB656" s="1499"/>
      <c r="EC656" s="1499" t="e">
        <f t="shared" si="4"/>
        <v>#VALUE!</v>
      </c>
      <c r="ED656" s="1499"/>
      <c r="EE656" s="1499"/>
      <c r="EF656" s="1499"/>
      <c r="EG656" s="1499"/>
      <c r="EH656" s="1499" t="e">
        <f t="shared" si="5"/>
        <v>#VALUE!</v>
      </c>
      <c r="EI656" s="1499"/>
      <c r="EJ656" s="1499"/>
      <c r="EK656" s="1499"/>
      <c r="EL656" s="1499"/>
      <c r="EM656" s="1499" t="e">
        <f t="shared" si="6"/>
        <v>#VALUE!</v>
      </c>
      <c r="EN656" s="1499"/>
      <c r="EO656" s="1499"/>
      <c r="EP656" s="1499"/>
      <c r="EQ656" s="1499"/>
      <c r="ER656" s="1499" t="e">
        <f t="shared" si="7"/>
        <v>#VALUE!</v>
      </c>
      <c r="ES656" s="1499"/>
      <c r="ET656" s="1499"/>
      <c r="EU656" s="1499"/>
      <c r="EV656" s="1499"/>
      <c r="EW656" s="1499" t="e">
        <f t="shared" si="8"/>
        <v>#VALUE!</v>
      </c>
      <c r="EX656" s="1499"/>
      <c r="EY656" s="1499"/>
      <c r="EZ656" s="1499"/>
      <c r="FA656" s="1499"/>
    </row>
    <row r="657" spans="1:157" ht="12.95" customHeight="1">
      <c r="A657" s="22"/>
      <c r="B657" t="s">
        <v>20</v>
      </c>
      <c r="N657" s="1296" t="s">
        <v>543</v>
      </c>
      <c r="O657" s="1296"/>
      <c r="T657" s="22"/>
      <c r="U657" t="s">
        <v>20</v>
      </c>
      <c r="AG657" s="1296" t="s">
        <v>543</v>
      </c>
      <c r="AH657" s="1296"/>
      <c r="AZ657" s="34"/>
      <c r="BA657" s="34"/>
      <c r="BB657" s="34"/>
      <c r="BC657" s="34"/>
      <c r="BD657" s="34"/>
      <c r="BE657" s="34"/>
      <c r="BF657" s="34"/>
      <c r="BG657" s="34"/>
      <c r="BH657" s="34"/>
      <c r="BI657" s="34"/>
      <c r="BJ657" s="34"/>
      <c r="BK657" s="34"/>
      <c r="BL657" s="34"/>
      <c r="BM657" s="34"/>
      <c r="DX657" s="1499" t="e">
        <f t="shared" si="3"/>
        <v>#VALUE!</v>
      </c>
      <c r="DY657" s="1499"/>
      <c r="DZ657" s="1499"/>
      <c r="EA657" s="1499"/>
      <c r="EB657" s="1499"/>
      <c r="EC657" s="1499" t="e">
        <f t="shared" si="4"/>
        <v>#VALUE!</v>
      </c>
      <c r="ED657" s="1499"/>
      <c r="EE657" s="1499"/>
      <c r="EF657" s="1499"/>
      <c r="EG657" s="1499"/>
      <c r="EH657" s="1499" t="e">
        <f t="shared" si="5"/>
        <v>#VALUE!</v>
      </c>
      <c r="EI657" s="1499"/>
      <c r="EJ657" s="1499"/>
      <c r="EK657" s="1499"/>
      <c r="EL657" s="1499"/>
      <c r="EM657" s="1499" t="e">
        <f t="shared" si="6"/>
        <v>#VALUE!</v>
      </c>
      <c r="EN657" s="1499"/>
      <c r="EO657" s="1499"/>
      <c r="EP657" s="1499"/>
      <c r="EQ657" s="1499"/>
      <c r="ER657" s="1499" t="e">
        <f t="shared" si="7"/>
        <v>#VALUE!</v>
      </c>
      <c r="ES657" s="1499"/>
      <c r="ET657" s="1499"/>
      <c r="EU657" s="1499"/>
      <c r="EV657" s="1499"/>
      <c r="EW657" s="1499" t="e">
        <f t="shared" si="8"/>
        <v>#VALUE!</v>
      </c>
      <c r="EX657" s="1499"/>
      <c r="EY657" s="1499"/>
      <c r="EZ657" s="1499"/>
      <c r="FA657" s="1499"/>
    </row>
    <row r="658" spans="1:157" ht="12.95" customHeight="1">
      <c r="A658" s="22"/>
      <c r="T658" s="22"/>
      <c r="AZ658" s="34"/>
      <c r="BA658" s="34"/>
      <c r="BB658" s="34"/>
      <c r="BC658" s="34"/>
      <c r="BD658" s="34"/>
      <c r="BE658" s="34"/>
      <c r="BF658" s="34"/>
      <c r="BG658" s="34"/>
      <c r="BH658" s="34"/>
      <c r="BI658" s="34"/>
      <c r="BJ658" s="34"/>
      <c r="BK658" s="34"/>
      <c r="BL658" s="34"/>
      <c r="BM658" s="34"/>
      <c r="DX658" s="1499" t="e">
        <f t="shared" si="3"/>
        <v>#VALUE!</v>
      </c>
      <c r="DY658" s="1499"/>
      <c r="DZ658" s="1499"/>
      <c r="EA658" s="1499"/>
      <c r="EB658" s="1499"/>
      <c r="EC658" s="1499" t="e">
        <f t="shared" si="4"/>
        <v>#VALUE!</v>
      </c>
      <c r="ED658" s="1499"/>
      <c r="EE658" s="1499"/>
      <c r="EF658" s="1499"/>
      <c r="EG658" s="1499"/>
      <c r="EH658" s="1499" t="e">
        <f t="shared" si="5"/>
        <v>#VALUE!</v>
      </c>
      <c r="EI658" s="1499"/>
      <c r="EJ658" s="1499"/>
      <c r="EK658" s="1499"/>
      <c r="EL658" s="1499"/>
      <c r="EM658" s="1499" t="e">
        <f t="shared" si="6"/>
        <v>#VALUE!</v>
      </c>
      <c r="EN658" s="1499"/>
      <c r="EO658" s="1499"/>
      <c r="EP658" s="1499"/>
      <c r="EQ658" s="1499"/>
      <c r="ER658" s="1499" t="e">
        <f t="shared" si="7"/>
        <v>#VALUE!</v>
      </c>
      <c r="ES658" s="1499"/>
      <c r="ET658" s="1499"/>
      <c r="EU658" s="1499"/>
      <c r="EV658" s="1499"/>
      <c r="EW658" s="1499" t="e">
        <f t="shared" si="8"/>
        <v>#VALUE!</v>
      </c>
      <c r="EX658" s="1499"/>
      <c r="EY658" s="1499"/>
      <c r="EZ658" s="1499"/>
      <c r="FA658" s="1499"/>
    </row>
    <row r="659" spans="1:157" ht="12.95" customHeight="1">
      <c r="A659" s="55" t="s">
        <v>119</v>
      </c>
      <c r="B659" t="s">
        <v>461</v>
      </c>
      <c r="G659" s="1428" t="str">
        <f>C637</f>
        <v>LACAHSA - Matching Grant</v>
      </c>
      <c r="H659" s="1428"/>
      <c r="I659" s="1428"/>
      <c r="J659" s="1428"/>
      <c r="K659" s="1428"/>
      <c r="L659" s="1428"/>
      <c r="M659" s="1428"/>
      <c r="N659" s="1428"/>
      <c r="O659" s="1428"/>
      <c r="P659" s="1428"/>
      <c r="Q659" s="1428"/>
      <c r="R659" s="1428"/>
      <c r="T659" s="55" t="s">
        <v>579</v>
      </c>
      <c r="U659" t="s">
        <v>461</v>
      </c>
      <c r="Z659" s="1428" t="str">
        <f>C638</f>
        <v>City of Long Beach Development Loan</v>
      </c>
      <c r="AA659" s="1428"/>
      <c r="AB659" s="1428"/>
      <c r="AC659" s="1428"/>
      <c r="AD659" s="1428"/>
      <c r="AE659" s="1428"/>
      <c r="AF659" s="1428"/>
      <c r="AG659" s="1428"/>
      <c r="AH659" s="1428"/>
      <c r="AI659" s="1428"/>
      <c r="AJ659" s="1428"/>
      <c r="AK659" s="1428"/>
      <c r="AZ659" s="34"/>
      <c r="BA659" s="34"/>
      <c r="BB659" s="34"/>
      <c r="BC659" s="34"/>
      <c r="BD659" s="34"/>
      <c r="BE659" s="34"/>
      <c r="BF659" s="34"/>
      <c r="BG659" s="34"/>
      <c r="BH659" s="34"/>
      <c r="BI659" s="34"/>
      <c r="BJ659" s="34"/>
      <c r="BK659" s="34"/>
      <c r="BL659" s="34"/>
      <c r="BM659" s="34"/>
      <c r="DX659" s="1499" t="e">
        <f t="shared" si="3"/>
        <v>#VALUE!</v>
      </c>
      <c r="DY659" s="1499"/>
      <c r="DZ659" s="1499"/>
      <c r="EA659" s="1499"/>
      <c r="EB659" s="1499"/>
      <c r="EC659" s="1499" t="e">
        <f t="shared" si="4"/>
        <v>#VALUE!</v>
      </c>
      <c r="ED659" s="1499"/>
      <c r="EE659" s="1499"/>
      <c r="EF659" s="1499"/>
      <c r="EG659" s="1499"/>
      <c r="EH659" s="1499" t="e">
        <f t="shared" si="5"/>
        <v>#VALUE!</v>
      </c>
      <c r="EI659" s="1499"/>
      <c r="EJ659" s="1499"/>
      <c r="EK659" s="1499"/>
      <c r="EL659" s="1499"/>
      <c r="EM659" s="1499" t="e">
        <f t="shared" si="6"/>
        <v>#VALUE!</v>
      </c>
      <c r="EN659" s="1499"/>
      <c r="EO659" s="1499"/>
      <c r="EP659" s="1499"/>
      <c r="EQ659" s="1499"/>
      <c r="ER659" s="1499" t="e">
        <f t="shared" si="7"/>
        <v>#VALUE!</v>
      </c>
      <c r="ES659" s="1499"/>
      <c r="ET659" s="1499"/>
      <c r="EU659" s="1499"/>
      <c r="EV659" s="1499"/>
      <c r="EW659" s="1499" t="e">
        <f t="shared" si="8"/>
        <v>#VALUE!</v>
      </c>
      <c r="EX659" s="1499"/>
      <c r="EY659" s="1499"/>
      <c r="EZ659" s="1499"/>
      <c r="FA659" s="1499"/>
    </row>
    <row r="660" spans="1:157" ht="12.95" customHeight="1">
      <c r="A660" s="22"/>
      <c r="B660" t="s">
        <v>85</v>
      </c>
      <c r="G660" s="1396" t="s">
        <v>2764</v>
      </c>
      <c r="H660" s="1397"/>
      <c r="I660" s="1397"/>
      <c r="J660" s="1397"/>
      <c r="K660" s="1397"/>
      <c r="L660" s="1397"/>
      <c r="M660" s="1397"/>
      <c r="N660" s="1397"/>
      <c r="O660" s="1397"/>
      <c r="P660" s="1397"/>
      <c r="Q660" s="1397"/>
      <c r="R660" s="1397"/>
      <c r="T660" s="22"/>
      <c r="U660" t="s">
        <v>85</v>
      </c>
      <c r="Z660" s="1397" t="s">
        <v>2768</v>
      </c>
      <c r="AA660" s="1397"/>
      <c r="AB660" s="1397"/>
      <c r="AC660" s="1397"/>
      <c r="AD660" s="1397"/>
      <c r="AE660" s="1397"/>
      <c r="AF660" s="1397"/>
      <c r="AG660" s="1397"/>
      <c r="AH660" s="1397"/>
      <c r="AI660" s="1397"/>
      <c r="AJ660" s="1397"/>
      <c r="AK660" s="1397"/>
      <c r="AZ660" s="34"/>
      <c r="BA660" s="34"/>
      <c r="BB660" s="34"/>
      <c r="BC660" s="34"/>
      <c r="BD660" s="34"/>
      <c r="BE660" s="34"/>
      <c r="BF660" s="34"/>
      <c r="BG660" s="34"/>
      <c r="BH660" s="34"/>
      <c r="BI660" s="34"/>
      <c r="BJ660" s="34"/>
      <c r="BK660" s="34"/>
      <c r="BL660" s="34"/>
      <c r="BM660" s="34"/>
      <c r="DX660" s="1499" t="e">
        <f t="shared" si="3"/>
        <v>#VALUE!</v>
      </c>
      <c r="DY660" s="1499"/>
      <c r="DZ660" s="1499"/>
      <c r="EA660" s="1499"/>
      <c r="EB660" s="1499"/>
      <c r="EC660" s="1499" t="e">
        <f t="shared" si="4"/>
        <v>#VALUE!</v>
      </c>
      <c r="ED660" s="1499"/>
      <c r="EE660" s="1499"/>
      <c r="EF660" s="1499"/>
      <c r="EG660" s="1499"/>
      <c r="EH660" s="1499" t="e">
        <f t="shared" si="5"/>
        <v>#VALUE!</v>
      </c>
      <c r="EI660" s="1499"/>
      <c r="EJ660" s="1499"/>
      <c r="EK660" s="1499"/>
      <c r="EL660" s="1499"/>
      <c r="EM660" s="1499" t="e">
        <f t="shared" si="6"/>
        <v>#VALUE!</v>
      </c>
      <c r="EN660" s="1499"/>
      <c r="EO660" s="1499"/>
      <c r="EP660" s="1499"/>
      <c r="EQ660" s="1499"/>
      <c r="ER660" s="1499" t="e">
        <f t="shared" si="7"/>
        <v>#VALUE!</v>
      </c>
      <c r="ES660" s="1499"/>
      <c r="ET660" s="1499"/>
      <c r="EU660" s="1499"/>
      <c r="EV660" s="1499"/>
      <c r="EW660" s="1499" t="e">
        <f t="shared" si="8"/>
        <v>#VALUE!</v>
      </c>
      <c r="EX660" s="1499"/>
      <c r="EY660" s="1499"/>
      <c r="EZ660" s="1499"/>
      <c r="FA660" s="1499"/>
    </row>
    <row r="661" spans="1:157" ht="12.95" customHeight="1">
      <c r="A661" s="22"/>
      <c r="B661" t="s">
        <v>578</v>
      </c>
      <c r="G661" s="1412" t="s">
        <v>2765</v>
      </c>
      <c r="H661" s="1420"/>
      <c r="I661" s="1420"/>
      <c r="J661" s="1420"/>
      <c r="K661" s="1420"/>
      <c r="L661" s="1420"/>
      <c r="M661" s="1420"/>
      <c r="N661" s="1420"/>
      <c r="O661" s="1420"/>
      <c r="P661" s="1420"/>
      <c r="Q661" s="1420"/>
      <c r="R661" s="1420"/>
      <c r="T661" s="22"/>
      <c r="U661" t="s">
        <v>578</v>
      </c>
      <c r="Z661" s="1420" t="s">
        <v>2769</v>
      </c>
      <c r="AA661" s="1420"/>
      <c r="AB661" s="1420"/>
      <c r="AC661" s="1420"/>
      <c r="AD661" s="1420"/>
      <c r="AE661" s="1420"/>
      <c r="AF661" s="1420"/>
      <c r="AG661" s="1420"/>
      <c r="AH661" s="1420"/>
      <c r="AI661" s="1420"/>
      <c r="AJ661" s="1420"/>
      <c r="AK661" s="1420"/>
      <c r="AZ661" s="34"/>
      <c r="BA661" s="34"/>
      <c r="BB661" s="34"/>
      <c r="BC661" s="34"/>
      <c r="BD661" s="34"/>
      <c r="BE661" s="34"/>
      <c r="BF661" s="34"/>
      <c r="BG661" s="34"/>
      <c r="BH661" s="34"/>
      <c r="BI661" s="34"/>
      <c r="BJ661" s="34"/>
      <c r="BK661" s="34"/>
      <c r="BL661" s="34"/>
      <c r="BM661" s="34"/>
      <c r="DX661" s="1499" t="e">
        <f t="shared" si="3"/>
        <v>#VALUE!</v>
      </c>
      <c r="DY661" s="1499"/>
      <c r="DZ661" s="1499"/>
      <c r="EA661" s="1499"/>
      <c r="EB661" s="1499"/>
      <c r="EC661" s="1499" t="e">
        <f t="shared" si="4"/>
        <v>#VALUE!</v>
      </c>
      <c r="ED661" s="1499"/>
      <c r="EE661" s="1499"/>
      <c r="EF661" s="1499"/>
      <c r="EG661" s="1499"/>
      <c r="EH661" s="1499" t="e">
        <f t="shared" si="5"/>
        <v>#VALUE!</v>
      </c>
      <c r="EI661" s="1499"/>
      <c r="EJ661" s="1499"/>
      <c r="EK661" s="1499"/>
      <c r="EL661" s="1499"/>
      <c r="EM661" s="1499" t="e">
        <f t="shared" si="6"/>
        <v>#VALUE!</v>
      </c>
      <c r="EN661" s="1499"/>
      <c r="EO661" s="1499"/>
      <c r="EP661" s="1499"/>
      <c r="EQ661" s="1499"/>
      <c r="ER661" s="1499" t="e">
        <f t="shared" si="7"/>
        <v>#VALUE!</v>
      </c>
      <c r="ES661" s="1499"/>
      <c r="ET661" s="1499"/>
      <c r="EU661" s="1499"/>
      <c r="EV661" s="1499"/>
      <c r="EW661" s="1499" t="e">
        <f t="shared" si="8"/>
        <v>#VALUE!</v>
      </c>
      <c r="EX661" s="1499"/>
      <c r="EY661" s="1499"/>
      <c r="EZ661" s="1499"/>
      <c r="FA661" s="1499"/>
    </row>
    <row r="662" spans="1:157" ht="12.95" customHeight="1">
      <c r="A662" s="22"/>
      <c r="B662" t="s">
        <v>17</v>
      </c>
      <c r="G662" s="1412" t="s">
        <v>2770</v>
      </c>
      <c r="H662" s="1420"/>
      <c r="I662" s="1420"/>
      <c r="J662" s="1420"/>
      <c r="K662" s="1420"/>
      <c r="L662" s="1420"/>
      <c r="M662" s="1420"/>
      <c r="N662" s="1420"/>
      <c r="O662" s="1420"/>
      <c r="P662" s="1420"/>
      <c r="Q662" s="1420"/>
      <c r="R662" s="1420"/>
      <c r="T662" s="22"/>
      <c r="U662" t="s">
        <v>17</v>
      </c>
      <c r="Z662" s="1412" t="s">
        <v>2772</v>
      </c>
      <c r="AA662" s="1420"/>
      <c r="AB662" s="1420"/>
      <c r="AC662" s="1420"/>
      <c r="AD662" s="1420"/>
      <c r="AE662" s="1420"/>
      <c r="AF662" s="1420"/>
      <c r="AG662" s="1420"/>
      <c r="AH662" s="1420"/>
      <c r="AI662" s="1420"/>
      <c r="AJ662" s="1420"/>
      <c r="AK662" s="1420"/>
      <c r="AZ662" s="34"/>
      <c r="BA662" s="34"/>
      <c r="BB662" s="34"/>
      <c r="BC662" s="34"/>
      <c r="BD662" s="34"/>
      <c r="BE662" s="34"/>
      <c r="BF662" s="34"/>
      <c r="BG662" s="34"/>
      <c r="BH662" s="34"/>
      <c r="BI662" s="34"/>
      <c r="BJ662" s="34"/>
      <c r="BK662" s="34"/>
      <c r="BL662" s="34"/>
      <c r="BM662" s="34"/>
      <c r="DX662" s="1499" t="e">
        <f t="shared" si="3"/>
        <v>#VALUE!</v>
      </c>
      <c r="DY662" s="1499"/>
      <c r="DZ662" s="1499"/>
      <c r="EA662" s="1499"/>
      <c r="EB662" s="1499"/>
      <c r="EC662" s="1499" t="e">
        <f t="shared" si="4"/>
        <v>#VALUE!</v>
      </c>
      <c r="ED662" s="1499"/>
      <c r="EE662" s="1499"/>
      <c r="EF662" s="1499"/>
      <c r="EG662" s="1499"/>
      <c r="EH662" s="1499" t="e">
        <f t="shared" si="5"/>
        <v>#VALUE!</v>
      </c>
      <c r="EI662" s="1499"/>
      <c r="EJ662" s="1499"/>
      <c r="EK662" s="1499"/>
      <c r="EL662" s="1499"/>
      <c r="EM662" s="1499" t="e">
        <f t="shared" si="6"/>
        <v>#VALUE!</v>
      </c>
      <c r="EN662" s="1499"/>
      <c r="EO662" s="1499"/>
      <c r="EP662" s="1499"/>
      <c r="EQ662" s="1499"/>
      <c r="ER662" s="1499" t="e">
        <f t="shared" si="7"/>
        <v>#VALUE!</v>
      </c>
      <c r="ES662" s="1499"/>
      <c r="ET662" s="1499"/>
      <c r="EU662" s="1499"/>
      <c r="EV662" s="1499"/>
      <c r="EW662" s="1499" t="e">
        <f t="shared" si="8"/>
        <v>#VALUE!</v>
      </c>
      <c r="EX662" s="1499"/>
      <c r="EY662" s="1499"/>
      <c r="EZ662" s="1499"/>
      <c r="FA662" s="1499"/>
    </row>
    <row r="663" spans="1:157" ht="12.95" customHeight="1">
      <c r="A663" s="22"/>
      <c r="B663" t="s">
        <v>315</v>
      </c>
      <c r="G663" s="1394" t="s">
        <v>2771</v>
      </c>
      <c r="H663" s="1395"/>
      <c r="I663" s="1395"/>
      <c r="J663" s="1395"/>
      <c r="K663" s="1395"/>
      <c r="L663" s="1395"/>
      <c r="O663" s="33" t="s">
        <v>205</v>
      </c>
      <c r="P663" s="1426"/>
      <c r="Q663" s="1426"/>
      <c r="R663" s="1426"/>
      <c r="T663" s="22"/>
      <c r="U663" t="s">
        <v>315</v>
      </c>
      <c r="Z663" s="1394" t="s">
        <v>2767</v>
      </c>
      <c r="AA663" s="1395"/>
      <c r="AB663" s="1395"/>
      <c r="AC663" s="1395"/>
      <c r="AD663" s="1395"/>
      <c r="AE663" s="1395"/>
      <c r="AH663" s="33" t="s">
        <v>205</v>
      </c>
      <c r="AI663" s="1426"/>
      <c r="AJ663" s="1426"/>
      <c r="AK663" s="1426"/>
      <c r="AZ663" s="34"/>
      <c r="BA663" s="34"/>
      <c r="BB663" s="34"/>
      <c r="BC663" s="34"/>
      <c r="BD663" s="34"/>
      <c r="BE663" s="34"/>
      <c r="BF663" s="34"/>
      <c r="BG663" s="34"/>
      <c r="BH663" s="34"/>
      <c r="BI663" s="34"/>
      <c r="BJ663" s="34"/>
      <c r="BK663" s="34"/>
      <c r="BL663" s="34"/>
      <c r="BM663" s="34"/>
      <c r="DX663" s="1499" t="e">
        <f t="shared" si="3"/>
        <v>#VALUE!</v>
      </c>
      <c r="DY663" s="1499"/>
      <c r="DZ663" s="1499"/>
      <c r="EA663" s="1499"/>
      <c r="EB663" s="1499"/>
      <c r="EC663" s="1499" t="e">
        <f t="shared" si="4"/>
        <v>#VALUE!</v>
      </c>
      <c r="ED663" s="1499"/>
      <c r="EE663" s="1499"/>
      <c r="EF663" s="1499"/>
      <c r="EG663" s="1499"/>
      <c r="EH663" s="1499" t="e">
        <f t="shared" si="5"/>
        <v>#VALUE!</v>
      </c>
      <c r="EI663" s="1499"/>
      <c r="EJ663" s="1499"/>
      <c r="EK663" s="1499"/>
      <c r="EL663" s="1499"/>
      <c r="EM663" s="1499" t="e">
        <f t="shared" si="6"/>
        <v>#VALUE!</v>
      </c>
      <c r="EN663" s="1499"/>
      <c r="EO663" s="1499"/>
      <c r="EP663" s="1499"/>
      <c r="EQ663" s="1499"/>
      <c r="ER663" s="1499" t="e">
        <f t="shared" si="7"/>
        <v>#VALUE!</v>
      </c>
      <c r="ES663" s="1499"/>
      <c r="ET663" s="1499"/>
      <c r="EU663" s="1499"/>
      <c r="EV663" s="1499"/>
      <c r="EW663" s="1499" t="e">
        <f t="shared" si="8"/>
        <v>#VALUE!</v>
      </c>
      <c r="EX663" s="1499"/>
      <c r="EY663" s="1499"/>
      <c r="EZ663" s="1499"/>
      <c r="FA663" s="1499"/>
    </row>
    <row r="664" spans="1:157" ht="12.95" customHeight="1">
      <c r="A664" s="22"/>
      <c r="B664" t="s">
        <v>18</v>
      </c>
      <c r="H664" s="1396" t="s">
        <v>2060</v>
      </c>
      <c r="I664" s="1397"/>
      <c r="J664" s="1397"/>
      <c r="K664" s="1397"/>
      <c r="L664" s="1397"/>
      <c r="M664" s="1397"/>
      <c r="N664" s="1397"/>
      <c r="O664" s="1397"/>
      <c r="P664" s="1397"/>
      <c r="Q664" s="1397"/>
      <c r="R664" s="1397"/>
      <c r="T664" s="22"/>
      <c r="U664" t="s">
        <v>18</v>
      </c>
      <c r="AA664" s="1397" t="s">
        <v>2063</v>
      </c>
      <c r="AB664" s="1397"/>
      <c r="AC664" s="1397"/>
      <c r="AD664" s="1397"/>
      <c r="AE664" s="1397"/>
      <c r="AF664" s="1397"/>
      <c r="AG664" s="1397"/>
      <c r="AH664" s="1397"/>
      <c r="AI664" s="1397"/>
      <c r="AJ664" s="1397"/>
      <c r="AK664" s="1397"/>
      <c r="AZ664" s="34"/>
      <c r="BA664" s="34"/>
      <c r="BB664" s="34"/>
      <c r="BC664" s="34"/>
      <c r="BD664" s="34"/>
      <c r="BE664" s="34"/>
      <c r="BF664" s="34"/>
      <c r="BG664" s="34"/>
      <c r="BH664" s="34"/>
      <c r="BI664" s="34"/>
      <c r="BJ664" s="34"/>
      <c r="BK664" s="34"/>
      <c r="BL664" s="34"/>
      <c r="BM664" s="34"/>
      <c r="DX664" s="1499" t="e">
        <f t="shared" si="3"/>
        <v>#VALUE!</v>
      </c>
      <c r="DY664" s="1499"/>
      <c r="DZ664" s="1499"/>
      <c r="EA664" s="1499"/>
      <c r="EB664" s="1499"/>
      <c r="EC664" s="1499" t="e">
        <f t="shared" si="4"/>
        <v>#VALUE!</v>
      </c>
      <c r="ED664" s="1499"/>
      <c r="EE664" s="1499"/>
      <c r="EF664" s="1499"/>
      <c r="EG664" s="1499"/>
      <c r="EH664" s="1499" t="e">
        <f t="shared" si="5"/>
        <v>#VALUE!</v>
      </c>
      <c r="EI664" s="1499"/>
      <c r="EJ664" s="1499"/>
      <c r="EK664" s="1499"/>
      <c r="EL664" s="1499"/>
      <c r="EM664" s="1499" t="e">
        <f t="shared" si="6"/>
        <v>#VALUE!</v>
      </c>
      <c r="EN664" s="1499"/>
      <c r="EO664" s="1499"/>
      <c r="EP664" s="1499"/>
      <c r="EQ664" s="1499"/>
      <c r="ER664" s="1499" t="e">
        <f t="shared" si="7"/>
        <v>#VALUE!</v>
      </c>
      <c r="ES664" s="1499"/>
      <c r="ET664" s="1499"/>
      <c r="EU664" s="1499"/>
      <c r="EV664" s="1499"/>
      <c r="EW664" s="1499" t="e">
        <f t="shared" si="8"/>
        <v>#VALUE!</v>
      </c>
      <c r="EX664" s="1499"/>
      <c r="EY664" s="1499"/>
      <c r="EZ664" s="1499"/>
      <c r="FA664" s="1499"/>
    </row>
    <row r="665" spans="1:157" ht="12.95" customHeight="1">
      <c r="A665" s="22"/>
      <c r="B665" t="s">
        <v>20</v>
      </c>
      <c r="N665" s="1296" t="s">
        <v>543</v>
      </c>
      <c r="O665" s="1296"/>
      <c r="T665" s="22"/>
      <c r="U665" t="s">
        <v>20</v>
      </c>
      <c r="AG665" s="1296" t="s">
        <v>543</v>
      </c>
      <c r="AH665" s="1296"/>
      <c r="AZ665" s="34"/>
      <c r="BA665" s="34"/>
      <c r="BB665" s="34"/>
      <c r="BC665" s="34"/>
      <c r="BD665" s="34"/>
      <c r="BE665" s="34"/>
      <c r="BF665" s="34"/>
      <c r="BG665" s="34"/>
      <c r="BH665" s="34"/>
      <c r="BI665" s="34"/>
      <c r="BJ665" s="34"/>
      <c r="BK665" s="34"/>
      <c r="BL665" s="34"/>
      <c r="BM665" s="34"/>
      <c r="DX665" s="1499" t="e">
        <f t="shared" si="3"/>
        <v>#VALUE!</v>
      </c>
      <c r="DY665" s="1499"/>
      <c r="DZ665" s="1499"/>
      <c r="EA665" s="1499"/>
      <c r="EB665" s="1499"/>
      <c r="EC665" s="1499" t="e">
        <f t="shared" si="4"/>
        <v>#VALUE!</v>
      </c>
      <c r="ED665" s="1499"/>
      <c r="EE665" s="1499"/>
      <c r="EF665" s="1499"/>
      <c r="EG665" s="1499"/>
      <c r="EH665" s="1499" t="e">
        <f t="shared" si="5"/>
        <v>#VALUE!</v>
      </c>
      <c r="EI665" s="1499"/>
      <c r="EJ665" s="1499"/>
      <c r="EK665" s="1499"/>
      <c r="EL665" s="1499"/>
      <c r="EM665" s="1499" t="e">
        <f t="shared" si="6"/>
        <v>#VALUE!</v>
      </c>
      <c r="EN665" s="1499"/>
      <c r="EO665" s="1499"/>
      <c r="EP665" s="1499"/>
      <c r="EQ665" s="1499"/>
      <c r="ER665" s="1499" t="e">
        <f t="shared" si="7"/>
        <v>#VALUE!</v>
      </c>
      <c r="ES665" s="1499"/>
      <c r="ET665" s="1499"/>
      <c r="EU665" s="1499"/>
      <c r="EV665" s="1499"/>
      <c r="EW665" s="1499" t="e">
        <f t="shared" si="8"/>
        <v>#VALUE!</v>
      </c>
      <c r="EX665" s="1499"/>
      <c r="EY665" s="1499"/>
      <c r="EZ665" s="1499"/>
      <c r="FA665" s="1499"/>
    </row>
    <row r="666" spans="1:157" ht="12.95" customHeight="1">
      <c r="A666" s="22"/>
      <c r="T666" s="22"/>
      <c r="AZ666" s="34"/>
      <c r="BA666" s="34"/>
      <c r="BB666" s="34"/>
      <c r="BC666" s="34"/>
      <c r="BD666" s="34"/>
      <c r="BE666" s="34"/>
      <c r="BF666" s="34"/>
      <c r="BG666" s="34"/>
      <c r="BH666" s="34"/>
      <c r="BI666" s="34"/>
      <c r="BJ666" s="34"/>
      <c r="BK666" s="34"/>
      <c r="BL666" s="34"/>
      <c r="BM666" s="34"/>
      <c r="DX666" s="1499" t="e">
        <f t="shared" si="3"/>
        <v>#VALUE!</v>
      </c>
      <c r="DY666" s="1499"/>
      <c r="DZ666" s="1499"/>
      <c r="EA666" s="1499"/>
      <c r="EB666" s="1499"/>
      <c r="EC666" s="1499" t="e">
        <f t="shared" si="4"/>
        <v>#VALUE!</v>
      </c>
      <c r="ED666" s="1499"/>
      <c r="EE666" s="1499"/>
      <c r="EF666" s="1499"/>
      <c r="EG666" s="1499"/>
      <c r="EH666" s="1499" t="e">
        <f t="shared" si="5"/>
        <v>#VALUE!</v>
      </c>
      <c r="EI666" s="1499"/>
      <c r="EJ666" s="1499"/>
      <c r="EK666" s="1499"/>
      <c r="EL666" s="1499"/>
      <c r="EM666" s="1499" t="e">
        <f t="shared" si="6"/>
        <v>#VALUE!</v>
      </c>
      <c r="EN666" s="1499"/>
      <c r="EO666" s="1499"/>
      <c r="EP666" s="1499"/>
      <c r="EQ666" s="1499"/>
      <c r="ER666" s="1499" t="e">
        <f t="shared" si="7"/>
        <v>#VALUE!</v>
      </c>
      <c r="ES666" s="1499"/>
      <c r="ET666" s="1499"/>
      <c r="EU666" s="1499"/>
      <c r="EV666" s="1499"/>
      <c r="EW666" s="1499" t="e">
        <f t="shared" si="8"/>
        <v>#VALUE!</v>
      </c>
      <c r="EX666" s="1499"/>
      <c r="EY666" s="1499"/>
      <c r="EZ666" s="1499"/>
      <c r="FA666" s="1499"/>
    </row>
    <row r="667" spans="1:157" ht="12.95" customHeight="1">
      <c r="A667" s="55" t="s">
        <v>761</v>
      </c>
      <c r="B667" t="s">
        <v>461</v>
      </c>
      <c r="G667" s="1428" t="str">
        <f>C639</f>
        <v>Accrued and Deferred Soft loan Interest</v>
      </c>
      <c r="H667" s="1428"/>
      <c r="I667" s="1428"/>
      <c r="J667" s="1428"/>
      <c r="K667" s="1428"/>
      <c r="L667" s="1428"/>
      <c r="M667" s="1428"/>
      <c r="N667" s="1428"/>
      <c r="O667" s="1428"/>
      <c r="P667" s="1428"/>
      <c r="Q667" s="1428"/>
      <c r="R667" s="1428"/>
      <c r="T667" s="55" t="s">
        <v>582</v>
      </c>
      <c r="U667" t="s">
        <v>461</v>
      </c>
      <c r="Z667" s="1428" t="str">
        <f>C640</f>
        <v>Deferred Developer Fee</v>
      </c>
      <c r="AA667" s="1428"/>
      <c r="AB667" s="1428"/>
      <c r="AC667" s="1428"/>
      <c r="AD667" s="1428"/>
      <c r="AE667" s="1428"/>
      <c r="AF667" s="1428"/>
      <c r="AG667" s="1428"/>
      <c r="AH667" s="1428"/>
      <c r="AI667" s="1428"/>
      <c r="AJ667" s="1428"/>
      <c r="AK667" s="1428"/>
      <c r="AZ667" s="34"/>
      <c r="BA667" s="34"/>
      <c r="BB667" s="34"/>
      <c r="BC667" s="34"/>
      <c r="BD667" s="34"/>
      <c r="BE667" s="34"/>
      <c r="BF667" s="34"/>
      <c r="BG667" s="34"/>
      <c r="BH667" s="34"/>
      <c r="BI667" s="34"/>
      <c r="BJ667" s="34"/>
      <c r="BK667" s="34"/>
      <c r="BL667" s="34"/>
      <c r="BM667" s="34"/>
      <c r="DX667" s="1499" t="e">
        <f t="shared" si="3"/>
        <v>#VALUE!</v>
      </c>
      <c r="DY667" s="1499"/>
      <c r="DZ667" s="1499"/>
      <c r="EA667" s="1499"/>
      <c r="EB667" s="1499"/>
      <c r="EC667" s="1499" t="e">
        <f t="shared" si="4"/>
        <v>#VALUE!</v>
      </c>
      <c r="ED667" s="1499"/>
      <c r="EE667" s="1499"/>
      <c r="EF667" s="1499"/>
      <c r="EG667" s="1499"/>
      <c r="EH667" s="1499" t="e">
        <f t="shared" si="5"/>
        <v>#VALUE!</v>
      </c>
      <c r="EI667" s="1499"/>
      <c r="EJ667" s="1499"/>
      <c r="EK667" s="1499"/>
      <c r="EL667" s="1499"/>
      <c r="EM667" s="1499" t="e">
        <f t="shared" si="6"/>
        <v>#VALUE!</v>
      </c>
      <c r="EN667" s="1499"/>
      <c r="EO667" s="1499"/>
      <c r="EP667" s="1499"/>
      <c r="EQ667" s="1499"/>
      <c r="ER667" s="1499" t="e">
        <f t="shared" si="7"/>
        <v>#VALUE!</v>
      </c>
      <c r="ES667" s="1499"/>
      <c r="ET667" s="1499"/>
      <c r="EU667" s="1499"/>
      <c r="EV667" s="1499"/>
      <c r="EW667" s="1499" t="e">
        <f t="shared" si="8"/>
        <v>#VALUE!</v>
      </c>
      <c r="EX667" s="1499"/>
      <c r="EY667" s="1499"/>
      <c r="EZ667" s="1499"/>
      <c r="FA667" s="1499"/>
    </row>
    <row r="668" spans="1:157" ht="12.95" customHeight="1">
      <c r="A668" s="22"/>
      <c r="B668" t="s">
        <v>85</v>
      </c>
      <c r="G668" s="1397" t="s">
        <v>2764</v>
      </c>
      <c r="H668" s="1397"/>
      <c r="I668" s="1397"/>
      <c r="J668" s="1397"/>
      <c r="K668" s="1397"/>
      <c r="L668" s="1397"/>
      <c r="M668" s="1397"/>
      <c r="N668" s="1397"/>
      <c r="O668" s="1397"/>
      <c r="P668" s="1397"/>
      <c r="Q668" s="1397"/>
      <c r="R668" s="1397"/>
      <c r="T668" s="22"/>
      <c r="U668" t="s">
        <v>85</v>
      </c>
      <c r="Z668" s="1397" t="s">
        <v>2666</v>
      </c>
      <c r="AA668" s="1397"/>
      <c r="AB668" s="1397"/>
      <c r="AC668" s="1397"/>
      <c r="AD668" s="1397"/>
      <c r="AE668" s="1397"/>
      <c r="AF668" s="1397"/>
      <c r="AG668" s="1397"/>
      <c r="AH668" s="1397"/>
      <c r="AI668" s="1397"/>
      <c r="AJ668" s="1397"/>
      <c r="AK668" s="1397"/>
      <c r="AZ668" s="34"/>
      <c r="BA668" s="34"/>
      <c r="BB668" s="34"/>
      <c r="BC668" s="34"/>
      <c r="BD668" s="34"/>
      <c r="BE668" s="34"/>
      <c r="BF668" s="34"/>
      <c r="BG668" s="34"/>
      <c r="BH668" s="34"/>
      <c r="BI668" s="34"/>
      <c r="BJ668" s="34"/>
      <c r="BK668" s="34"/>
      <c r="BL668" s="34"/>
      <c r="BM668" s="34"/>
      <c r="DX668" s="1499" t="e">
        <f t="shared" si="3"/>
        <v>#VALUE!</v>
      </c>
      <c r="DY668" s="1499"/>
      <c r="DZ668" s="1499"/>
      <c r="EA668" s="1499"/>
      <c r="EB668" s="1499"/>
      <c r="EC668" s="1499" t="e">
        <f t="shared" si="4"/>
        <v>#VALUE!</v>
      </c>
      <c r="ED668" s="1499"/>
      <c r="EE668" s="1499"/>
      <c r="EF668" s="1499"/>
      <c r="EG668" s="1499"/>
      <c r="EH668" s="1499" t="e">
        <f t="shared" si="5"/>
        <v>#VALUE!</v>
      </c>
      <c r="EI668" s="1499"/>
      <c r="EJ668" s="1499"/>
      <c r="EK668" s="1499"/>
      <c r="EL668" s="1499"/>
      <c r="EM668" s="1499" t="e">
        <f t="shared" si="6"/>
        <v>#VALUE!</v>
      </c>
      <c r="EN668" s="1499"/>
      <c r="EO668" s="1499"/>
      <c r="EP668" s="1499"/>
      <c r="EQ668" s="1499"/>
      <c r="ER668" s="1499" t="e">
        <f t="shared" si="7"/>
        <v>#VALUE!</v>
      </c>
      <c r="ES668" s="1499"/>
      <c r="ET668" s="1499"/>
      <c r="EU668" s="1499"/>
      <c r="EV668" s="1499"/>
      <c r="EW668" s="1499" t="e">
        <f t="shared" si="8"/>
        <v>#VALUE!</v>
      </c>
      <c r="EX668" s="1499"/>
      <c r="EY668" s="1499"/>
      <c r="EZ668" s="1499"/>
      <c r="FA668" s="1499"/>
    </row>
    <row r="669" spans="1:157" ht="12.95" customHeight="1">
      <c r="A669" s="22"/>
      <c r="B669" t="s">
        <v>578</v>
      </c>
      <c r="G669" s="1397" t="s">
        <v>2765</v>
      </c>
      <c r="H669" s="1397"/>
      <c r="I669" s="1397"/>
      <c r="J669" s="1397"/>
      <c r="K669" s="1397"/>
      <c r="L669" s="1397"/>
      <c r="M669" s="1397"/>
      <c r="N669" s="1397"/>
      <c r="O669" s="1397"/>
      <c r="P669" s="1397"/>
      <c r="Q669" s="1397"/>
      <c r="R669" s="1397"/>
      <c r="T669" s="22"/>
      <c r="U669" t="s">
        <v>578</v>
      </c>
      <c r="Z669" s="1420" t="s">
        <v>2667</v>
      </c>
      <c r="AA669" s="1420"/>
      <c r="AB669" s="1420"/>
      <c r="AC669" s="1420"/>
      <c r="AD669" s="1420"/>
      <c r="AE669" s="1420"/>
      <c r="AF669" s="1420"/>
      <c r="AG669" s="1420"/>
      <c r="AH669" s="1420"/>
      <c r="AI669" s="1420"/>
      <c r="AJ669" s="1420"/>
      <c r="AK669" s="1420"/>
      <c r="AZ669" s="34"/>
      <c r="BA669" s="34"/>
      <c r="BB669" s="34"/>
      <c r="BC669" s="34"/>
      <c r="BD669" s="34"/>
      <c r="BE669" s="34"/>
      <c r="BF669" s="34"/>
      <c r="BG669" s="34"/>
      <c r="BH669" s="34"/>
      <c r="BI669" s="34"/>
      <c r="BJ669" s="34"/>
      <c r="BK669" s="34"/>
      <c r="BL669" s="34"/>
      <c r="BM669" s="34"/>
      <c r="DX669" s="1499" t="e">
        <f t="shared" si="3"/>
        <v>#VALUE!</v>
      </c>
      <c r="DY669" s="1499"/>
      <c r="DZ669" s="1499"/>
      <c r="EA669" s="1499"/>
      <c r="EB669" s="1499"/>
      <c r="EC669" s="1499" t="e">
        <f t="shared" si="4"/>
        <v>#VALUE!</v>
      </c>
      <c r="ED669" s="1499"/>
      <c r="EE669" s="1499"/>
      <c r="EF669" s="1499"/>
      <c r="EG669" s="1499"/>
      <c r="EH669" s="1499" t="e">
        <f t="shared" si="5"/>
        <v>#VALUE!</v>
      </c>
      <c r="EI669" s="1499"/>
      <c r="EJ669" s="1499"/>
      <c r="EK669" s="1499"/>
      <c r="EL669" s="1499"/>
      <c r="EM669" s="1499" t="e">
        <f t="shared" si="6"/>
        <v>#VALUE!</v>
      </c>
      <c r="EN669" s="1499"/>
      <c r="EO669" s="1499"/>
      <c r="EP669" s="1499"/>
      <c r="EQ669" s="1499"/>
      <c r="ER669" s="1499" t="e">
        <f t="shared" si="7"/>
        <v>#VALUE!</v>
      </c>
      <c r="ES669" s="1499"/>
      <c r="ET669" s="1499"/>
      <c r="EU669" s="1499"/>
      <c r="EV669" s="1499"/>
      <c r="EW669" s="1499" t="e">
        <f t="shared" si="8"/>
        <v>#VALUE!</v>
      </c>
      <c r="EX669" s="1499"/>
      <c r="EY669" s="1499"/>
      <c r="EZ669" s="1499"/>
      <c r="FA669" s="1499"/>
    </row>
    <row r="670" spans="1:157" ht="12.95" customHeight="1">
      <c r="A670" s="22"/>
      <c r="B670" t="s">
        <v>17</v>
      </c>
      <c r="G670" s="1397" t="s">
        <v>2770</v>
      </c>
      <c r="H670" s="1397"/>
      <c r="I670" s="1397"/>
      <c r="J670" s="1397"/>
      <c r="K670" s="1397"/>
      <c r="L670" s="1397"/>
      <c r="M670" s="1397"/>
      <c r="N670" s="1397"/>
      <c r="O670" s="1397"/>
      <c r="P670" s="1397"/>
      <c r="Q670" s="1397"/>
      <c r="R670" s="1397"/>
      <c r="T670" s="22"/>
      <c r="U670" t="s">
        <v>17</v>
      </c>
      <c r="Z670" s="1420" t="s">
        <v>2693</v>
      </c>
      <c r="AA670" s="1420"/>
      <c r="AB670" s="1420"/>
      <c r="AC670" s="1420"/>
      <c r="AD670" s="1420"/>
      <c r="AE670" s="1420"/>
      <c r="AF670" s="1420"/>
      <c r="AG670" s="1420"/>
      <c r="AH670" s="1420"/>
      <c r="AI670" s="1420"/>
      <c r="AJ670" s="1420"/>
      <c r="AK670" s="1420"/>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499" t="e">
        <f t="shared" si="3"/>
        <v>#VALUE!</v>
      </c>
      <c r="DY670" s="1499"/>
      <c r="DZ670" s="1499"/>
      <c r="EA670" s="1499"/>
      <c r="EB670" s="1499"/>
      <c r="EC670" s="1499" t="e">
        <f t="shared" si="4"/>
        <v>#VALUE!</v>
      </c>
      <c r="ED670" s="1499"/>
      <c r="EE670" s="1499"/>
      <c r="EF670" s="1499"/>
      <c r="EG670" s="1499"/>
      <c r="EH670" s="1499" t="e">
        <f t="shared" si="5"/>
        <v>#VALUE!</v>
      </c>
      <c r="EI670" s="1499"/>
      <c r="EJ670" s="1499"/>
      <c r="EK670" s="1499"/>
      <c r="EL670" s="1499"/>
      <c r="EM670" s="1499" t="e">
        <f t="shared" si="6"/>
        <v>#VALUE!</v>
      </c>
      <c r="EN670" s="1499"/>
      <c r="EO670" s="1499"/>
      <c r="EP670" s="1499"/>
      <c r="EQ670" s="1499"/>
      <c r="ER670" s="1499" t="e">
        <f t="shared" si="7"/>
        <v>#VALUE!</v>
      </c>
      <c r="ES670" s="1499"/>
      <c r="ET670" s="1499"/>
      <c r="EU670" s="1499"/>
      <c r="EV670" s="1499"/>
      <c r="EW670" s="1499" t="e">
        <f t="shared" si="8"/>
        <v>#VALUE!</v>
      </c>
      <c r="EX670" s="1499"/>
      <c r="EY670" s="1499"/>
      <c r="EZ670" s="1499"/>
      <c r="FA670" s="1499"/>
    </row>
    <row r="671" spans="1:157" ht="12.95" customHeight="1">
      <c r="A671" s="22"/>
      <c r="B671" t="s">
        <v>315</v>
      </c>
      <c r="G671" s="1394" t="s">
        <v>2771</v>
      </c>
      <c r="H671" s="1395"/>
      <c r="I671" s="1395"/>
      <c r="J671" s="1395"/>
      <c r="K671" s="1395"/>
      <c r="L671" s="1395"/>
      <c r="O671" s="33" t="s">
        <v>205</v>
      </c>
      <c r="P671" s="1426"/>
      <c r="Q671" s="1426"/>
      <c r="R671" s="1426"/>
      <c r="T671" s="22"/>
      <c r="U671" t="s">
        <v>315</v>
      </c>
      <c r="Z671" s="1395" t="s">
        <v>2694</v>
      </c>
      <c r="AA671" s="1395"/>
      <c r="AB671" s="1395"/>
      <c r="AC671" s="1395"/>
      <c r="AD671" s="1395"/>
      <c r="AE671" s="1395"/>
      <c r="AH671" s="33" t="s">
        <v>205</v>
      </c>
      <c r="AI671" s="1426"/>
      <c r="AJ671" s="1426"/>
      <c r="AK671" s="1426"/>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499" t="e">
        <f t="shared" si="3"/>
        <v>#VALUE!</v>
      </c>
      <c r="DY671" s="1499"/>
      <c r="DZ671" s="1499"/>
      <c r="EA671" s="1499"/>
      <c r="EB671" s="1499"/>
      <c r="EC671" s="1499" t="e">
        <f t="shared" si="4"/>
        <v>#VALUE!</v>
      </c>
      <c r="ED671" s="1499"/>
      <c r="EE671" s="1499"/>
      <c r="EF671" s="1499"/>
      <c r="EG671" s="1499"/>
      <c r="EH671" s="1499" t="e">
        <f t="shared" si="5"/>
        <v>#VALUE!</v>
      </c>
      <c r="EI671" s="1499"/>
      <c r="EJ671" s="1499"/>
      <c r="EK671" s="1499"/>
      <c r="EL671" s="1499"/>
      <c r="EM671" s="1499" t="e">
        <f t="shared" si="6"/>
        <v>#VALUE!</v>
      </c>
      <c r="EN671" s="1499"/>
      <c r="EO671" s="1499"/>
      <c r="EP671" s="1499"/>
      <c r="EQ671" s="1499"/>
      <c r="ER671" s="1499" t="e">
        <f t="shared" si="7"/>
        <v>#VALUE!</v>
      </c>
      <c r="ES671" s="1499"/>
      <c r="ET671" s="1499"/>
      <c r="EU671" s="1499"/>
      <c r="EV671" s="1499"/>
      <c r="EW671" s="1499" t="e">
        <f t="shared" si="8"/>
        <v>#VALUE!</v>
      </c>
      <c r="EX671" s="1499"/>
      <c r="EY671" s="1499"/>
      <c r="EZ671" s="1499"/>
      <c r="FA671" s="1499"/>
    </row>
    <row r="672" spans="1:157" ht="12.95" customHeight="1">
      <c r="A672" s="22"/>
      <c r="B672" t="s">
        <v>18</v>
      </c>
      <c r="H672" s="1396" t="s">
        <v>2838</v>
      </c>
      <c r="I672" s="1397"/>
      <c r="J672" s="1397"/>
      <c r="K672" s="1397"/>
      <c r="L672" s="1397"/>
      <c r="M672" s="1397"/>
      <c r="N672" s="1397"/>
      <c r="O672" s="1397"/>
      <c r="P672" s="1397"/>
      <c r="Q672" s="1397"/>
      <c r="R672" s="1397"/>
      <c r="T672" s="22"/>
      <c r="U672" t="s">
        <v>18</v>
      </c>
      <c r="AA672" s="1397" t="s">
        <v>2052</v>
      </c>
      <c r="AB672" s="1397"/>
      <c r="AC672" s="1397"/>
      <c r="AD672" s="1397"/>
      <c r="AE672" s="1397"/>
      <c r="AF672" s="1397"/>
      <c r="AG672" s="1397"/>
      <c r="AH672" s="1397"/>
      <c r="AI672" s="1397"/>
      <c r="AJ672" s="1397"/>
      <c r="AK672" s="1397"/>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499" t="e">
        <f t="shared" si="3"/>
        <v>#VALUE!</v>
      </c>
      <c r="DY672" s="1499"/>
      <c r="DZ672" s="1499"/>
      <c r="EA672" s="1499"/>
      <c r="EB672" s="1499"/>
      <c r="EC672" s="1499" t="e">
        <f t="shared" si="4"/>
        <v>#VALUE!</v>
      </c>
      <c r="ED672" s="1499"/>
      <c r="EE672" s="1499"/>
      <c r="EF672" s="1499"/>
      <c r="EG672" s="1499"/>
      <c r="EH672" s="1499" t="e">
        <f t="shared" si="5"/>
        <v>#VALUE!</v>
      </c>
      <c r="EI672" s="1499"/>
      <c r="EJ672" s="1499"/>
      <c r="EK672" s="1499"/>
      <c r="EL672" s="1499"/>
      <c r="EM672" s="1499" t="e">
        <f t="shared" si="6"/>
        <v>#VALUE!</v>
      </c>
      <c r="EN672" s="1499"/>
      <c r="EO672" s="1499"/>
      <c r="EP672" s="1499"/>
      <c r="EQ672" s="1499"/>
      <c r="ER672" s="1499" t="e">
        <f t="shared" si="7"/>
        <v>#VALUE!</v>
      </c>
      <c r="ES672" s="1499"/>
      <c r="ET672" s="1499"/>
      <c r="EU672" s="1499"/>
      <c r="EV672" s="1499"/>
      <c r="EW672" s="1499" t="e">
        <f t="shared" si="8"/>
        <v>#VALUE!</v>
      </c>
      <c r="EX672" s="1499"/>
      <c r="EY672" s="1499"/>
      <c r="EZ672" s="1499"/>
      <c r="FA672" s="1499"/>
    </row>
    <row r="673" spans="1:157" ht="12.95" customHeight="1">
      <c r="A673" s="22"/>
      <c r="B673" t="s">
        <v>20</v>
      </c>
      <c r="N673" s="1296" t="s">
        <v>543</v>
      </c>
      <c r="O673" s="1296"/>
      <c r="T673" s="22"/>
      <c r="U673" t="s">
        <v>20</v>
      </c>
      <c r="AG673" s="1296" t="s">
        <v>543</v>
      </c>
      <c r="AH673" s="1296"/>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499" t="e">
        <f t="shared" si="3"/>
        <v>#VALUE!</v>
      </c>
      <c r="DY673" s="1499"/>
      <c r="DZ673" s="1499"/>
      <c r="EA673" s="1499"/>
      <c r="EB673" s="1499"/>
      <c r="EC673" s="1499" t="e">
        <f t="shared" si="4"/>
        <v>#VALUE!</v>
      </c>
      <c r="ED673" s="1499"/>
      <c r="EE673" s="1499"/>
      <c r="EF673" s="1499"/>
      <c r="EG673" s="1499"/>
      <c r="EH673" s="1499" t="e">
        <f t="shared" si="5"/>
        <v>#VALUE!</v>
      </c>
      <c r="EI673" s="1499"/>
      <c r="EJ673" s="1499"/>
      <c r="EK673" s="1499"/>
      <c r="EL673" s="1499"/>
      <c r="EM673" s="1499" t="e">
        <f t="shared" si="6"/>
        <v>#VALUE!</v>
      </c>
      <c r="EN673" s="1499"/>
      <c r="EO673" s="1499"/>
      <c r="EP673" s="1499"/>
      <c r="EQ673" s="1499"/>
      <c r="ER673" s="1499" t="e">
        <f t="shared" si="7"/>
        <v>#VALUE!</v>
      </c>
      <c r="ES673" s="1499"/>
      <c r="ET673" s="1499"/>
      <c r="EU673" s="1499"/>
      <c r="EV673" s="1499"/>
      <c r="EW673" s="1499" t="e">
        <f t="shared" si="8"/>
        <v>#VALUE!</v>
      </c>
      <c r="EX673" s="1499"/>
      <c r="EY673" s="1499"/>
      <c r="EZ673" s="1499"/>
      <c r="FA673" s="1499"/>
    </row>
    <row r="674" spans="1:157" ht="12.95"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499" t="e">
        <f t="shared" si="3"/>
        <v>#VALUE!</v>
      </c>
      <c r="DY674" s="1499"/>
      <c r="DZ674" s="1499"/>
      <c r="EA674" s="1499"/>
      <c r="EB674" s="1499"/>
      <c r="EC674" s="1499" t="e">
        <f t="shared" si="4"/>
        <v>#VALUE!</v>
      </c>
      <c r="ED674" s="1499"/>
      <c r="EE674" s="1499"/>
      <c r="EF674" s="1499"/>
      <c r="EG674" s="1499"/>
      <c r="EH674" s="1499" t="e">
        <f t="shared" si="5"/>
        <v>#VALUE!</v>
      </c>
      <c r="EI674" s="1499"/>
      <c r="EJ674" s="1499"/>
      <c r="EK674" s="1499"/>
      <c r="EL674" s="1499"/>
      <c r="EM674" s="1499" t="e">
        <f t="shared" si="6"/>
        <v>#VALUE!</v>
      </c>
      <c r="EN674" s="1499"/>
      <c r="EO674" s="1499"/>
      <c r="EP674" s="1499"/>
      <c r="EQ674" s="1499"/>
      <c r="ER674" s="1499" t="e">
        <f t="shared" si="7"/>
        <v>#VALUE!</v>
      </c>
      <c r="ES674" s="1499"/>
      <c r="ET674" s="1499"/>
      <c r="EU674" s="1499"/>
      <c r="EV674" s="1499"/>
      <c r="EW674" s="1499" t="e">
        <f t="shared" si="8"/>
        <v>#VALUE!</v>
      </c>
      <c r="EX674" s="1499"/>
      <c r="EY674" s="1499"/>
      <c r="EZ674" s="1499"/>
      <c r="FA674" s="1499"/>
    </row>
    <row r="675" spans="1:157" ht="12.95" customHeight="1">
      <c r="A675" s="55" t="s">
        <v>453</v>
      </c>
      <c r="B675" t="s">
        <v>461</v>
      </c>
      <c r="G675" s="1428" t="str">
        <f>C641</f>
        <v>GP Capital Contributions</v>
      </c>
      <c r="H675" s="1428"/>
      <c r="I675" s="1428"/>
      <c r="J675" s="1428"/>
      <c r="K675" s="1428"/>
      <c r="L675" s="1428"/>
      <c r="M675" s="1428"/>
      <c r="N675" s="1428"/>
      <c r="O675" s="1428"/>
      <c r="P675" s="1428"/>
      <c r="Q675" s="1428"/>
      <c r="R675" s="1428"/>
      <c r="T675" s="55" t="s">
        <v>454</v>
      </c>
      <c r="U675" t="s">
        <v>461</v>
      </c>
      <c r="Z675" s="1428">
        <f>C642</f>
        <v>0</v>
      </c>
      <c r="AA675" s="1428"/>
      <c r="AB675" s="1428"/>
      <c r="AC675" s="1428"/>
      <c r="AD675" s="1428"/>
      <c r="AE675" s="1428"/>
      <c r="AF675" s="1428"/>
      <c r="AG675" s="1428"/>
      <c r="AH675" s="1428"/>
      <c r="AI675" s="1428"/>
      <c r="AJ675" s="1428"/>
      <c r="AK675" s="1428"/>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499" t="e">
        <f t="shared" si="3"/>
        <v>#VALUE!</v>
      </c>
      <c r="DY675" s="1499"/>
      <c r="DZ675" s="1499"/>
      <c r="EA675" s="1499"/>
      <c r="EB675" s="1499"/>
      <c r="EC675" s="1499" t="e">
        <f t="shared" si="4"/>
        <v>#VALUE!</v>
      </c>
      <c r="ED675" s="1499"/>
      <c r="EE675" s="1499"/>
      <c r="EF675" s="1499"/>
      <c r="EG675" s="1499"/>
      <c r="EH675" s="1499" t="e">
        <f t="shared" si="5"/>
        <v>#VALUE!</v>
      </c>
      <c r="EI675" s="1499"/>
      <c r="EJ675" s="1499"/>
      <c r="EK675" s="1499"/>
      <c r="EL675" s="1499"/>
      <c r="EM675" s="1499" t="e">
        <f t="shared" si="6"/>
        <v>#VALUE!</v>
      </c>
      <c r="EN675" s="1499"/>
      <c r="EO675" s="1499"/>
      <c r="EP675" s="1499"/>
      <c r="EQ675" s="1499"/>
      <c r="ER675" s="1499" t="e">
        <f t="shared" si="7"/>
        <v>#VALUE!</v>
      </c>
      <c r="ES675" s="1499"/>
      <c r="ET675" s="1499"/>
      <c r="EU675" s="1499"/>
      <c r="EV675" s="1499"/>
      <c r="EW675" s="1499" t="e">
        <f t="shared" si="8"/>
        <v>#VALUE!</v>
      </c>
      <c r="EX675" s="1499"/>
      <c r="EY675" s="1499"/>
      <c r="EZ675" s="1499"/>
      <c r="FA675" s="1499"/>
    </row>
    <row r="676" spans="1:157" ht="12.95" customHeight="1">
      <c r="A676" s="22"/>
      <c r="B676" t="s">
        <v>85</v>
      </c>
      <c r="G676" s="1397" t="s">
        <v>2666</v>
      </c>
      <c r="H676" s="1397"/>
      <c r="I676" s="1397"/>
      <c r="J676" s="1397"/>
      <c r="K676" s="1397"/>
      <c r="L676" s="1397"/>
      <c r="M676" s="1397"/>
      <c r="N676" s="1397"/>
      <c r="O676" s="1397"/>
      <c r="P676" s="1397"/>
      <c r="Q676" s="1397"/>
      <c r="R676" s="1397"/>
      <c r="T676" s="22"/>
      <c r="U676" t="s">
        <v>85</v>
      </c>
      <c r="Z676" s="1397"/>
      <c r="AA676" s="1397"/>
      <c r="AB676" s="1397"/>
      <c r="AC676" s="1397"/>
      <c r="AD676" s="1397"/>
      <c r="AE676" s="1397"/>
      <c r="AF676" s="1397"/>
      <c r="AG676" s="1397"/>
      <c r="AH676" s="1397"/>
      <c r="AI676" s="1397"/>
      <c r="AJ676" s="1397"/>
      <c r="AK676" s="1397"/>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499" t="e">
        <f t="shared" si="3"/>
        <v>#VALUE!</v>
      </c>
      <c r="DY676" s="1499"/>
      <c r="DZ676" s="1499"/>
      <c r="EA676" s="1499"/>
      <c r="EB676" s="1499"/>
      <c r="EC676" s="1499" t="e">
        <f t="shared" si="4"/>
        <v>#VALUE!</v>
      </c>
      <c r="ED676" s="1499"/>
      <c r="EE676" s="1499"/>
      <c r="EF676" s="1499"/>
      <c r="EG676" s="1499"/>
      <c r="EH676" s="1499" t="e">
        <f t="shared" si="5"/>
        <v>#VALUE!</v>
      </c>
      <c r="EI676" s="1499"/>
      <c r="EJ676" s="1499"/>
      <c r="EK676" s="1499"/>
      <c r="EL676" s="1499"/>
      <c r="EM676" s="1499" t="e">
        <f t="shared" si="6"/>
        <v>#VALUE!</v>
      </c>
      <c r="EN676" s="1499"/>
      <c r="EO676" s="1499"/>
      <c r="EP676" s="1499"/>
      <c r="EQ676" s="1499"/>
      <c r="ER676" s="1499" t="e">
        <f t="shared" si="7"/>
        <v>#VALUE!</v>
      </c>
      <c r="ES676" s="1499"/>
      <c r="ET676" s="1499"/>
      <c r="EU676" s="1499"/>
      <c r="EV676" s="1499"/>
      <c r="EW676" s="1499" t="e">
        <f t="shared" si="8"/>
        <v>#VALUE!</v>
      </c>
      <c r="EX676" s="1499"/>
      <c r="EY676" s="1499"/>
      <c r="EZ676" s="1499"/>
      <c r="FA676" s="1499"/>
    </row>
    <row r="677" spans="1:157" ht="12.95" customHeight="1">
      <c r="A677" s="22"/>
      <c r="B677" t="s">
        <v>578</v>
      </c>
      <c r="G677" s="1397" t="s">
        <v>2667</v>
      </c>
      <c r="H677" s="1397"/>
      <c r="I677" s="1397"/>
      <c r="J677" s="1397"/>
      <c r="K677" s="1397"/>
      <c r="L677" s="1397"/>
      <c r="M677" s="1397"/>
      <c r="N677" s="1397"/>
      <c r="O677" s="1397"/>
      <c r="P677" s="1397"/>
      <c r="Q677" s="1397"/>
      <c r="R677" s="1397"/>
      <c r="T677" s="22"/>
      <c r="U677" t="s">
        <v>578</v>
      </c>
      <c r="Z677" s="1420"/>
      <c r="AA677" s="1420"/>
      <c r="AB677" s="1420"/>
      <c r="AC677" s="1420"/>
      <c r="AD677" s="1420"/>
      <c r="AE677" s="1420"/>
      <c r="AF677" s="1420"/>
      <c r="AG677" s="1420"/>
      <c r="AH677" s="1420"/>
      <c r="AI677" s="1420"/>
      <c r="AJ677" s="1420"/>
      <c r="AK677" s="1420"/>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499" t="e">
        <f t="shared" si="3"/>
        <v>#VALUE!</v>
      </c>
      <c r="DY677" s="1499"/>
      <c r="DZ677" s="1499"/>
      <c r="EA677" s="1499"/>
      <c r="EB677" s="1499"/>
      <c r="EC677" s="1499" t="e">
        <f t="shared" si="4"/>
        <v>#VALUE!</v>
      </c>
      <c r="ED677" s="1499"/>
      <c r="EE677" s="1499"/>
      <c r="EF677" s="1499"/>
      <c r="EG677" s="1499"/>
      <c r="EH677" s="1499" t="e">
        <f t="shared" si="5"/>
        <v>#VALUE!</v>
      </c>
      <c r="EI677" s="1499"/>
      <c r="EJ677" s="1499"/>
      <c r="EK677" s="1499"/>
      <c r="EL677" s="1499"/>
      <c r="EM677" s="1499" t="e">
        <f t="shared" si="6"/>
        <v>#VALUE!</v>
      </c>
      <c r="EN677" s="1499"/>
      <c r="EO677" s="1499"/>
      <c r="EP677" s="1499"/>
      <c r="EQ677" s="1499"/>
      <c r="ER677" s="1499" t="e">
        <f t="shared" si="7"/>
        <v>#VALUE!</v>
      </c>
      <c r="ES677" s="1499"/>
      <c r="ET677" s="1499"/>
      <c r="EU677" s="1499"/>
      <c r="EV677" s="1499"/>
      <c r="EW677" s="1499" t="e">
        <f t="shared" si="8"/>
        <v>#VALUE!</v>
      </c>
      <c r="EX677" s="1499"/>
      <c r="EY677" s="1499"/>
      <c r="EZ677" s="1499"/>
      <c r="FA677" s="1499"/>
    </row>
    <row r="678" spans="1:157" ht="12.95" customHeight="1">
      <c r="A678" s="22"/>
      <c r="B678" t="s">
        <v>17</v>
      </c>
      <c r="G678" s="1397" t="s">
        <v>2693</v>
      </c>
      <c r="H678" s="1397"/>
      <c r="I678" s="1397"/>
      <c r="J678" s="1397"/>
      <c r="K678" s="1397"/>
      <c r="L678" s="1397"/>
      <c r="M678" s="1397"/>
      <c r="N678" s="1397"/>
      <c r="O678" s="1397"/>
      <c r="P678" s="1397"/>
      <c r="Q678" s="1397"/>
      <c r="R678" s="1397"/>
      <c r="T678" s="22"/>
      <c r="U678" t="s">
        <v>17</v>
      </c>
      <c r="Z678" s="1420"/>
      <c r="AA678" s="1420"/>
      <c r="AB678" s="1420"/>
      <c r="AC678" s="1420"/>
      <c r="AD678" s="1420"/>
      <c r="AE678" s="1420"/>
      <c r="AF678" s="1420"/>
      <c r="AG678" s="1420"/>
      <c r="AH678" s="1420"/>
      <c r="AI678" s="1420"/>
      <c r="AJ678" s="1420"/>
      <c r="AK678" s="1420"/>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499">
        <f>SUMIF(DX643:EB677,"&gt;0")</f>
        <v>781</v>
      </c>
      <c r="DY678" s="1499"/>
      <c r="DZ678" s="1499"/>
      <c r="EA678" s="1499"/>
      <c r="EB678" s="1499"/>
      <c r="EC678" s="1499">
        <f>SUMIF(EC643:EG677,"&gt;0")</f>
        <v>828</v>
      </c>
      <c r="ED678" s="1499"/>
      <c r="EE678" s="1499"/>
      <c r="EF678" s="1499"/>
      <c r="EG678" s="1499"/>
      <c r="EH678" s="1499">
        <f>SUMIF(EH643:EL677,"&gt;0")</f>
        <v>2418.4285714285716</v>
      </c>
      <c r="EI678" s="1499"/>
      <c r="EJ678" s="1499"/>
      <c r="EK678" s="1499"/>
      <c r="EL678" s="1499"/>
      <c r="EM678" s="1499">
        <f>SUMIF(EM643:EQ677,"&gt;0")</f>
        <v>2838</v>
      </c>
      <c r="EN678" s="1499"/>
      <c r="EO678" s="1499"/>
      <c r="EP678" s="1499"/>
      <c r="EQ678" s="1499"/>
      <c r="ER678" s="1499">
        <f>SUMIF(ER643:EV677,"&gt;0")</f>
        <v>0</v>
      </c>
      <c r="ES678" s="1499"/>
      <c r="ET678" s="1499"/>
      <c r="EU678" s="1499"/>
      <c r="EV678" s="1499"/>
      <c r="EW678" s="1499">
        <f>SUMIF(EW643:FA677,"&gt;0")</f>
        <v>0</v>
      </c>
      <c r="EX678" s="1499"/>
      <c r="EY678" s="1499"/>
      <c r="EZ678" s="1499"/>
      <c r="FA678" s="1499"/>
    </row>
    <row r="679" spans="1:157" ht="12.95" customHeight="1">
      <c r="A679" s="22"/>
      <c r="B679" t="s">
        <v>315</v>
      </c>
      <c r="G679" s="1395" t="s">
        <v>2694</v>
      </c>
      <c r="H679" s="1395"/>
      <c r="I679" s="1395"/>
      <c r="J679" s="1395"/>
      <c r="K679" s="1395"/>
      <c r="L679" s="1395"/>
      <c r="O679" s="33" t="s">
        <v>205</v>
      </c>
      <c r="P679" s="1426"/>
      <c r="Q679" s="1426"/>
      <c r="R679" s="1426"/>
      <c r="T679" s="22"/>
      <c r="U679" t="s">
        <v>315</v>
      </c>
      <c r="Z679" s="1395"/>
      <c r="AA679" s="1395"/>
      <c r="AB679" s="1395"/>
      <c r="AC679" s="1395"/>
      <c r="AD679" s="1395"/>
      <c r="AE679" s="1395"/>
      <c r="AH679" s="33" t="s">
        <v>205</v>
      </c>
      <c r="AI679" s="1426"/>
      <c r="AJ679" s="1426"/>
      <c r="AK679" s="1426"/>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5" customHeight="1">
      <c r="A680" s="22"/>
      <c r="B680" t="s">
        <v>18</v>
      </c>
      <c r="H680" s="1396" t="s">
        <v>2839</v>
      </c>
      <c r="I680" s="1397"/>
      <c r="J680" s="1397"/>
      <c r="K680" s="1397"/>
      <c r="L680" s="1397"/>
      <c r="M680" s="1397"/>
      <c r="N680" s="1397"/>
      <c r="O680" s="1397"/>
      <c r="P680" s="1397"/>
      <c r="Q680" s="1397"/>
      <c r="R680" s="1397"/>
      <c r="T680" s="22"/>
      <c r="U680" t="s">
        <v>18</v>
      </c>
      <c r="AA680" s="1397"/>
      <c r="AB680" s="1397"/>
      <c r="AC680" s="1397"/>
      <c r="AD680" s="1397"/>
      <c r="AE680" s="1397"/>
      <c r="AF680" s="1397"/>
      <c r="AG680" s="1397"/>
      <c r="AH680" s="1397"/>
      <c r="AI680" s="1397"/>
      <c r="AJ680" s="1397"/>
      <c r="AK680" s="1397"/>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5" customHeight="1">
      <c r="A681" s="22"/>
      <c r="B681" t="s">
        <v>20</v>
      </c>
      <c r="N681" s="1296" t="s">
        <v>543</v>
      </c>
      <c r="O681" s="1296"/>
      <c r="T681" s="22"/>
      <c r="U681" t="s">
        <v>20</v>
      </c>
      <c r="AG681" s="1296" t="s">
        <v>543</v>
      </c>
      <c r="AH681" s="1296"/>
      <c r="AZ681" s="3"/>
    </row>
    <row r="682" spans="1:157" ht="12.95" customHeight="1">
      <c r="A682" s="22"/>
      <c r="T682" s="22"/>
      <c r="AZ682" s="3"/>
    </row>
    <row r="683" spans="1:157" ht="12.95" customHeight="1">
      <c r="A683" s="55" t="s">
        <v>459</v>
      </c>
      <c r="B683" t="s">
        <v>461</v>
      </c>
      <c r="G683" s="1428">
        <f>C643</f>
        <v>0</v>
      </c>
      <c r="H683" s="1428"/>
      <c r="I683" s="1428"/>
      <c r="J683" s="1428"/>
      <c r="K683" s="1428"/>
      <c r="L683" s="1428"/>
      <c r="M683" s="1428"/>
      <c r="N683" s="1428"/>
      <c r="O683" s="1428"/>
      <c r="P683" s="1428"/>
      <c r="Q683" s="1428"/>
      <c r="R683" s="1428"/>
      <c r="T683" s="55" t="s">
        <v>644</v>
      </c>
      <c r="U683" t="s">
        <v>461</v>
      </c>
      <c r="Z683" s="1428">
        <f>C644</f>
        <v>0</v>
      </c>
      <c r="AA683" s="1428"/>
      <c r="AB683" s="1428"/>
      <c r="AC683" s="1428"/>
      <c r="AD683" s="1428"/>
      <c r="AE683" s="1428"/>
      <c r="AF683" s="1428"/>
      <c r="AG683" s="1428"/>
      <c r="AH683" s="1428"/>
      <c r="AI683" s="1428"/>
      <c r="AJ683" s="1428"/>
      <c r="AK683" s="1428"/>
      <c r="AZ683" s="3"/>
    </row>
    <row r="684" spans="1:157" ht="12.95" customHeight="1">
      <c r="A684" s="22"/>
      <c r="B684" t="s">
        <v>85</v>
      </c>
      <c r="G684" s="1397"/>
      <c r="H684" s="1397"/>
      <c r="I684" s="1397"/>
      <c r="J684" s="1397"/>
      <c r="K684" s="1397"/>
      <c r="L684" s="1397"/>
      <c r="M684" s="1397"/>
      <c r="N684" s="1397"/>
      <c r="O684" s="1397"/>
      <c r="P684" s="1397"/>
      <c r="Q684" s="1397"/>
      <c r="R684" s="1397"/>
      <c r="T684" s="22"/>
      <c r="U684" t="s">
        <v>85</v>
      </c>
      <c r="Z684" s="1397"/>
      <c r="AA684" s="1397"/>
      <c r="AB684" s="1397"/>
      <c r="AC684" s="1397"/>
      <c r="AD684" s="1397"/>
      <c r="AE684" s="1397"/>
      <c r="AF684" s="1397"/>
      <c r="AG684" s="1397"/>
      <c r="AH684" s="1397"/>
      <c r="AI684" s="1397"/>
      <c r="AJ684" s="1397"/>
      <c r="AK684" s="1397"/>
      <c r="AZ684" s="3"/>
    </row>
    <row r="685" spans="1:157" ht="12.95" customHeight="1">
      <c r="A685" s="22"/>
      <c r="B685" t="s">
        <v>578</v>
      </c>
      <c r="G685" s="1397"/>
      <c r="H685" s="1397"/>
      <c r="I685" s="1397"/>
      <c r="J685" s="1397"/>
      <c r="K685" s="1397"/>
      <c r="L685" s="1397"/>
      <c r="M685" s="1397"/>
      <c r="N685" s="1397"/>
      <c r="O685" s="1397"/>
      <c r="P685" s="1397"/>
      <c r="Q685" s="1397"/>
      <c r="R685" s="1397"/>
      <c r="T685" s="22"/>
      <c r="U685" t="s">
        <v>578</v>
      </c>
      <c r="Z685" s="1420"/>
      <c r="AA685" s="1420"/>
      <c r="AB685" s="1420"/>
      <c r="AC685" s="1420"/>
      <c r="AD685" s="1420"/>
      <c r="AE685" s="1420"/>
      <c r="AF685" s="1420"/>
      <c r="AG685" s="1420"/>
      <c r="AH685" s="1420"/>
      <c r="AI685" s="1420"/>
      <c r="AJ685" s="1420"/>
      <c r="AK685" s="1420"/>
      <c r="AZ685" s="3"/>
    </row>
    <row r="686" spans="1:157" ht="12.95" customHeight="1">
      <c r="A686" s="22"/>
      <c r="B686" t="s">
        <v>17</v>
      </c>
      <c r="G686" s="1397"/>
      <c r="H686" s="1397"/>
      <c r="I686" s="1397"/>
      <c r="J686" s="1397"/>
      <c r="K686" s="1397"/>
      <c r="L686" s="1397"/>
      <c r="M686" s="1397"/>
      <c r="N686" s="1397"/>
      <c r="O686" s="1397"/>
      <c r="P686" s="1397"/>
      <c r="Q686" s="1397"/>
      <c r="R686" s="1397"/>
      <c r="T686" s="22"/>
      <c r="U686" t="s">
        <v>17</v>
      </c>
      <c r="Z686" s="1420"/>
      <c r="AA686" s="1420"/>
      <c r="AB686" s="1420"/>
      <c r="AC686" s="1420"/>
      <c r="AD686" s="1420"/>
      <c r="AE686" s="1420"/>
      <c r="AF686" s="1420"/>
      <c r="AG686" s="1420"/>
      <c r="AH686" s="1420"/>
      <c r="AI686" s="1420"/>
      <c r="AJ686" s="1420"/>
      <c r="AK686" s="1420"/>
      <c r="AZ686" s="3"/>
    </row>
    <row r="687" spans="1:157" ht="12.95" customHeight="1">
      <c r="A687" s="22"/>
      <c r="B687" t="s">
        <v>315</v>
      </c>
      <c r="G687" s="1395"/>
      <c r="H687" s="1395"/>
      <c r="I687" s="1395"/>
      <c r="J687" s="1395"/>
      <c r="K687" s="1395"/>
      <c r="L687" s="1395"/>
      <c r="O687" s="33" t="s">
        <v>205</v>
      </c>
      <c r="P687" s="1426"/>
      <c r="Q687" s="1426"/>
      <c r="R687" s="1426"/>
      <c r="T687" s="22"/>
      <c r="U687" t="s">
        <v>315</v>
      </c>
      <c r="Z687" s="1395"/>
      <c r="AA687" s="1395"/>
      <c r="AB687" s="1395"/>
      <c r="AC687" s="1395"/>
      <c r="AD687" s="1395"/>
      <c r="AE687" s="1395"/>
      <c r="AH687" s="33" t="s">
        <v>205</v>
      </c>
      <c r="AI687" s="1426"/>
      <c r="AJ687" s="1426"/>
      <c r="AK687" s="1426"/>
      <c r="AZ687" s="3"/>
    </row>
    <row r="688" spans="1:157" ht="12.95" customHeight="1">
      <c r="A688" s="22"/>
      <c r="B688" t="s">
        <v>18</v>
      </c>
      <c r="H688" s="1397"/>
      <c r="I688" s="1397"/>
      <c r="J688" s="1397"/>
      <c r="K688" s="1397"/>
      <c r="L688" s="1397"/>
      <c r="M688" s="1397"/>
      <c r="N688" s="1397"/>
      <c r="O688" s="1397"/>
      <c r="P688" s="1397"/>
      <c r="Q688" s="1397"/>
      <c r="R688" s="1397"/>
      <c r="T688" s="22"/>
      <c r="U688" t="s">
        <v>18</v>
      </c>
      <c r="AA688" s="1397"/>
      <c r="AB688" s="1397"/>
      <c r="AC688" s="1397"/>
      <c r="AD688" s="1397"/>
      <c r="AE688" s="1397"/>
      <c r="AF688" s="1397"/>
      <c r="AG688" s="1397"/>
      <c r="AH688" s="1397"/>
      <c r="AI688" s="1397"/>
      <c r="AJ688" s="1397"/>
      <c r="AK688" s="1397"/>
      <c r="AZ688" s="3"/>
    </row>
    <row r="689" spans="1:52" ht="12.95" customHeight="1">
      <c r="A689" s="22"/>
      <c r="B689" t="s">
        <v>20</v>
      </c>
      <c r="N689" s="1296" t="s">
        <v>543</v>
      </c>
      <c r="O689" s="1296"/>
      <c r="T689" s="22"/>
      <c r="U689" t="s">
        <v>20</v>
      </c>
      <c r="AG689" s="1296" t="s">
        <v>667</v>
      </c>
      <c r="AH689" s="1296"/>
      <c r="AZ689" s="3"/>
    </row>
    <row r="690" spans="1:52" ht="12.95" customHeight="1">
      <c r="A690" s="22"/>
      <c r="T690" s="22"/>
      <c r="AZ690" s="3"/>
    </row>
    <row r="691" spans="1:52" ht="12.95" customHeight="1">
      <c r="A691" s="55" t="s">
        <v>361</v>
      </c>
      <c r="B691" t="s">
        <v>461</v>
      </c>
      <c r="G691" s="1428">
        <f>C645</f>
        <v>0</v>
      </c>
      <c r="H691" s="1428"/>
      <c r="I691" s="1428"/>
      <c r="J691" s="1428"/>
      <c r="K691" s="1428"/>
      <c r="L691" s="1428"/>
      <c r="M691" s="1428"/>
      <c r="N691" s="1428"/>
      <c r="O691" s="1428"/>
      <c r="P691" s="1428"/>
      <c r="Q691" s="1428"/>
      <c r="R691" s="1428"/>
      <c r="T691" s="55" t="s">
        <v>362</v>
      </c>
      <c r="U691" t="s">
        <v>461</v>
      </c>
      <c r="Z691" s="1428">
        <f>C646</f>
        <v>0</v>
      </c>
      <c r="AA691" s="1428"/>
      <c r="AB691" s="1428"/>
      <c r="AC691" s="1428"/>
      <c r="AD691" s="1428"/>
      <c r="AE691" s="1428"/>
      <c r="AF691" s="1428"/>
      <c r="AG691" s="1428"/>
      <c r="AH691" s="1428"/>
      <c r="AI691" s="1428"/>
      <c r="AJ691" s="1428"/>
      <c r="AK691" s="1428"/>
      <c r="AZ691" s="3"/>
    </row>
    <row r="692" spans="1:52" ht="12.95" customHeight="1">
      <c r="B692" t="s">
        <v>85</v>
      </c>
      <c r="G692" s="1397"/>
      <c r="H692" s="1397"/>
      <c r="I692" s="1397"/>
      <c r="J692" s="1397"/>
      <c r="K692" s="1397"/>
      <c r="L692" s="1397"/>
      <c r="M692" s="1397"/>
      <c r="N692" s="1397"/>
      <c r="O692" s="1397"/>
      <c r="P692" s="1397"/>
      <c r="Q692" s="1397"/>
      <c r="R692" s="1397"/>
      <c r="T692" s="22"/>
      <c r="U692" t="s">
        <v>85</v>
      </c>
      <c r="Z692" s="1397"/>
      <c r="AA692" s="1397"/>
      <c r="AB692" s="1397"/>
      <c r="AC692" s="1397"/>
      <c r="AD692" s="1397"/>
      <c r="AE692" s="1397"/>
      <c r="AF692" s="1397"/>
      <c r="AG692" s="1397"/>
      <c r="AH692" s="1397"/>
      <c r="AI692" s="1397"/>
      <c r="AJ692" s="1397"/>
      <c r="AK692" s="1397"/>
      <c r="AZ692" s="3"/>
    </row>
    <row r="693" spans="1:52" ht="12.95" customHeight="1">
      <c r="B693" t="s">
        <v>578</v>
      </c>
      <c r="G693" s="1397"/>
      <c r="H693" s="1397"/>
      <c r="I693" s="1397"/>
      <c r="J693" s="1397"/>
      <c r="K693" s="1397"/>
      <c r="L693" s="1397"/>
      <c r="M693" s="1397"/>
      <c r="N693" s="1397"/>
      <c r="O693" s="1397"/>
      <c r="P693" s="1397"/>
      <c r="Q693" s="1397"/>
      <c r="R693" s="1397"/>
      <c r="U693" t="s">
        <v>578</v>
      </c>
      <c r="Z693" s="1420"/>
      <c r="AA693" s="1420"/>
      <c r="AB693" s="1420"/>
      <c r="AC693" s="1420"/>
      <c r="AD693" s="1420"/>
      <c r="AE693" s="1420"/>
      <c r="AF693" s="1420"/>
      <c r="AG693" s="1420"/>
      <c r="AH693" s="1420"/>
      <c r="AI693" s="1420"/>
      <c r="AJ693" s="1420"/>
      <c r="AK693" s="1420"/>
      <c r="AZ693" s="3"/>
    </row>
    <row r="694" spans="1:52" ht="12.95" customHeight="1">
      <c r="B694" t="s">
        <v>17</v>
      </c>
      <c r="G694" s="1397"/>
      <c r="H694" s="1397"/>
      <c r="I694" s="1397"/>
      <c r="J694" s="1397"/>
      <c r="K694" s="1397"/>
      <c r="L694" s="1397"/>
      <c r="M694" s="1397"/>
      <c r="N694" s="1397"/>
      <c r="O694" s="1397"/>
      <c r="P694" s="1397"/>
      <c r="Q694" s="1397"/>
      <c r="R694" s="1397"/>
      <c r="U694" t="s">
        <v>17</v>
      </c>
      <c r="Z694" s="1420"/>
      <c r="AA694" s="1420"/>
      <c r="AB694" s="1420"/>
      <c r="AC694" s="1420"/>
      <c r="AD694" s="1420"/>
      <c r="AE694" s="1420"/>
      <c r="AF694" s="1420"/>
      <c r="AG694" s="1420"/>
      <c r="AH694" s="1420"/>
      <c r="AI694" s="1420"/>
      <c r="AJ694" s="1420"/>
      <c r="AK694" s="1420"/>
      <c r="AZ694" s="3"/>
    </row>
    <row r="695" spans="1:52" ht="12.95" customHeight="1">
      <c r="B695" t="s">
        <v>315</v>
      </c>
      <c r="G695" s="1395"/>
      <c r="H695" s="1395"/>
      <c r="I695" s="1395"/>
      <c r="J695" s="1395"/>
      <c r="K695" s="1395"/>
      <c r="L695" s="1395"/>
      <c r="O695" s="33" t="s">
        <v>205</v>
      </c>
      <c r="P695" s="1426"/>
      <c r="Q695" s="1426"/>
      <c r="R695" s="1426"/>
      <c r="U695" t="s">
        <v>315</v>
      </c>
      <c r="Z695" s="1395"/>
      <c r="AA695" s="1395"/>
      <c r="AB695" s="1395"/>
      <c r="AC695" s="1395"/>
      <c r="AD695" s="1395"/>
      <c r="AE695" s="1395"/>
      <c r="AH695" s="33" t="s">
        <v>205</v>
      </c>
      <c r="AI695" s="1426"/>
      <c r="AJ695" s="1426"/>
      <c r="AK695" s="1426"/>
      <c r="AZ695" s="3"/>
    </row>
    <row r="696" spans="1:52" ht="12.95" customHeight="1">
      <c r="B696" t="s">
        <v>18</v>
      </c>
      <c r="H696" s="1397"/>
      <c r="I696" s="1397"/>
      <c r="J696" s="1397"/>
      <c r="K696" s="1397"/>
      <c r="L696" s="1397"/>
      <c r="M696" s="1397"/>
      <c r="N696" s="1397"/>
      <c r="O696" s="1397"/>
      <c r="P696" s="1397"/>
      <c r="Q696" s="1397"/>
      <c r="R696" s="1397"/>
      <c r="U696" t="s">
        <v>18</v>
      </c>
      <c r="AA696" s="1397"/>
      <c r="AB696" s="1397"/>
      <c r="AC696" s="1397"/>
      <c r="AD696" s="1397"/>
      <c r="AE696" s="1397"/>
      <c r="AF696" s="1397"/>
      <c r="AG696" s="1397"/>
      <c r="AH696" s="1397"/>
      <c r="AI696" s="1397"/>
      <c r="AJ696" s="1397"/>
      <c r="AK696" s="1397"/>
      <c r="AZ696" s="3"/>
    </row>
    <row r="697" spans="1:52" ht="12.95" customHeight="1">
      <c r="B697" t="s">
        <v>20</v>
      </c>
      <c r="N697" s="1296" t="s">
        <v>667</v>
      </c>
      <c r="O697" s="1296"/>
      <c r="U697" t="s">
        <v>20</v>
      </c>
      <c r="AG697" s="1296" t="s">
        <v>667</v>
      </c>
      <c r="AH697" s="1296"/>
      <c r="AZ697" s="3"/>
    </row>
    <row r="698" spans="1:52" ht="12.95" customHeight="1">
      <c r="AZ698" s="3"/>
    </row>
    <row r="699" spans="1:52" ht="12.95" customHeight="1">
      <c r="A699" s="2" t="s">
        <v>574</v>
      </c>
      <c r="C699" s="2" t="s">
        <v>326</v>
      </c>
      <c r="E699" s="130"/>
      <c r="F699" s="130"/>
      <c r="G699" s="130"/>
      <c r="H699" s="130"/>
      <c r="AZ699" s="3"/>
    </row>
    <row r="700" spans="1:52" ht="12.95" customHeight="1">
      <c r="B700" s="135"/>
      <c r="C700" s="135"/>
      <c r="D700" s="1025" t="s">
        <v>2599</v>
      </c>
      <c r="E700" s="135"/>
      <c r="F700" s="135"/>
      <c r="G700" s="135"/>
      <c r="H700" s="135"/>
      <c r="AZ700" s="3"/>
    </row>
    <row r="701" spans="1:52" ht="12.95" customHeight="1">
      <c r="B701" s="135"/>
      <c r="C701" s="135"/>
      <c r="E701" s="136" t="s">
        <v>433</v>
      </c>
      <c r="F701" s="135"/>
      <c r="G701" s="135"/>
      <c r="H701" s="135"/>
      <c r="AE701" s="1296" t="s">
        <v>543</v>
      </c>
      <c r="AF701" s="1296"/>
      <c r="AZ701" s="3"/>
    </row>
    <row r="702" spans="1:52" ht="12.95" customHeight="1">
      <c r="B702" s="135"/>
      <c r="C702" s="135"/>
      <c r="D702" s="136" t="s">
        <v>436</v>
      </c>
      <c r="E702" s="135"/>
      <c r="F702" s="135"/>
      <c r="G702" s="135"/>
      <c r="H702" s="135"/>
      <c r="AE702" s="1296" t="s">
        <v>667</v>
      </c>
      <c r="AF702" s="1296"/>
      <c r="AZ702" s="3"/>
    </row>
    <row r="703" spans="1:52" ht="12.95" customHeight="1">
      <c r="B703" s="135"/>
      <c r="C703" s="135"/>
      <c r="D703" s="136" t="s">
        <v>918</v>
      </c>
      <c r="E703" s="135"/>
      <c r="F703" s="135"/>
      <c r="G703" s="135"/>
      <c r="H703" s="135"/>
      <c r="AE703" s="1674"/>
      <c r="AF703" s="1674"/>
      <c r="AG703" s="1674"/>
      <c r="AH703" s="1674"/>
      <c r="AI703" s="1674"/>
    </row>
    <row r="704" spans="1:52" ht="12.95" customHeight="1">
      <c r="B704" s="135"/>
      <c r="C704" s="135"/>
      <c r="D704" s="314" t="s">
        <v>981</v>
      </c>
      <c r="E704" s="135"/>
      <c r="F704" s="135"/>
      <c r="G704" s="135"/>
      <c r="H704" s="135"/>
      <c r="AE704" s="1818"/>
      <c r="AF704" s="1818"/>
      <c r="AG704" s="1818"/>
      <c r="AH704" s="1818"/>
      <c r="AI704" s="1818"/>
    </row>
    <row r="705" spans="1:110" ht="12.95" customHeight="1">
      <c r="B705" s="135"/>
      <c r="C705" s="135"/>
    </row>
    <row r="706" spans="1:110" ht="12.95" customHeight="1">
      <c r="B706" s="135"/>
      <c r="C706" s="135"/>
      <c r="D706" s="136" t="s">
        <v>814</v>
      </c>
      <c r="E706" s="135"/>
      <c r="F706" s="135"/>
      <c r="G706" s="135"/>
      <c r="H706" s="135"/>
      <c r="AE706" s="1674">
        <v>46539</v>
      </c>
      <c r="AF706" s="1674"/>
      <c r="AG706" s="1674"/>
      <c r="AH706" s="1674"/>
      <c r="AI706" s="1674"/>
    </row>
    <row r="707" spans="1:110" ht="12.95" customHeight="1">
      <c r="B707" s="135"/>
      <c r="C707" s="135"/>
      <c r="D707" s="136" t="s">
        <v>434</v>
      </c>
      <c r="E707" s="135"/>
      <c r="F707" s="135"/>
      <c r="G707" s="135"/>
      <c r="H707" s="135"/>
      <c r="AE707" s="1405">
        <v>0.27450000000000002</v>
      </c>
      <c r="AF707" s="1405"/>
      <c r="AG707" s="1405"/>
      <c r="AH707" s="1405"/>
      <c r="AI707" s="1405"/>
    </row>
    <row r="708" spans="1:110" ht="12.95" customHeight="1">
      <c r="B708" s="135"/>
      <c r="C708" s="135"/>
      <c r="D708" s="136" t="s">
        <v>435</v>
      </c>
      <c r="E708" s="135"/>
      <c r="F708" s="135"/>
      <c r="G708" s="135"/>
      <c r="H708" s="135"/>
      <c r="W708" s="1428" t="str">
        <f>H344</f>
        <v>California Municipal Finance Authority</v>
      </c>
      <c r="X708" s="1428"/>
      <c r="Y708" s="1428"/>
      <c r="Z708" s="1428"/>
      <c r="AA708" s="1428"/>
      <c r="AB708" s="1428"/>
      <c r="AC708" s="1428"/>
      <c r="AD708" s="1428"/>
      <c r="AE708" s="1428"/>
      <c r="AF708" s="1428"/>
      <c r="AG708" s="1428"/>
      <c r="AH708" s="1428"/>
      <c r="AI708" s="1428"/>
      <c r="AJ708" s="1428"/>
      <c r="AK708" s="1428"/>
    </row>
    <row r="709" spans="1:110" ht="12.95" customHeight="1">
      <c r="B709" s="135"/>
      <c r="C709" s="135"/>
      <c r="D709" s="136"/>
      <c r="E709" s="135"/>
      <c r="F709" s="135"/>
      <c r="G709" s="135"/>
      <c r="H709" s="135"/>
    </row>
    <row r="710" spans="1:110" ht="12.95" customHeight="1">
      <c r="B710" s="135"/>
      <c r="C710" s="135"/>
      <c r="D710" s="136" t="s">
        <v>437</v>
      </c>
      <c r="E710" s="135"/>
      <c r="F710" s="135"/>
      <c r="G710" s="135"/>
      <c r="H710" s="135"/>
      <c r="AE710" s="1296" t="s">
        <v>667</v>
      </c>
      <c r="AF710" s="1296"/>
    </row>
    <row r="711" spans="1:110" ht="12.95" customHeight="1">
      <c r="B711" s="135"/>
      <c r="C711" s="135"/>
      <c r="D711" s="136" t="s">
        <v>440</v>
      </c>
      <c r="E711" s="135"/>
      <c r="F711" s="135"/>
      <c r="G711" s="135"/>
      <c r="H711" s="135"/>
      <c r="W711" s="1397" t="s">
        <v>589</v>
      </c>
      <c r="X711" s="1397"/>
      <c r="Y711" s="1397"/>
      <c r="Z711" s="1397"/>
      <c r="AA711" s="1397"/>
      <c r="AB711" s="1397"/>
      <c r="AC711" s="1397"/>
      <c r="AD711" s="1397"/>
      <c r="AE711" s="1397"/>
      <c r="AF711" s="1397"/>
      <c r="AG711" s="1397"/>
      <c r="AH711" s="1397"/>
      <c r="AI711" s="1397"/>
      <c r="AJ711" s="1397"/>
      <c r="AK711" s="1397"/>
    </row>
    <row r="712" spans="1:110" ht="12.95" customHeight="1">
      <c r="B712" s="135"/>
      <c r="C712" s="135"/>
      <c r="D712" s="136" t="s">
        <v>87</v>
      </c>
      <c r="E712" s="135"/>
      <c r="F712" s="135"/>
      <c r="G712" s="135"/>
      <c r="H712" s="135"/>
      <c r="J712" s="1397"/>
      <c r="K712" s="1397"/>
      <c r="L712" s="1397"/>
      <c r="M712" s="1397"/>
      <c r="N712" s="1397"/>
      <c r="O712" s="1397"/>
      <c r="P712" s="1397"/>
      <c r="Q712" s="1397"/>
      <c r="R712" s="1397"/>
      <c r="S712" s="1397"/>
      <c r="T712" s="1397"/>
      <c r="U712" s="1397"/>
      <c r="V712" s="1397"/>
      <c r="W712" s="1397"/>
      <c r="X712" s="1397"/>
      <c r="BB712" s="34"/>
      <c r="BC712" s="34"/>
      <c r="BD712" s="34"/>
      <c r="BE712" s="3"/>
      <c r="BF712" s="3"/>
      <c r="BJ712" s="3"/>
      <c r="BK712" s="3"/>
      <c r="BL712" s="3"/>
      <c r="BM712" s="3"/>
      <c r="BN712" s="34"/>
      <c r="BO712" s="34"/>
    </row>
    <row r="713" spans="1:110" ht="12.95" customHeight="1">
      <c r="B713" s="135"/>
      <c r="C713" s="135"/>
      <c r="D713" s="136" t="s">
        <v>88</v>
      </c>
      <c r="J713" s="1395"/>
      <c r="K713" s="1395"/>
      <c r="L713" s="1395"/>
      <c r="M713" s="1395"/>
      <c r="N713" s="1395"/>
      <c r="O713" s="1395"/>
      <c r="P713" s="4" t="s">
        <v>205</v>
      </c>
      <c r="Q713" s="4"/>
      <c r="R713" s="1426"/>
      <c r="S713" s="1426"/>
      <c r="T713" s="1426"/>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5" customHeight="1">
      <c r="B714" s="135"/>
      <c r="C714" s="135"/>
      <c r="D714" s="136" t="s">
        <v>441</v>
      </c>
      <c r="W714" s="1397" t="s">
        <v>306</v>
      </c>
      <c r="X714" s="1397"/>
      <c r="Y714" s="1397"/>
      <c r="Z714" s="1397"/>
      <c r="AA714" s="1397"/>
      <c r="AB714" s="1397"/>
      <c r="AC714" s="1397"/>
      <c r="AD714" s="1397"/>
      <c r="AE714" s="1397"/>
      <c r="AF714" s="1397"/>
      <c r="AG714" s="1397"/>
      <c r="AH714" s="1397"/>
      <c r="AI714" s="1397"/>
      <c r="AJ714" s="1397"/>
      <c r="AK714" s="1397"/>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5" customHeight="1">
      <c r="B715" s="135"/>
      <c r="C715" s="135"/>
      <c r="D715" s="136"/>
      <c r="E715" s="1397" t="s">
        <v>333</v>
      </c>
      <c r="F715" s="1397"/>
      <c r="G715" s="1397"/>
      <c r="H715" s="1397"/>
      <c r="I715" s="1397"/>
      <c r="J715" s="1397"/>
      <c r="K715" s="1397"/>
      <c r="L715" s="1397"/>
      <c r="M715" s="1397"/>
      <c r="N715" s="1397"/>
      <c r="O715" s="1397"/>
      <c r="P715" s="1397"/>
      <c r="Q715" s="1397"/>
      <c r="R715" s="1397"/>
      <c r="S715" s="1397"/>
      <c r="T715" s="1397"/>
      <c r="U715" s="1397"/>
      <c r="V715" s="1397"/>
      <c r="W715" s="1397"/>
      <c r="X715" s="1397"/>
      <c r="Y715" s="1397"/>
      <c r="Z715" s="1397"/>
      <c r="AA715" s="1397"/>
      <c r="AB715" s="1397"/>
      <c r="AC715" s="1397"/>
      <c r="AD715" s="1397"/>
      <c r="AE715" s="1397"/>
      <c r="AF715" s="1397"/>
      <c r="AG715" s="1397"/>
      <c r="AH715" s="1397"/>
      <c r="AI715" s="1397"/>
      <c r="AJ715" s="1397"/>
      <c r="AK715" s="1397"/>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5" customHeight="1">
      <c r="A717" s="1427" t="s">
        <v>95</v>
      </c>
      <c r="B717" s="1427"/>
      <c r="C717" s="1427"/>
      <c r="D717" s="1427"/>
      <c r="E717" s="1427"/>
      <c r="F717" s="1427"/>
      <c r="G717" s="1427"/>
      <c r="H717" s="1427"/>
      <c r="I717" s="1427"/>
      <c r="J717" s="1427"/>
      <c r="K717" s="1427"/>
      <c r="L717" s="1427"/>
      <c r="M717" s="1427"/>
      <c r="N717" s="1427"/>
      <c r="O717" s="1427"/>
      <c r="P717" s="1427"/>
      <c r="Q717" s="1427"/>
      <c r="R717" s="1427"/>
      <c r="S717" s="1427"/>
      <c r="T717" s="1427"/>
      <c r="U717" s="1427"/>
      <c r="V717" s="1427"/>
      <c r="W717" s="1427"/>
      <c r="X717" s="1427"/>
      <c r="Y717" s="1427"/>
      <c r="Z717" s="1427"/>
      <c r="AA717" s="1427"/>
      <c r="AB717" s="1427"/>
      <c r="AC717" s="1427"/>
      <c r="AD717" s="1427"/>
      <c r="AE717" s="1427"/>
      <c r="AF717" s="1427"/>
      <c r="AG717" s="1427"/>
      <c r="AH717" s="1427"/>
      <c r="AI717" s="1427"/>
      <c r="AJ717" s="1427"/>
      <c r="AK717" s="1427"/>
      <c r="AL717" s="1427"/>
      <c r="AM717" s="1427"/>
      <c r="AN717" s="1427"/>
      <c r="AO717" s="1427"/>
      <c r="AP717" s="1427"/>
      <c r="AQ717" s="1427"/>
      <c r="AR717" s="1427"/>
      <c r="AS717" s="1427"/>
      <c r="AT717" s="1427"/>
      <c r="AZ717" s="4" t="s">
        <v>323</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5" customHeight="1">
      <c r="A718" s="1427"/>
      <c r="B718" s="1427"/>
      <c r="C718" s="1427"/>
      <c r="D718" s="1427"/>
      <c r="E718" s="1427"/>
      <c r="F718" s="1427"/>
      <c r="G718" s="1427"/>
      <c r="H718" s="1427"/>
      <c r="I718" s="1427"/>
      <c r="J718" s="1427"/>
      <c r="K718" s="1427"/>
      <c r="L718" s="1427"/>
      <c r="M718" s="1427"/>
      <c r="N718" s="1427"/>
      <c r="O718" s="1427"/>
      <c r="P718" s="1427"/>
      <c r="Q718" s="1427"/>
      <c r="R718" s="1427"/>
      <c r="S718" s="1427"/>
      <c r="T718" s="1427"/>
      <c r="U718" s="1427"/>
      <c r="V718" s="1427"/>
      <c r="W718" s="1427"/>
      <c r="X718" s="1427"/>
      <c r="Y718" s="1427"/>
      <c r="Z718" s="1427"/>
      <c r="AA718" s="1427"/>
      <c r="AB718" s="1427"/>
      <c r="AC718" s="1427"/>
      <c r="AD718" s="1427"/>
      <c r="AE718" s="1427"/>
      <c r="AF718" s="1427"/>
      <c r="AG718" s="1427"/>
      <c r="AH718" s="1427"/>
      <c r="AI718" s="1427"/>
      <c r="AJ718" s="1427"/>
      <c r="AK718" s="1427"/>
      <c r="AL718" s="1427"/>
      <c r="AM718" s="1427"/>
      <c r="AN718" s="1427"/>
      <c r="AO718" s="1427"/>
      <c r="AP718" s="1427"/>
      <c r="AQ718" s="1427"/>
      <c r="AR718" s="1427"/>
      <c r="AS718" s="1427"/>
      <c r="AT718" s="1427"/>
      <c r="AZ718" s="4" t="s">
        <v>324</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5" customHeight="1">
      <c r="A719" s="1427"/>
      <c r="B719" s="1427"/>
      <c r="C719" s="1427"/>
      <c r="D719" s="1427"/>
      <c r="E719" s="1427"/>
      <c r="F719" s="1427"/>
      <c r="G719" s="1427"/>
      <c r="H719" s="1427"/>
      <c r="I719" s="1427"/>
      <c r="J719" s="1427"/>
      <c r="K719" s="1427"/>
      <c r="L719" s="1427"/>
      <c r="M719" s="1427"/>
      <c r="N719" s="1427"/>
      <c r="O719" s="1427"/>
      <c r="P719" s="1427"/>
      <c r="Q719" s="1427"/>
      <c r="R719" s="1427"/>
      <c r="S719" s="1427"/>
      <c r="T719" s="1427"/>
      <c r="U719" s="1427"/>
      <c r="V719" s="1427"/>
      <c r="W719" s="1427"/>
      <c r="X719" s="1427"/>
      <c r="Y719" s="1427"/>
      <c r="Z719" s="1427"/>
      <c r="AA719" s="1427"/>
      <c r="AB719" s="1427"/>
      <c r="AC719" s="1427"/>
      <c r="AD719" s="1427"/>
      <c r="AE719" s="1427"/>
      <c r="AF719" s="1427"/>
      <c r="AG719" s="1427"/>
      <c r="AH719" s="1427"/>
      <c r="AI719" s="1427"/>
      <c r="AJ719" s="1427"/>
      <c r="AK719" s="1427"/>
      <c r="AL719" s="1427"/>
      <c r="AM719" s="1427"/>
      <c r="AN719" s="1427"/>
      <c r="AO719" s="1427"/>
      <c r="AP719" s="1427"/>
      <c r="AQ719" s="1427"/>
      <c r="AR719" s="1427"/>
      <c r="AS719" s="1427"/>
      <c r="AT719" s="1427"/>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5" customHeight="1">
      <c r="A720" s="2" t="s">
        <v>318</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5"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5" customHeight="1">
      <c r="B722" s="1504" t="s">
        <v>388</v>
      </c>
      <c r="C722" s="1505"/>
      <c r="D722" s="1505"/>
      <c r="E722" s="1505"/>
      <c r="F722" s="1506"/>
      <c r="G722" s="1504" t="s">
        <v>284</v>
      </c>
      <c r="H722" s="1505"/>
      <c r="I722" s="1505"/>
      <c r="J722" s="1506"/>
      <c r="K722" s="1698" t="s">
        <v>1665</v>
      </c>
      <c r="L722" s="1699"/>
      <c r="M722" s="1699"/>
      <c r="N722" s="1700"/>
      <c r="O722" s="1504" t="s">
        <v>445</v>
      </c>
      <c r="P722" s="1505"/>
      <c r="Q722" s="1505"/>
      <c r="R722" s="1505"/>
      <c r="S722" s="1506"/>
      <c r="T722" s="1652" t="s">
        <v>1915</v>
      </c>
      <c r="U722" s="1505"/>
      <c r="V722" s="1505"/>
      <c r="W722" s="1506"/>
      <c r="X722" s="1652" t="s">
        <v>1917</v>
      </c>
      <c r="Y722" s="1505"/>
      <c r="Z722" s="1505"/>
      <c r="AA722" s="1505"/>
      <c r="AB722" s="1506"/>
      <c r="AC722" s="1652" t="s">
        <v>1916</v>
      </c>
      <c r="AD722" s="1505"/>
      <c r="AE722" s="1505"/>
      <c r="AF722" s="1505"/>
      <c r="AG722" s="1506"/>
      <c r="AH722" s="1652" t="s">
        <v>1918</v>
      </c>
      <c r="AI722" s="1505"/>
      <c r="AJ722" s="1506"/>
      <c r="AK722" s="1652" t="s">
        <v>1945</v>
      </c>
      <c r="AL722" s="1505"/>
      <c r="AM722" s="1505"/>
      <c r="AN722" s="1505"/>
      <c r="AO722" s="1506"/>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5" customHeight="1">
      <c r="B723" s="1507"/>
      <c r="C723" s="1508"/>
      <c r="D723" s="1508"/>
      <c r="E723" s="1508"/>
      <c r="F723" s="1509"/>
      <c r="G723" s="1507"/>
      <c r="H723" s="1508"/>
      <c r="I723" s="1508"/>
      <c r="J723" s="1509"/>
      <c r="K723" s="1701"/>
      <c r="L723" s="1702"/>
      <c r="M723" s="1702"/>
      <c r="N723" s="1703"/>
      <c r="O723" s="1507"/>
      <c r="P723" s="1508"/>
      <c r="Q723" s="1508"/>
      <c r="R723" s="1508"/>
      <c r="S723" s="1509"/>
      <c r="T723" s="1507"/>
      <c r="U723" s="1508"/>
      <c r="V723" s="1508"/>
      <c r="W723" s="1509"/>
      <c r="X723" s="1507"/>
      <c r="Y723" s="1508"/>
      <c r="Z723" s="1508"/>
      <c r="AA723" s="1508"/>
      <c r="AB723" s="1509"/>
      <c r="AC723" s="1507"/>
      <c r="AD723" s="1508"/>
      <c r="AE723" s="1508"/>
      <c r="AF723" s="1508"/>
      <c r="AG723" s="1509"/>
      <c r="AH723" s="1507"/>
      <c r="AI723" s="1508"/>
      <c r="AJ723" s="1509"/>
      <c r="AK723" s="1507"/>
      <c r="AL723" s="1508"/>
      <c r="AM723" s="1508"/>
      <c r="AN723" s="1508"/>
      <c r="AO723" s="1509"/>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5" customHeight="1">
      <c r="A724" s="4"/>
      <c r="B724" s="1507"/>
      <c r="C724" s="1508"/>
      <c r="D724" s="1508"/>
      <c r="E724" s="1508"/>
      <c r="F724" s="1509"/>
      <c r="G724" s="1507"/>
      <c r="H724" s="1508"/>
      <c r="I724" s="1508"/>
      <c r="J724" s="1509"/>
      <c r="K724" s="1701"/>
      <c r="L724" s="1702"/>
      <c r="M724" s="1702"/>
      <c r="N724" s="1703"/>
      <c r="O724" s="1507"/>
      <c r="P724" s="1508"/>
      <c r="Q724" s="1508"/>
      <c r="R724" s="1508"/>
      <c r="S724" s="1509"/>
      <c r="T724" s="1507"/>
      <c r="U724" s="1508"/>
      <c r="V724" s="1508"/>
      <c r="W724" s="1509"/>
      <c r="X724" s="1507"/>
      <c r="Y724" s="1508"/>
      <c r="Z724" s="1508"/>
      <c r="AA724" s="1508"/>
      <c r="AB724" s="1509"/>
      <c r="AC724" s="1507"/>
      <c r="AD724" s="1508"/>
      <c r="AE724" s="1508"/>
      <c r="AF724" s="1508"/>
      <c r="AG724" s="1509"/>
      <c r="AH724" s="1507"/>
      <c r="AI724" s="1508"/>
      <c r="AJ724" s="1509"/>
      <c r="AK724" s="1507"/>
      <c r="AL724" s="1508"/>
      <c r="AM724" s="1508"/>
      <c r="AN724" s="1508"/>
      <c r="AO724" s="1509"/>
      <c r="AP724" s="3"/>
      <c r="AQ724" s="3"/>
      <c r="AR724" s="3"/>
      <c r="AS724" s="3"/>
      <c r="BA724" s="3"/>
      <c r="BB724" s="3"/>
      <c r="BC724" s="3"/>
      <c r="BD724" s="3"/>
      <c r="BE724" s="204"/>
      <c r="BF724" s="205" t="s">
        <v>893</v>
      </c>
      <c r="BG724" s="204"/>
      <c r="BH724" s="204"/>
      <c r="BI724" s="3"/>
      <c r="BJ724" s="3"/>
      <c r="BK724" s="3"/>
      <c r="BL724" s="3"/>
      <c r="BM724" s="3"/>
      <c r="BN724" s="3"/>
      <c r="BS724" s="205" t="s">
        <v>1614</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359</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1812</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5" customHeight="1">
      <c r="A725" s="4"/>
      <c r="B725" s="1510"/>
      <c r="C725" s="1511"/>
      <c r="D725" s="1511"/>
      <c r="E725" s="1511"/>
      <c r="F725" s="1512"/>
      <c r="G725" s="1510"/>
      <c r="H725" s="1511"/>
      <c r="I725" s="1511"/>
      <c r="J725" s="1512"/>
      <c r="K725" s="1701"/>
      <c r="L725" s="1702"/>
      <c r="M725" s="1702"/>
      <c r="N725" s="1703"/>
      <c r="O725" s="1510"/>
      <c r="P725" s="1511"/>
      <c r="Q725" s="1511"/>
      <c r="R725" s="1511"/>
      <c r="S725" s="1512"/>
      <c r="T725" s="1510"/>
      <c r="U725" s="1511"/>
      <c r="V725" s="1511"/>
      <c r="W725" s="1512"/>
      <c r="X725" s="1510"/>
      <c r="Y725" s="1511"/>
      <c r="Z725" s="1511"/>
      <c r="AA725" s="1511"/>
      <c r="AB725" s="1512"/>
      <c r="AC725" s="1510"/>
      <c r="AD725" s="1511"/>
      <c r="AE725" s="1511"/>
      <c r="AF725" s="1511"/>
      <c r="AG725" s="1512"/>
      <c r="AH725" s="1510"/>
      <c r="AI725" s="1511"/>
      <c r="AJ725" s="1512"/>
      <c r="AK725" s="1510"/>
      <c r="AL725" s="1511"/>
      <c r="AM725" s="1511"/>
      <c r="AN725" s="1511"/>
      <c r="AO725" s="1512"/>
      <c r="AP725" s="3"/>
      <c r="AQ725" s="3"/>
      <c r="AR725" s="3"/>
      <c r="AS725" s="3"/>
      <c r="AZ725" s="166" t="s">
        <v>647</v>
      </c>
      <c r="BA725" s="3"/>
      <c r="BB725" s="3"/>
      <c r="BC725" s="3"/>
      <c r="BD725" s="3"/>
      <c r="BE725" s="204"/>
      <c r="BF725" s="291" t="s">
        <v>894</v>
      </c>
      <c r="BG725" s="296" t="s">
        <v>895</v>
      </c>
      <c r="BH725" s="295" t="s">
        <v>896</v>
      </c>
      <c r="BI725" s="3"/>
      <c r="BJ725" s="3"/>
      <c r="BK725" s="3"/>
      <c r="BL725" s="3"/>
      <c r="BM725" s="3"/>
      <c r="BN725" s="3"/>
      <c r="BS725" s="291" t="s">
        <v>894</v>
      </c>
      <c r="BT725" s="296" t="s">
        <v>895</v>
      </c>
      <c r="BU725" s="295" t="s">
        <v>896</v>
      </c>
      <c r="CC725" s="3"/>
      <c r="CD725" s="3"/>
      <c r="CE725" s="3"/>
      <c r="CF725" s="3"/>
      <c r="CG725" s="121" t="s">
        <v>472</v>
      </c>
      <c r="CH725" s="122"/>
      <c r="CI725" s="1497"/>
      <c r="CJ725" s="1498"/>
      <c r="CK725" s="121" t="s">
        <v>473</v>
      </c>
      <c r="CL725" s="122"/>
      <c r="CM725" s="1497"/>
      <c r="CN725" s="1498"/>
      <c r="CO725" s="3"/>
      <c r="CP725" s="1592" t="s">
        <v>631</v>
      </c>
      <c r="CQ725" s="1593"/>
      <c r="CR725" s="1593"/>
      <c r="CS725" s="1593"/>
      <c r="CT725" s="1594"/>
      <c r="CU725" s="1514" t="s">
        <v>324</v>
      </c>
      <c r="CV725" s="1514"/>
      <c r="CW725" s="1514"/>
      <c r="CX725" s="1514"/>
      <c r="CY725" s="1514"/>
      <c r="CZ725" s="1514" t="s">
        <v>163</v>
      </c>
      <c r="DA725" s="1514"/>
      <c r="DB725" s="1514"/>
      <c r="DC725" s="1514"/>
      <c r="DD725" s="1514"/>
      <c r="DE725" s="1514" t="s">
        <v>164</v>
      </c>
      <c r="DF725" s="1514"/>
      <c r="DG725" s="1514"/>
      <c r="DH725" s="1514"/>
      <c r="DI725" s="1514"/>
      <c r="DJ725" s="1514" t="s">
        <v>458</v>
      </c>
      <c r="DK725" s="1514"/>
      <c r="DL725" s="1514"/>
      <c r="DM725" s="1514"/>
      <c r="DN725" s="1514"/>
      <c r="DO725" s="1514" t="s">
        <v>30</v>
      </c>
      <c r="DP725" s="1514"/>
      <c r="DQ725" s="1514"/>
      <c r="DR725" s="1514"/>
      <c r="DS725" s="1514"/>
      <c r="DT725" s="89"/>
      <c r="DU725" s="1514" t="s">
        <v>631</v>
      </c>
      <c r="DV725" s="1514"/>
      <c r="DW725" s="1514"/>
      <c r="DX725" s="1514"/>
      <c r="DY725" s="1514"/>
      <c r="DZ725" s="1514" t="s">
        <v>324</v>
      </c>
      <c r="EA725" s="1514"/>
      <c r="EB725" s="1514"/>
      <c r="EC725" s="1514"/>
      <c r="ED725" s="1514"/>
      <c r="EE725" s="1514" t="s">
        <v>163</v>
      </c>
      <c r="EF725" s="1514"/>
      <c r="EG725" s="1514"/>
      <c r="EH725" s="1514"/>
      <c r="EI725" s="1514"/>
      <c r="EJ725" s="1514" t="s">
        <v>164</v>
      </c>
      <c r="EK725" s="1514"/>
      <c r="EL725" s="1514"/>
      <c r="EM725" s="1514"/>
      <c r="EN725" s="1514"/>
      <c r="EO725" s="1514" t="s">
        <v>458</v>
      </c>
      <c r="EP725" s="1514"/>
      <c r="EQ725" s="1514"/>
      <c r="ER725" s="1514"/>
      <c r="ES725" s="1514"/>
      <c r="ET725" s="1514" t="s">
        <v>30</v>
      </c>
      <c r="EU725" s="1514"/>
      <c r="EV725" s="1514"/>
      <c r="EW725" s="1514"/>
      <c r="EX725" s="1514"/>
      <c r="EY725" s="4"/>
      <c r="EZ725" s="1514" t="s">
        <v>631</v>
      </c>
      <c r="FA725" s="1514"/>
      <c r="FB725" s="1514"/>
      <c r="FC725" s="1514"/>
      <c r="FD725" s="1514"/>
      <c r="FE725" s="1514" t="s">
        <v>324</v>
      </c>
      <c r="FF725" s="1514"/>
      <c r="FG725" s="1514"/>
      <c r="FH725" s="1514"/>
      <c r="FI725" s="1514"/>
      <c r="FJ725" s="1514" t="s">
        <v>163</v>
      </c>
      <c r="FK725" s="1514"/>
      <c r="FL725" s="1514"/>
      <c r="FM725" s="1514"/>
      <c r="FN725" s="1514"/>
      <c r="FO725" s="1514" t="s">
        <v>164</v>
      </c>
      <c r="FP725" s="1514"/>
      <c r="FQ725" s="1514"/>
      <c r="FR725" s="1514"/>
      <c r="FS725" s="1514"/>
      <c r="FT725" s="1514" t="s">
        <v>458</v>
      </c>
      <c r="FU725" s="1514"/>
      <c r="FV725" s="1514"/>
      <c r="FW725" s="1514"/>
      <c r="FX725" s="1514"/>
      <c r="FY725" s="1514" t="s">
        <v>30</v>
      </c>
      <c r="FZ725" s="1514"/>
      <c r="GA725" s="1514"/>
      <c r="GB725" s="1514"/>
      <c r="GC725" s="1514"/>
    </row>
    <row r="726" spans="1:185" ht="12.95" customHeight="1">
      <c r="A726" s="4"/>
      <c r="B726" s="1322" t="s">
        <v>323</v>
      </c>
      <c r="C726" s="1323"/>
      <c r="D726" s="1323"/>
      <c r="E726" s="1323"/>
      <c r="F726" s="1324"/>
      <c r="G726" s="1316">
        <v>14</v>
      </c>
      <c r="H726" s="1317">
        <v>14</v>
      </c>
      <c r="I726" s="1317">
        <v>14</v>
      </c>
      <c r="J726" s="1318">
        <v>14</v>
      </c>
      <c r="K726" s="1319">
        <v>460</v>
      </c>
      <c r="L726" s="1320"/>
      <c r="M726" s="1320"/>
      <c r="N726" s="1321"/>
      <c r="O726" s="1369">
        <f>874-T726</f>
        <v>781</v>
      </c>
      <c r="P726" s="1370"/>
      <c r="Q726" s="1370"/>
      <c r="R726" s="1370"/>
      <c r="S726" s="1371"/>
      <c r="T726" s="1369">
        <v>93</v>
      </c>
      <c r="U726" s="1370"/>
      <c r="V726" s="1370"/>
      <c r="W726" s="1371"/>
      <c r="X726" s="1398">
        <f t="shared" ref="X726:X749" si="9">O726+T726</f>
        <v>874</v>
      </c>
      <c r="Y726" s="1399"/>
      <c r="Z726" s="1399"/>
      <c r="AA726" s="1399"/>
      <c r="AB726" s="1400"/>
      <c r="AC726" s="1382">
        <v>0.3</v>
      </c>
      <c r="AD726" s="1383"/>
      <c r="AE726" s="1383"/>
      <c r="AF726" s="1383"/>
      <c r="AG726" s="1384"/>
      <c r="AH726" s="1401">
        <f>IF($AC726&gt;0,($X726/$AZ726), "")</f>
        <v>0.29993136582017843</v>
      </c>
      <c r="AI726" s="1402"/>
      <c r="AJ726" s="1403"/>
      <c r="AK726" s="1322" t="s">
        <v>589</v>
      </c>
      <c r="AL726" s="1323"/>
      <c r="AM726" s="1323"/>
      <c r="AN726" s="1323"/>
      <c r="AO726" s="1324"/>
      <c r="AP726" s="3"/>
      <c r="AQ726" s="3"/>
      <c r="AR726" s="3"/>
      <c r="AS726" s="3"/>
      <c r="AZ726" s="118">
        <f t="shared" ref="AZ726:AZ760" si="10">IF($G726=0,"N/A",VLOOKUP($T$189,TC_Rent,(MATCH($B726,bedrooms,FALSE)),FALSE))</f>
        <v>2914</v>
      </c>
      <c r="BA726" s="3"/>
      <c r="BB726" s="3"/>
      <c r="BC726" s="3"/>
      <c r="BD726" s="3"/>
      <c r="BE726" s="204"/>
      <c r="BF726" s="293">
        <f t="shared" ref="BF726:BF760" si="11">G726</f>
        <v>14</v>
      </c>
      <c r="BG726" s="297">
        <f t="shared" ref="BG726:BG760" si="12">IF($BF$761=0,0,BF726/$BF$761)</f>
        <v>0.12962962962962962</v>
      </c>
      <c r="BH726" s="298">
        <f t="shared" ref="BH726:BH760" si="13">IF(BG726=0,"",BG726*AC726)</f>
        <v>3.8888888888888883E-2</v>
      </c>
      <c r="BI726" s="3"/>
      <c r="BJ726" s="3"/>
      <c r="BK726" s="3"/>
      <c r="BL726" s="3"/>
      <c r="BM726" s="3"/>
      <c r="BN726" s="3"/>
      <c r="BS726" s="293">
        <f t="shared" ref="BS726:BS760" si="14">G726</f>
        <v>14</v>
      </c>
      <c r="BT726" s="297">
        <f t="shared" ref="BT726:BT760" si="15">IF($BS$761=0,0,BS726/$BS$761)</f>
        <v>0.12962962962962962</v>
      </c>
      <c r="BU726" s="298">
        <f t="shared" ref="BU726:BU760" si="16">IF(BT726=0,"",BT726*AH726)</f>
        <v>3.8879991865578681E-2</v>
      </c>
      <c r="CC726" s="3"/>
      <c r="CD726" s="3"/>
      <c r="CE726" s="3"/>
      <c r="CF726" s="3"/>
      <c r="CG726" s="1519">
        <f>IF(AND(AC726&lt;=0.5,AC726&gt;=0.36),1,0)</f>
        <v>0</v>
      </c>
      <c r="CH726" s="1521"/>
      <c r="CI726" s="1497">
        <f>IF(CG726=1,G726,0)</f>
        <v>0</v>
      </c>
      <c r="CJ726" s="1498"/>
      <c r="CK726" s="1519">
        <f t="shared" ref="CK726:CK760" si="17">IF(AND(AC726&lt;=0.35,AC726&gt;0),1,0)</f>
        <v>1</v>
      </c>
      <c r="CL726" s="1521"/>
      <c r="CM726" s="1497">
        <f t="shared" ref="CM726:CM760" si="18">IF(CK726=1,G726,0)</f>
        <v>14</v>
      </c>
      <c r="CN726" s="1498"/>
      <c r="CO726" s="3"/>
      <c r="CP726" s="1515">
        <f t="shared" ref="CP726:CP760" si="19">IF(B726="SRO/Studio",G726,0)</f>
        <v>14</v>
      </c>
      <c r="CQ726" s="1516"/>
      <c r="CR726" s="1516"/>
      <c r="CS726" s="1516"/>
      <c r="CT726" s="1517"/>
      <c r="CU726" s="1513">
        <f t="shared" ref="CU726:CU760" si="20">IF(B726="1 Bedroom",G726,0)</f>
        <v>0</v>
      </c>
      <c r="CV726" s="1513"/>
      <c r="CW726" s="1513"/>
      <c r="CX726" s="1513"/>
      <c r="CY726" s="1513"/>
      <c r="CZ726" s="1513">
        <f t="shared" ref="CZ726:CZ760" si="21">IF(B726="2 Bedrooms",G726,0)</f>
        <v>0</v>
      </c>
      <c r="DA726" s="1513"/>
      <c r="DB726" s="1513"/>
      <c r="DC726" s="1513"/>
      <c r="DD726" s="1513"/>
      <c r="DE726" s="1513">
        <f t="shared" ref="DE726:DE760" si="22">IF(B726="3 Bedrooms",G726,0)</f>
        <v>0</v>
      </c>
      <c r="DF726" s="1513"/>
      <c r="DG726" s="1513"/>
      <c r="DH726" s="1513"/>
      <c r="DI726" s="1513"/>
      <c r="DJ726" s="1513">
        <f t="shared" ref="DJ726:DJ760" si="23">IF(B726="4 Bedrooms",G726,0)</f>
        <v>0</v>
      </c>
      <c r="DK726" s="1513"/>
      <c r="DL726" s="1513"/>
      <c r="DM726" s="1513"/>
      <c r="DN726" s="1513"/>
      <c r="DO726" s="1513">
        <f t="shared" ref="DO726:DO760" si="24">IF(B726="5 Bedrooms",G726,0)</f>
        <v>0</v>
      </c>
      <c r="DP726" s="1513"/>
      <c r="DQ726" s="1513"/>
      <c r="DR726" s="1513"/>
      <c r="DS726" s="1513"/>
      <c r="DT726" s="6"/>
      <c r="DU726" s="1503">
        <f t="shared" ref="DU726:DU760" si="25">IF(AND(B726="SRO/Studio",AC726&lt;=0.3),G726,0)</f>
        <v>14</v>
      </c>
      <c r="DV726" s="1503"/>
      <c r="DW726" s="1503"/>
      <c r="DX726" s="1503"/>
      <c r="DY726" s="1503"/>
      <c r="DZ726" s="1503">
        <f t="shared" ref="DZ726:DZ760" si="26">IF(AND(B726="1 Bedroom",AC726&lt;=0.3),G726,0)</f>
        <v>0</v>
      </c>
      <c r="EA726" s="1503"/>
      <c r="EB726" s="1503"/>
      <c r="EC726" s="1503"/>
      <c r="ED726" s="1503"/>
      <c r="EE726" s="1503">
        <f t="shared" ref="EE726:EE760" si="27">IF(AND(B726="2 Bedrooms",AC726&lt;=0.3),G726,0)</f>
        <v>0</v>
      </c>
      <c r="EF726" s="1503"/>
      <c r="EG726" s="1503"/>
      <c r="EH726" s="1503"/>
      <c r="EI726" s="1503"/>
      <c r="EJ726" s="1503">
        <f t="shared" ref="EJ726:EJ760" si="28">IF(AND(B726="3 Bedrooms",AC726&lt;=0.3),G726,0)</f>
        <v>0</v>
      </c>
      <c r="EK726" s="1503"/>
      <c r="EL726" s="1503"/>
      <c r="EM726" s="1503"/>
      <c r="EN726" s="1503"/>
      <c r="EO726" s="1503">
        <f t="shared" ref="EO726:EO760" si="29">IF(AND(B726="4 Bedrooms",AC726&lt;=0.3),G726,0)</f>
        <v>0</v>
      </c>
      <c r="EP726" s="1503"/>
      <c r="EQ726" s="1503"/>
      <c r="ER726" s="1503"/>
      <c r="ES726" s="1503"/>
      <c r="ET726" s="1503">
        <f t="shared" ref="ET726:ET760" si="30">IF(AND(B726="5 Bedrooms",AC726&lt;=0.3),G726,0)</f>
        <v>0</v>
      </c>
      <c r="EU726" s="1503"/>
      <c r="EV726" s="1503"/>
      <c r="EW726" s="1503"/>
      <c r="EX726" s="1503"/>
      <c r="EY726" s="4"/>
      <c r="EZ726" s="1519">
        <f t="shared" ref="EZ726:EZ760" si="31">IF(CP726&gt;0,O726,"")</f>
        <v>781</v>
      </c>
      <c r="FA726" s="1520"/>
      <c r="FB726" s="1520"/>
      <c r="FC726" s="1520"/>
      <c r="FD726" s="1521"/>
      <c r="FE726" s="1519" t="str">
        <f t="shared" ref="FE726:FE760" si="32">IF(CU726&gt;0,O726,"")</f>
        <v/>
      </c>
      <c r="FF726" s="1520"/>
      <c r="FG726" s="1520"/>
      <c r="FH726" s="1520"/>
      <c r="FI726" s="1521"/>
      <c r="FJ726" s="1519" t="str">
        <f t="shared" ref="FJ726:FJ760" si="33">IF(CZ726&gt;0,O726,"")</f>
        <v/>
      </c>
      <c r="FK726" s="1520"/>
      <c r="FL726" s="1520"/>
      <c r="FM726" s="1520"/>
      <c r="FN726" s="1521"/>
      <c r="FO726" s="1519" t="str">
        <f t="shared" ref="FO726:FO760" si="34">IF(DE726&gt;0,O726,"")</f>
        <v/>
      </c>
      <c r="FP726" s="1520"/>
      <c r="FQ726" s="1520"/>
      <c r="FR726" s="1520"/>
      <c r="FS726" s="1521"/>
      <c r="FT726" s="1519" t="str">
        <f t="shared" ref="FT726:FT760" si="35">IF(DJ726&gt;0,O726,"")</f>
        <v/>
      </c>
      <c r="FU726" s="1520"/>
      <c r="FV726" s="1520"/>
      <c r="FW726" s="1520"/>
      <c r="FX726" s="1521"/>
      <c r="FY726" s="1519" t="str">
        <f t="shared" ref="FY726:FY760" si="36">IF(DO726&gt;0,O726,"")</f>
        <v/>
      </c>
      <c r="FZ726" s="1520"/>
      <c r="GA726" s="1520"/>
      <c r="GB726" s="1520"/>
      <c r="GC726" s="1521"/>
    </row>
    <row r="727" spans="1:185" ht="12.95" customHeight="1">
      <c r="A727" s="4"/>
      <c r="B727" s="1322" t="s">
        <v>324</v>
      </c>
      <c r="C727" s="1323"/>
      <c r="D727" s="1323"/>
      <c r="E727" s="1323"/>
      <c r="F727" s="1324"/>
      <c r="G727" s="1316">
        <v>39</v>
      </c>
      <c r="H727" s="1317">
        <v>39</v>
      </c>
      <c r="I727" s="1317">
        <v>39</v>
      </c>
      <c r="J727" s="1318">
        <v>39</v>
      </c>
      <c r="K727" s="1319">
        <v>615</v>
      </c>
      <c r="L727" s="1320"/>
      <c r="M727" s="1320"/>
      <c r="N727" s="1321"/>
      <c r="O727" s="1369">
        <f>937-T727</f>
        <v>828</v>
      </c>
      <c r="P727" s="1370"/>
      <c r="Q727" s="1370"/>
      <c r="R727" s="1370"/>
      <c r="S727" s="1371"/>
      <c r="T727" s="1369">
        <v>109</v>
      </c>
      <c r="U727" s="1370"/>
      <c r="V727" s="1370"/>
      <c r="W727" s="1371"/>
      <c r="X727" s="1398">
        <f t="shared" si="9"/>
        <v>937</v>
      </c>
      <c r="Y727" s="1399"/>
      <c r="Z727" s="1399"/>
      <c r="AA727" s="1399"/>
      <c r="AB727" s="1400"/>
      <c r="AC727" s="1382">
        <v>0.3</v>
      </c>
      <c r="AD727" s="1383"/>
      <c r="AE727" s="1383"/>
      <c r="AF727" s="1383"/>
      <c r="AG727" s="1384"/>
      <c r="AH727" s="1401">
        <f t="shared" ref="AH727:AH760" si="37">IF($AC727&gt;0,($X727/$AZ727), "")</f>
        <v>0.30012812299807817</v>
      </c>
      <c r="AI727" s="1402"/>
      <c r="AJ727" s="1403"/>
      <c r="AK727" s="1322" t="s">
        <v>589</v>
      </c>
      <c r="AL727" s="1323"/>
      <c r="AM727" s="1323"/>
      <c r="AN727" s="1323"/>
      <c r="AO727" s="1324"/>
      <c r="AP727" s="3"/>
      <c r="AQ727" s="3"/>
      <c r="AR727" s="3"/>
      <c r="AS727" s="3"/>
      <c r="AZ727" s="118">
        <f t="shared" si="10"/>
        <v>3122</v>
      </c>
      <c r="BA727" s="3"/>
      <c r="BB727" s="3"/>
      <c r="BC727" s="3"/>
      <c r="BD727" s="3"/>
      <c r="BE727" s="204"/>
      <c r="BF727" s="294">
        <f t="shared" si="11"/>
        <v>39</v>
      </c>
      <c r="BG727" s="297">
        <f t="shared" si="12"/>
        <v>0.3611111111111111</v>
      </c>
      <c r="BH727" s="298">
        <f t="shared" si="13"/>
        <v>0.10833333333333332</v>
      </c>
      <c r="BI727" s="3"/>
      <c r="BJ727" s="3"/>
      <c r="BK727" s="3"/>
      <c r="BL727" s="3"/>
      <c r="BM727" s="3"/>
      <c r="BN727" s="3"/>
      <c r="BS727" s="294">
        <f t="shared" si="14"/>
        <v>39</v>
      </c>
      <c r="BT727" s="297">
        <f t="shared" si="15"/>
        <v>0.3611111111111111</v>
      </c>
      <c r="BU727" s="298">
        <f t="shared" si="16"/>
        <v>0.10837959997152823</v>
      </c>
      <c r="CC727" s="3"/>
      <c r="CD727" s="3"/>
      <c r="CE727" s="3"/>
      <c r="CF727" s="3"/>
      <c r="CG727" s="1519">
        <f t="shared" ref="CG727:CG760" si="38">IF(AND(AC727&lt;=0.5,AC727&gt;=0.36),1,0)</f>
        <v>0</v>
      </c>
      <c r="CH727" s="1521"/>
      <c r="CI727" s="1497">
        <f t="shared" ref="CI727:CI760" si="39">IF(CG727=1,G727,0)</f>
        <v>0</v>
      </c>
      <c r="CJ727" s="1498"/>
      <c r="CK727" s="1519">
        <f t="shared" si="17"/>
        <v>1</v>
      </c>
      <c r="CL727" s="1521"/>
      <c r="CM727" s="1497">
        <f t="shared" si="18"/>
        <v>39</v>
      </c>
      <c r="CN727" s="1498"/>
      <c r="CO727" s="3"/>
      <c r="CP727" s="1515">
        <f t="shared" si="19"/>
        <v>0</v>
      </c>
      <c r="CQ727" s="1516"/>
      <c r="CR727" s="1516"/>
      <c r="CS727" s="1516"/>
      <c r="CT727" s="1517"/>
      <c r="CU727" s="1513">
        <f t="shared" si="20"/>
        <v>39</v>
      </c>
      <c r="CV727" s="1513"/>
      <c r="CW727" s="1513"/>
      <c r="CX727" s="1513"/>
      <c r="CY727" s="1513"/>
      <c r="CZ727" s="1513">
        <f t="shared" si="21"/>
        <v>0</v>
      </c>
      <c r="DA727" s="1513"/>
      <c r="DB727" s="1513"/>
      <c r="DC727" s="1513"/>
      <c r="DD727" s="1513"/>
      <c r="DE727" s="1513">
        <f t="shared" si="22"/>
        <v>0</v>
      </c>
      <c r="DF727" s="1513"/>
      <c r="DG727" s="1513"/>
      <c r="DH727" s="1513"/>
      <c r="DI727" s="1513"/>
      <c r="DJ727" s="1513">
        <f t="shared" si="23"/>
        <v>0</v>
      </c>
      <c r="DK727" s="1513"/>
      <c r="DL727" s="1513"/>
      <c r="DM727" s="1513"/>
      <c r="DN727" s="1513"/>
      <c r="DO727" s="1513">
        <f t="shared" si="24"/>
        <v>0</v>
      </c>
      <c r="DP727" s="1513"/>
      <c r="DQ727" s="1513"/>
      <c r="DR727" s="1513"/>
      <c r="DS727" s="1513"/>
      <c r="DT727" s="6"/>
      <c r="DU727" s="1503">
        <f t="shared" si="25"/>
        <v>0</v>
      </c>
      <c r="DV727" s="1503"/>
      <c r="DW727" s="1503"/>
      <c r="DX727" s="1503"/>
      <c r="DY727" s="1503"/>
      <c r="DZ727" s="1503">
        <f t="shared" si="26"/>
        <v>39</v>
      </c>
      <c r="EA727" s="1503"/>
      <c r="EB727" s="1503"/>
      <c r="EC727" s="1503"/>
      <c r="ED727" s="1503"/>
      <c r="EE727" s="1503">
        <f t="shared" si="27"/>
        <v>0</v>
      </c>
      <c r="EF727" s="1503"/>
      <c r="EG727" s="1503"/>
      <c r="EH727" s="1503"/>
      <c r="EI727" s="1503"/>
      <c r="EJ727" s="1503">
        <f t="shared" si="28"/>
        <v>0</v>
      </c>
      <c r="EK727" s="1503"/>
      <c r="EL727" s="1503"/>
      <c r="EM727" s="1503"/>
      <c r="EN727" s="1503"/>
      <c r="EO727" s="1503">
        <f t="shared" si="29"/>
        <v>0</v>
      </c>
      <c r="EP727" s="1503"/>
      <c r="EQ727" s="1503"/>
      <c r="ER727" s="1503"/>
      <c r="ES727" s="1503"/>
      <c r="ET727" s="1503">
        <f t="shared" si="30"/>
        <v>0</v>
      </c>
      <c r="EU727" s="1503"/>
      <c r="EV727" s="1503"/>
      <c r="EW727" s="1503"/>
      <c r="EX727" s="1503"/>
      <c r="EY727" s="4"/>
      <c r="EZ727" s="1519" t="str">
        <f t="shared" si="31"/>
        <v/>
      </c>
      <c r="FA727" s="1520"/>
      <c r="FB727" s="1520"/>
      <c r="FC727" s="1520"/>
      <c r="FD727" s="1521"/>
      <c r="FE727" s="1519">
        <f t="shared" si="32"/>
        <v>828</v>
      </c>
      <c r="FF727" s="1520"/>
      <c r="FG727" s="1520"/>
      <c r="FH727" s="1520"/>
      <c r="FI727" s="1521"/>
      <c r="FJ727" s="1519" t="str">
        <f t="shared" si="33"/>
        <v/>
      </c>
      <c r="FK727" s="1520"/>
      <c r="FL727" s="1520"/>
      <c r="FM727" s="1520"/>
      <c r="FN727" s="1521"/>
      <c r="FO727" s="1519" t="str">
        <f t="shared" si="34"/>
        <v/>
      </c>
      <c r="FP727" s="1520"/>
      <c r="FQ727" s="1520"/>
      <c r="FR727" s="1520"/>
      <c r="FS727" s="1521"/>
      <c r="FT727" s="1519" t="str">
        <f t="shared" si="35"/>
        <v/>
      </c>
      <c r="FU727" s="1520"/>
      <c r="FV727" s="1520"/>
      <c r="FW727" s="1520"/>
      <c r="FX727" s="1521"/>
      <c r="FY727" s="1519" t="str">
        <f t="shared" si="36"/>
        <v/>
      </c>
      <c r="FZ727" s="1520"/>
      <c r="GA727" s="1520"/>
      <c r="GB727" s="1520"/>
      <c r="GC727" s="1521"/>
    </row>
    <row r="728" spans="1:185" ht="12.95" customHeight="1">
      <c r="A728" s="4"/>
      <c r="B728" s="1322" t="s">
        <v>163</v>
      </c>
      <c r="C728" s="1323"/>
      <c r="D728" s="1323"/>
      <c r="E728" s="1323"/>
      <c r="F728" s="1324"/>
      <c r="G728" s="1316">
        <v>2</v>
      </c>
      <c r="H728" s="1317"/>
      <c r="I728" s="1317"/>
      <c r="J728" s="1318"/>
      <c r="K728" s="1319">
        <v>900</v>
      </c>
      <c r="L728" s="1320"/>
      <c r="M728" s="1320"/>
      <c r="N728" s="1321"/>
      <c r="O728" s="1369">
        <f>1873-T728</f>
        <v>1722</v>
      </c>
      <c r="P728" s="1370"/>
      <c r="Q728" s="1370"/>
      <c r="R728" s="1370"/>
      <c r="S728" s="1371"/>
      <c r="T728" s="1369">
        <v>151</v>
      </c>
      <c r="U728" s="1370"/>
      <c r="V728" s="1370"/>
      <c r="W728" s="1371"/>
      <c r="X728" s="1398">
        <f t="shared" si="9"/>
        <v>1873</v>
      </c>
      <c r="Y728" s="1399"/>
      <c r="Z728" s="1399"/>
      <c r="AA728" s="1399"/>
      <c r="AB728" s="1400"/>
      <c r="AC728" s="1382">
        <v>0.5</v>
      </c>
      <c r="AD728" s="1383"/>
      <c r="AE728" s="1383"/>
      <c r="AF728" s="1383"/>
      <c r="AG728" s="1384"/>
      <c r="AH728" s="1401">
        <f t="shared" si="37"/>
        <v>0.5</v>
      </c>
      <c r="AI728" s="1402"/>
      <c r="AJ728" s="1403"/>
      <c r="AK728" s="1322" t="s">
        <v>589</v>
      </c>
      <c r="AL728" s="1323"/>
      <c r="AM728" s="1323"/>
      <c r="AN728" s="1323"/>
      <c r="AO728" s="1324"/>
      <c r="AP728" s="3"/>
      <c r="AQ728" s="3"/>
      <c r="AR728" s="3"/>
      <c r="AS728" s="3"/>
      <c r="AZ728" s="118">
        <f t="shared" si="10"/>
        <v>3746</v>
      </c>
      <c r="BA728" s="3"/>
      <c r="BB728" s="3"/>
      <c r="BC728" s="3"/>
      <c r="BD728" s="3"/>
      <c r="BE728" s="204"/>
      <c r="BF728" s="294">
        <f t="shared" si="11"/>
        <v>2</v>
      </c>
      <c r="BG728" s="297">
        <f t="shared" si="12"/>
        <v>1.8518518518518517E-2</v>
      </c>
      <c r="BH728" s="298">
        <f t="shared" si="13"/>
        <v>9.2592592592592587E-3</v>
      </c>
      <c r="BI728" s="3"/>
      <c r="BJ728" s="3"/>
      <c r="BK728" s="3"/>
      <c r="BL728" s="3"/>
      <c r="BM728" s="3"/>
      <c r="BN728" s="3"/>
      <c r="BS728" s="294">
        <f t="shared" si="14"/>
        <v>2</v>
      </c>
      <c r="BT728" s="297">
        <f t="shared" si="15"/>
        <v>1.8518518518518517E-2</v>
      </c>
      <c r="BU728" s="298">
        <f t="shared" si="16"/>
        <v>9.2592592592592587E-3</v>
      </c>
      <c r="CC728" s="3"/>
      <c r="CD728" s="3"/>
      <c r="CE728" s="3"/>
      <c r="CF728" s="3"/>
      <c r="CG728" s="1519">
        <f t="shared" si="38"/>
        <v>1</v>
      </c>
      <c r="CH728" s="1521"/>
      <c r="CI728" s="1497">
        <f t="shared" si="39"/>
        <v>2</v>
      </c>
      <c r="CJ728" s="1498"/>
      <c r="CK728" s="1519">
        <f t="shared" si="17"/>
        <v>0</v>
      </c>
      <c r="CL728" s="1521"/>
      <c r="CM728" s="1497">
        <f t="shared" si="18"/>
        <v>0</v>
      </c>
      <c r="CN728" s="1498"/>
      <c r="CO728" s="3"/>
      <c r="CP728" s="1515">
        <f t="shared" si="19"/>
        <v>0</v>
      </c>
      <c r="CQ728" s="1516"/>
      <c r="CR728" s="1516"/>
      <c r="CS728" s="1516"/>
      <c r="CT728" s="1517"/>
      <c r="CU728" s="1513">
        <f t="shared" si="20"/>
        <v>0</v>
      </c>
      <c r="CV728" s="1513"/>
      <c r="CW728" s="1513"/>
      <c r="CX728" s="1513"/>
      <c r="CY728" s="1513"/>
      <c r="CZ728" s="1513">
        <f t="shared" si="21"/>
        <v>2</v>
      </c>
      <c r="DA728" s="1513"/>
      <c r="DB728" s="1513"/>
      <c r="DC728" s="1513"/>
      <c r="DD728" s="1513"/>
      <c r="DE728" s="1513">
        <f t="shared" si="22"/>
        <v>0</v>
      </c>
      <c r="DF728" s="1513"/>
      <c r="DG728" s="1513"/>
      <c r="DH728" s="1513"/>
      <c r="DI728" s="1513"/>
      <c r="DJ728" s="1513">
        <f t="shared" si="23"/>
        <v>0</v>
      </c>
      <c r="DK728" s="1513"/>
      <c r="DL728" s="1513"/>
      <c r="DM728" s="1513"/>
      <c r="DN728" s="1513"/>
      <c r="DO728" s="1513">
        <f t="shared" si="24"/>
        <v>0</v>
      </c>
      <c r="DP728" s="1513"/>
      <c r="DQ728" s="1513"/>
      <c r="DR728" s="1513"/>
      <c r="DS728" s="1513"/>
      <c r="DT728" s="6"/>
      <c r="DU728" s="1503">
        <f t="shared" si="25"/>
        <v>0</v>
      </c>
      <c r="DV728" s="1503"/>
      <c r="DW728" s="1503"/>
      <c r="DX728" s="1503"/>
      <c r="DY728" s="1503"/>
      <c r="DZ728" s="1503">
        <f t="shared" si="26"/>
        <v>0</v>
      </c>
      <c r="EA728" s="1503"/>
      <c r="EB728" s="1503"/>
      <c r="EC728" s="1503"/>
      <c r="ED728" s="1503"/>
      <c r="EE728" s="1503">
        <f t="shared" si="27"/>
        <v>0</v>
      </c>
      <c r="EF728" s="1503"/>
      <c r="EG728" s="1503"/>
      <c r="EH728" s="1503"/>
      <c r="EI728" s="1503"/>
      <c r="EJ728" s="1503">
        <f t="shared" si="28"/>
        <v>0</v>
      </c>
      <c r="EK728" s="1503"/>
      <c r="EL728" s="1503"/>
      <c r="EM728" s="1503"/>
      <c r="EN728" s="1503"/>
      <c r="EO728" s="1503">
        <f t="shared" si="29"/>
        <v>0</v>
      </c>
      <c r="EP728" s="1503"/>
      <c r="EQ728" s="1503"/>
      <c r="ER728" s="1503"/>
      <c r="ES728" s="1503"/>
      <c r="ET728" s="1503">
        <f t="shared" si="30"/>
        <v>0</v>
      </c>
      <c r="EU728" s="1503"/>
      <c r="EV728" s="1503"/>
      <c r="EW728" s="1503"/>
      <c r="EX728" s="1503"/>
      <c r="EZ728" s="1519" t="str">
        <f t="shared" si="31"/>
        <v/>
      </c>
      <c r="FA728" s="1520"/>
      <c r="FB728" s="1520"/>
      <c r="FC728" s="1520"/>
      <c r="FD728" s="1521"/>
      <c r="FE728" s="1519" t="str">
        <f t="shared" si="32"/>
        <v/>
      </c>
      <c r="FF728" s="1520"/>
      <c r="FG728" s="1520"/>
      <c r="FH728" s="1520"/>
      <c r="FI728" s="1521"/>
      <c r="FJ728" s="1519">
        <f t="shared" si="33"/>
        <v>1722</v>
      </c>
      <c r="FK728" s="1520"/>
      <c r="FL728" s="1520"/>
      <c r="FM728" s="1520"/>
      <c r="FN728" s="1521"/>
      <c r="FO728" s="1519" t="str">
        <f t="shared" si="34"/>
        <v/>
      </c>
      <c r="FP728" s="1520"/>
      <c r="FQ728" s="1520"/>
      <c r="FR728" s="1520"/>
      <c r="FS728" s="1521"/>
      <c r="FT728" s="1519" t="str">
        <f t="shared" si="35"/>
        <v/>
      </c>
      <c r="FU728" s="1520"/>
      <c r="FV728" s="1520"/>
      <c r="FW728" s="1520"/>
      <c r="FX728" s="1521"/>
      <c r="FY728" s="1519" t="str">
        <f t="shared" si="36"/>
        <v/>
      </c>
      <c r="FZ728" s="1520"/>
      <c r="GA728" s="1520"/>
      <c r="GB728" s="1520"/>
      <c r="GC728" s="1521"/>
    </row>
    <row r="729" spans="1:185" ht="12.95" customHeight="1">
      <c r="B729" s="1322" t="s">
        <v>163</v>
      </c>
      <c r="C729" s="1323"/>
      <c r="D729" s="1323"/>
      <c r="E729" s="1323"/>
      <c r="F729" s="1324"/>
      <c r="G729" s="1316">
        <v>26</v>
      </c>
      <c r="H729" s="1317"/>
      <c r="I729" s="1317"/>
      <c r="J729" s="1318"/>
      <c r="K729" s="1319">
        <v>900</v>
      </c>
      <c r="L729" s="1320"/>
      <c r="M729" s="1320"/>
      <c r="N729" s="1321"/>
      <c r="O729" s="1369">
        <f>2623-T729</f>
        <v>2472</v>
      </c>
      <c r="P729" s="1370"/>
      <c r="Q729" s="1370"/>
      <c r="R729" s="1370"/>
      <c r="S729" s="1371"/>
      <c r="T729" s="1369">
        <v>151</v>
      </c>
      <c r="U729" s="1370"/>
      <c r="V729" s="1370"/>
      <c r="W729" s="1371"/>
      <c r="X729" s="1398">
        <f t="shared" si="9"/>
        <v>2623</v>
      </c>
      <c r="Y729" s="1399"/>
      <c r="Z729" s="1399"/>
      <c r="AA729" s="1399"/>
      <c r="AB729" s="1400"/>
      <c r="AC729" s="1382">
        <v>0.7</v>
      </c>
      <c r="AD729" s="1383"/>
      <c r="AE729" s="1383"/>
      <c r="AF729" s="1383"/>
      <c r="AG729" s="1384"/>
      <c r="AH729" s="1401">
        <f t="shared" si="37"/>
        <v>0.70021356113187405</v>
      </c>
      <c r="AI729" s="1402"/>
      <c r="AJ729" s="1403"/>
      <c r="AK729" s="1322" t="s">
        <v>589</v>
      </c>
      <c r="AL729" s="1323"/>
      <c r="AM729" s="1323"/>
      <c r="AN729" s="1323"/>
      <c r="AO729" s="1324"/>
      <c r="AP729" s="3"/>
      <c r="AQ729" s="3"/>
      <c r="AR729" s="3"/>
      <c r="AS729" s="3"/>
      <c r="AY729" s="116"/>
      <c r="AZ729" s="118">
        <f t="shared" si="10"/>
        <v>3746</v>
      </c>
      <c r="BA729" s="3"/>
      <c r="BB729" s="3"/>
      <c r="BC729" s="3"/>
      <c r="BD729" s="3"/>
      <c r="BE729" s="204"/>
      <c r="BF729" s="294">
        <f t="shared" si="11"/>
        <v>26</v>
      </c>
      <c r="BG729" s="297">
        <f t="shared" si="12"/>
        <v>0.24074074074074073</v>
      </c>
      <c r="BH729" s="298">
        <f t="shared" si="13"/>
        <v>0.16851851851851851</v>
      </c>
      <c r="BI729" s="3"/>
      <c r="BJ729" s="3"/>
      <c r="BK729" s="3"/>
      <c r="BL729" s="3"/>
      <c r="BM729" s="3"/>
      <c r="BN729" s="3"/>
      <c r="BS729" s="294">
        <f t="shared" si="14"/>
        <v>26</v>
      </c>
      <c r="BT729" s="297">
        <f t="shared" si="15"/>
        <v>0.24074074074074073</v>
      </c>
      <c r="BU729" s="298">
        <f t="shared" si="16"/>
        <v>0.1685699313835993</v>
      </c>
      <c r="CC729" s="3"/>
      <c r="CD729" s="3"/>
      <c r="CE729" s="3"/>
      <c r="CF729" s="3"/>
      <c r="CG729" s="1519">
        <f t="shared" si="38"/>
        <v>0</v>
      </c>
      <c r="CH729" s="1521"/>
      <c r="CI729" s="1497">
        <f t="shared" si="39"/>
        <v>0</v>
      </c>
      <c r="CJ729" s="1498"/>
      <c r="CK729" s="1519">
        <f t="shared" si="17"/>
        <v>0</v>
      </c>
      <c r="CL729" s="1521"/>
      <c r="CM729" s="1497">
        <f t="shared" si="18"/>
        <v>0</v>
      </c>
      <c r="CN729" s="1498"/>
      <c r="CO729" s="3"/>
      <c r="CP729" s="1515">
        <f t="shared" si="19"/>
        <v>0</v>
      </c>
      <c r="CQ729" s="1516"/>
      <c r="CR729" s="1516"/>
      <c r="CS729" s="1516"/>
      <c r="CT729" s="1517"/>
      <c r="CU729" s="1513">
        <f t="shared" si="20"/>
        <v>0</v>
      </c>
      <c r="CV729" s="1513"/>
      <c r="CW729" s="1513"/>
      <c r="CX729" s="1513"/>
      <c r="CY729" s="1513"/>
      <c r="CZ729" s="1513">
        <f t="shared" si="21"/>
        <v>26</v>
      </c>
      <c r="DA729" s="1513"/>
      <c r="DB729" s="1513"/>
      <c r="DC729" s="1513"/>
      <c r="DD729" s="1513"/>
      <c r="DE729" s="1513">
        <f t="shared" si="22"/>
        <v>0</v>
      </c>
      <c r="DF729" s="1513"/>
      <c r="DG729" s="1513"/>
      <c r="DH729" s="1513"/>
      <c r="DI729" s="1513"/>
      <c r="DJ729" s="1513">
        <f t="shared" si="23"/>
        <v>0</v>
      </c>
      <c r="DK729" s="1513"/>
      <c r="DL729" s="1513"/>
      <c r="DM729" s="1513"/>
      <c r="DN729" s="1513"/>
      <c r="DO729" s="1513">
        <f t="shared" si="24"/>
        <v>0</v>
      </c>
      <c r="DP729" s="1513"/>
      <c r="DQ729" s="1513"/>
      <c r="DR729" s="1513"/>
      <c r="DS729" s="1513"/>
      <c r="DT729" s="6"/>
      <c r="DU729" s="1503">
        <f t="shared" si="25"/>
        <v>0</v>
      </c>
      <c r="DV729" s="1503"/>
      <c r="DW729" s="1503"/>
      <c r="DX729" s="1503"/>
      <c r="DY729" s="1503"/>
      <c r="DZ729" s="1503">
        <f t="shared" si="26"/>
        <v>0</v>
      </c>
      <c r="EA729" s="1503"/>
      <c r="EB729" s="1503"/>
      <c r="EC729" s="1503"/>
      <c r="ED729" s="1503"/>
      <c r="EE729" s="1503">
        <f t="shared" si="27"/>
        <v>0</v>
      </c>
      <c r="EF729" s="1503"/>
      <c r="EG729" s="1503"/>
      <c r="EH729" s="1503"/>
      <c r="EI729" s="1503"/>
      <c r="EJ729" s="1503">
        <f t="shared" si="28"/>
        <v>0</v>
      </c>
      <c r="EK729" s="1503"/>
      <c r="EL729" s="1503"/>
      <c r="EM729" s="1503"/>
      <c r="EN729" s="1503"/>
      <c r="EO729" s="1503">
        <f t="shared" si="29"/>
        <v>0</v>
      </c>
      <c r="EP729" s="1503"/>
      <c r="EQ729" s="1503"/>
      <c r="ER729" s="1503"/>
      <c r="ES729" s="1503"/>
      <c r="ET729" s="1503">
        <f t="shared" si="30"/>
        <v>0</v>
      </c>
      <c r="EU729" s="1503"/>
      <c r="EV729" s="1503"/>
      <c r="EW729" s="1503"/>
      <c r="EX729" s="1503"/>
      <c r="EZ729" s="1519" t="str">
        <f t="shared" si="31"/>
        <v/>
      </c>
      <c r="FA729" s="1520"/>
      <c r="FB729" s="1520"/>
      <c r="FC729" s="1520"/>
      <c r="FD729" s="1521"/>
      <c r="FE729" s="1519" t="str">
        <f t="shared" si="32"/>
        <v/>
      </c>
      <c r="FF729" s="1520"/>
      <c r="FG729" s="1520"/>
      <c r="FH729" s="1520"/>
      <c r="FI729" s="1521"/>
      <c r="FJ729" s="1519">
        <f t="shared" si="33"/>
        <v>2472</v>
      </c>
      <c r="FK729" s="1520"/>
      <c r="FL729" s="1520"/>
      <c r="FM729" s="1520"/>
      <c r="FN729" s="1521"/>
      <c r="FO729" s="1519" t="str">
        <f t="shared" si="34"/>
        <v/>
      </c>
      <c r="FP729" s="1520"/>
      <c r="FQ729" s="1520"/>
      <c r="FR729" s="1520"/>
      <c r="FS729" s="1521"/>
      <c r="FT729" s="1519" t="str">
        <f t="shared" si="35"/>
        <v/>
      </c>
      <c r="FU729" s="1520"/>
      <c r="FV729" s="1520"/>
      <c r="FW729" s="1520"/>
      <c r="FX729" s="1521"/>
      <c r="FY729" s="1519" t="str">
        <f t="shared" si="36"/>
        <v/>
      </c>
      <c r="FZ729" s="1520"/>
      <c r="GA729" s="1520"/>
      <c r="GB729" s="1520"/>
      <c r="GC729" s="1521"/>
    </row>
    <row r="730" spans="1:185" ht="12.95" customHeight="1">
      <c r="B730" s="1322" t="s">
        <v>164</v>
      </c>
      <c r="C730" s="1323"/>
      <c r="D730" s="1323"/>
      <c r="E730" s="1323"/>
      <c r="F730" s="1324"/>
      <c r="G730" s="1316">
        <v>27</v>
      </c>
      <c r="H730" s="1317"/>
      <c r="I730" s="1317"/>
      <c r="J730" s="1318"/>
      <c r="K730" s="1319">
        <v>1243</v>
      </c>
      <c r="L730" s="1320"/>
      <c r="M730" s="1320"/>
      <c r="N730" s="1321"/>
      <c r="O730" s="1369">
        <f>3031-T730</f>
        <v>2838</v>
      </c>
      <c r="P730" s="1370"/>
      <c r="Q730" s="1370"/>
      <c r="R730" s="1370"/>
      <c r="S730" s="1371"/>
      <c r="T730" s="1369">
        <v>193</v>
      </c>
      <c r="U730" s="1370"/>
      <c r="V730" s="1370"/>
      <c r="W730" s="1371"/>
      <c r="X730" s="1398">
        <f t="shared" si="9"/>
        <v>3031</v>
      </c>
      <c r="Y730" s="1399"/>
      <c r="Z730" s="1399"/>
      <c r="AA730" s="1399"/>
      <c r="AB730" s="1400"/>
      <c r="AC730" s="1382">
        <v>0.7</v>
      </c>
      <c r="AD730" s="1383"/>
      <c r="AE730" s="1383"/>
      <c r="AF730" s="1383"/>
      <c r="AG730" s="1384"/>
      <c r="AH730" s="1401">
        <f t="shared" si="37"/>
        <v>0.7</v>
      </c>
      <c r="AI730" s="1402"/>
      <c r="AJ730" s="1403"/>
      <c r="AK730" s="1322" t="s">
        <v>589</v>
      </c>
      <c r="AL730" s="1323"/>
      <c r="AM730" s="1323"/>
      <c r="AN730" s="1323"/>
      <c r="AO730" s="1324"/>
      <c r="AP730" s="3"/>
      <c r="AQ730" s="3"/>
      <c r="AR730" s="3"/>
      <c r="AS730" s="3"/>
      <c r="AY730" s="116"/>
      <c r="AZ730" s="118">
        <f t="shared" si="10"/>
        <v>4330</v>
      </c>
      <c r="BA730" s="3"/>
      <c r="BB730" s="3"/>
      <c r="BC730" s="3"/>
      <c r="BD730" s="3"/>
      <c r="BE730" s="204"/>
      <c r="BF730" s="294">
        <f t="shared" si="11"/>
        <v>27</v>
      </c>
      <c r="BG730" s="297">
        <f t="shared" si="12"/>
        <v>0.25</v>
      </c>
      <c r="BH730" s="298">
        <f t="shared" si="13"/>
        <v>0.17499999999999999</v>
      </c>
      <c r="BI730" s="3"/>
      <c r="BJ730" s="3"/>
      <c r="BK730" s="3"/>
      <c r="BL730" s="3"/>
      <c r="BM730" s="3"/>
      <c r="BN730" s="3"/>
      <c r="BS730" s="294">
        <f t="shared" si="14"/>
        <v>27</v>
      </c>
      <c r="BT730" s="297">
        <f t="shared" si="15"/>
        <v>0.25</v>
      </c>
      <c r="BU730" s="298">
        <f t="shared" si="16"/>
        <v>0.17499999999999999</v>
      </c>
      <c r="CC730" s="3"/>
      <c r="CD730" s="3"/>
      <c r="CE730" s="3"/>
      <c r="CF730" s="3"/>
      <c r="CG730" s="1519">
        <f t="shared" si="38"/>
        <v>0</v>
      </c>
      <c r="CH730" s="1521"/>
      <c r="CI730" s="1497">
        <f t="shared" si="39"/>
        <v>0</v>
      </c>
      <c r="CJ730" s="1498"/>
      <c r="CK730" s="1519">
        <f t="shared" si="17"/>
        <v>0</v>
      </c>
      <c r="CL730" s="1521"/>
      <c r="CM730" s="1497">
        <f t="shared" si="18"/>
        <v>0</v>
      </c>
      <c r="CN730" s="1498"/>
      <c r="CO730" s="3"/>
      <c r="CP730" s="1515">
        <f t="shared" si="19"/>
        <v>0</v>
      </c>
      <c r="CQ730" s="1516"/>
      <c r="CR730" s="1516"/>
      <c r="CS730" s="1516"/>
      <c r="CT730" s="1517"/>
      <c r="CU730" s="1513">
        <f t="shared" si="20"/>
        <v>0</v>
      </c>
      <c r="CV730" s="1513"/>
      <c r="CW730" s="1513"/>
      <c r="CX730" s="1513"/>
      <c r="CY730" s="1513"/>
      <c r="CZ730" s="1513">
        <f t="shared" si="21"/>
        <v>0</v>
      </c>
      <c r="DA730" s="1513"/>
      <c r="DB730" s="1513"/>
      <c r="DC730" s="1513"/>
      <c r="DD730" s="1513"/>
      <c r="DE730" s="1513">
        <f t="shared" si="22"/>
        <v>27</v>
      </c>
      <c r="DF730" s="1513"/>
      <c r="DG730" s="1513"/>
      <c r="DH730" s="1513"/>
      <c r="DI730" s="1513"/>
      <c r="DJ730" s="1513">
        <f t="shared" si="23"/>
        <v>0</v>
      </c>
      <c r="DK730" s="1513"/>
      <c r="DL730" s="1513"/>
      <c r="DM730" s="1513"/>
      <c r="DN730" s="1513"/>
      <c r="DO730" s="1513">
        <f t="shared" si="24"/>
        <v>0</v>
      </c>
      <c r="DP730" s="1513"/>
      <c r="DQ730" s="1513"/>
      <c r="DR730" s="1513"/>
      <c r="DS730" s="1513"/>
      <c r="DT730" s="6"/>
      <c r="DU730" s="1503">
        <f t="shared" si="25"/>
        <v>0</v>
      </c>
      <c r="DV730" s="1503"/>
      <c r="DW730" s="1503"/>
      <c r="DX730" s="1503"/>
      <c r="DY730" s="1503"/>
      <c r="DZ730" s="1503">
        <f t="shared" si="26"/>
        <v>0</v>
      </c>
      <c r="EA730" s="1503"/>
      <c r="EB730" s="1503"/>
      <c r="EC730" s="1503"/>
      <c r="ED730" s="1503"/>
      <c r="EE730" s="1503">
        <f t="shared" si="27"/>
        <v>0</v>
      </c>
      <c r="EF730" s="1503"/>
      <c r="EG730" s="1503"/>
      <c r="EH730" s="1503"/>
      <c r="EI730" s="1503"/>
      <c r="EJ730" s="1503">
        <f t="shared" si="28"/>
        <v>0</v>
      </c>
      <c r="EK730" s="1503"/>
      <c r="EL730" s="1503"/>
      <c r="EM730" s="1503"/>
      <c r="EN730" s="1503"/>
      <c r="EO730" s="1503">
        <f t="shared" si="29"/>
        <v>0</v>
      </c>
      <c r="EP730" s="1503"/>
      <c r="EQ730" s="1503"/>
      <c r="ER730" s="1503"/>
      <c r="ES730" s="1503"/>
      <c r="ET730" s="1503">
        <f t="shared" si="30"/>
        <v>0</v>
      </c>
      <c r="EU730" s="1503"/>
      <c r="EV730" s="1503"/>
      <c r="EW730" s="1503"/>
      <c r="EX730" s="1503"/>
      <c r="EZ730" s="1519" t="str">
        <f t="shared" si="31"/>
        <v/>
      </c>
      <c r="FA730" s="1520"/>
      <c r="FB730" s="1520"/>
      <c r="FC730" s="1520"/>
      <c r="FD730" s="1521"/>
      <c r="FE730" s="1519" t="str">
        <f t="shared" si="32"/>
        <v/>
      </c>
      <c r="FF730" s="1520"/>
      <c r="FG730" s="1520"/>
      <c r="FH730" s="1520"/>
      <c r="FI730" s="1521"/>
      <c r="FJ730" s="1519" t="str">
        <f t="shared" si="33"/>
        <v/>
      </c>
      <c r="FK730" s="1520"/>
      <c r="FL730" s="1520"/>
      <c r="FM730" s="1520"/>
      <c r="FN730" s="1521"/>
      <c r="FO730" s="1519">
        <f t="shared" si="34"/>
        <v>2838</v>
      </c>
      <c r="FP730" s="1520"/>
      <c r="FQ730" s="1520"/>
      <c r="FR730" s="1520"/>
      <c r="FS730" s="1521"/>
      <c r="FT730" s="1519" t="str">
        <f t="shared" si="35"/>
        <v/>
      </c>
      <c r="FU730" s="1520"/>
      <c r="FV730" s="1520"/>
      <c r="FW730" s="1520"/>
      <c r="FX730" s="1521"/>
      <c r="FY730" s="1519" t="str">
        <f t="shared" si="36"/>
        <v/>
      </c>
      <c r="FZ730" s="1520"/>
      <c r="GA730" s="1520"/>
      <c r="GB730" s="1520"/>
      <c r="GC730" s="1521"/>
    </row>
    <row r="731" spans="1:185" ht="12.95" customHeight="1">
      <c r="B731" s="1322"/>
      <c r="C731" s="1323"/>
      <c r="D731" s="1323"/>
      <c r="E731" s="1323"/>
      <c r="F731" s="1324"/>
      <c r="G731" s="1316"/>
      <c r="H731" s="1317"/>
      <c r="I731" s="1317"/>
      <c r="J731" s="1318"/>
      <c r="K731" s="1319"/>
      <c r="L731" s="1320"/>
      <c r="M731" s="1320"/>
      <c r="N731" s="1321"/>
      <c r="O731" s="1369"/>
      <c r="P731" s="1370"/>
      <c r="Q731" s="1370"/>
      <c r="R731" s="1370"/>
      <c r="S731" s="1371"/>
      <c r="T731" s="1369"/>
      <c r="U731" s="1370"/>
      <c r="V731" s="1370"/>
      <c r="W731" s="1371"/>
      <c r="X731" s="1398">
        <f t="shared" si="9"/>
        <v>0</v>
      </c>
      <c r="Y731" s="1399"/>
      <c r="Z731" s="1399"/>
      <c r="AA731" s="1399"/>
      <c r="AB731" s="1400"/>
      <c r="AC731" s="1382"/>
      <c r="AD731" s="1383"/>
      <c r="AE731" s="1383"/>
      <c r="AF731" s="1383"/>
      <c r="AG731" s="1384"/>
      <c r="AH731" s="1401" t="str">
        <f t="shared" si="37"/>
        <v/>
      </c>
      <c r="AI731" s="1402"/>
      <c r="AJ731" s="1403"/>
      <c r="AK731" s="1322" t="s">
        <v>589</v>
      </c>
      <c r="AL731" s="1323"/>
      <c r="AM731" s="1323"/>
      <c r="AN731" s="1323"/>
      <c r="AO731" s="1324"/>
      <c r="AP731" s="3"/>
      <c r="AQ731" s="3"/>
      <c r="AR731" s="3"/>
      <c r="AS731" s="3"/>
      <c r="AY731" s="116"/>
      <c r="AZ731" s="118" t="str">
        <f t="shared" si="10"/>
        <v>N/A</v>
      </c>
      <c r="BA731" s="3"/>
      <c r="BB731" s="3"/>
      <c r="BC731" s="3"/>
      <c r="BD731" s="3"/>
      <c r="BE731" s="204"/>
      <c r="BF731" s="294">
        <f t="shared" si="11"/>
        <v>0</v>
      </c>
      <c r="BG731" s="297">
        <f t="shared" si="12"/>
        <v>0</v>
      </c>
      <c r="BH731" s="298" t="str">
        <f t="shared" si="13"/>
        <v/>
      </c>
      <c r="BI731" s="3"/>
      <c r="BJ731" s="3"/>
      <c r="BK731" s="3"/>
      <c r="BL731" s="3"/>
      <c r="BM731" s="3"/>
      <c r="BN731" s="3"/>
      <c r="BS731" s="294">
        <f t="shared" si="14"/>
        <v>0</v>
      </c>
      <c r="BT731" s="297">
        <f t="shared" si="15"/>
        <v>0</v>
      </c>
      <c r="BU731" s="298" t="str">
        <f t="shared" si="16"/>
        <v/>
      </c>
      <c r="CC731" s="3"/>
      <c r="CD731" s="3"/>
      <c r="CE731" s="3"/>
      <c r="CF731" s="3"/>
      <c r="CG731" s="1519">
        <f t="shared" si="38"/>
        <v>0</v>
      </c>
      <c r="CH731" s="1521"/>
      <c r="CI731" s="1497">
        <f t="shared" si="39"/>
        <v>0</v>
      </c>
      <c r="CJ731" s="1498"/>
      <c r="CK731" s="1519">
        <f t="shared" si="17"/>
        <v>0</v>
      </c>
      <c r="CL731" s="1521"/>
      <c r="CM731" s="1497">
        <f t="shared" si="18"/>
        <v>0</v>
      </c>
      <c r="CN731" s="1498"/>
      <c r="CO731" s="3"/>
      <c r="CP731" s="1515">
        <f t="shared" si="19"/>
        <v>0</v>
      </c>
      <c r="CQ731" s="1516"/>
      <c r="CR731" s="1516"/>
      <c r="CS731" s="1516"/>
      <c r="CT731" s="1517"/>
      <c r="CU731" s="1513">
        <f t="shared" si="20"/>
        <v>0</v>
      </c>
      <c r="CV731" s="1513"/>
      <c r="CW731" s="1513"/>
      <c r="CX731" s="1513"/>
      <c r="CY731" s="1513"/>
      <c r="CZ731" s="1513">
        <f t="shared" si="21"/>
        <v>0</v>
      </c>
      <c r="DA731" s="1513"/>
      <c r="DB731" s="1513"/>
      <c r="DC731" s="1513"/>
      <c r="DD731" s="1513"/>
      <c r="DE731" s="1513">
        <f t="shared" si="22"/>
        <v>0</v>
      </c>
      <c r="DF731" s="1513"/>
      <c r="DG731" s="1513"/>
      <c r="DH731" s="1513"/>
      <c r="DI731" s="1513"/>
      <c r="DJ731" s="1513">
        <f t="shared" si="23"/>
        <v>0</v>
      </c>
      <c r="DK731" s="1513"/>
      <c r="DL731" s="1513"/>
      <c r="DM731" s="1513"/>
      <c r="DN731" s="1513"/>
      <c r="DO731" s="1513">
        <f t="shared" si="24"/>
        <v>0</v>
      </c>
      <c r="DP731" s="1513"/>
      <c r="DQ731" s="1513"/>
      <c r="DR731" s="1513"/>
      <c r="DS731" s="1513"/>
      <c r="DT731" s="6"/>
      <c r="DU731" s="1503">
        <f t="shared" si="25"/>
        <v>0</v>
      </c>
      <c r="DV731" s="1503"/>
      <c r="DW731" s="1503"/>
      <c r="DX731" s="1503"/>
      <c r="DY731" s="1503"/>
      <c r="DZ731" s="1503">
        <f t="shared" si="26"/>
        <v>0</v>
      </c>
      <c r="EA731" s="1503"/>
      <c r="EB731" s="1503"/>
      <c r="EC731" s="1503"/>
      <c r="ED731" s="1503"/>
      <c r="EE731" s="1503">
        <f t="shared" si="27"/>
        <v>0</v>
      </c>
      <c r="EF731" s="1503"/>
      <c r="EG731" s="1503"/>
      <c r="EH731" s="1503"/>
      <c r="EI731" s="1503"/>
      <c r="EJ731" s="1503">
        <f t="shared" si="28"/>
        <v>0</v>
      </c>
      <c r="EK731" s="1503"/>
      <c r="EL731" s="1503"/>
      <c r="EM731" s="1503"/>
      <c r="EN731" s="1503"/>
      <c r="EO731" s="1503">
        <f t="shared" si="29"/>
        <v>0</v>
      </c>
      <c r="EP731" s="1503"/>
      <c r="EQ731" s="1503"/>
      <c r="ER731" s="1503"/>
      <c r="ES731" s="1503"/>
      <c r="ET731" s="1503">
        <f t="shared" si="30"/>
        <v>0</v>
      </c>
      <c r="EU731" s="1503"/>
      <c r="EV731" s="1503"/>
      <c r="EW731" s="1503"/>
      <c r="EX731" s="1503"/>
      <c r="EZ731" s="1519" t="str">
        <f t="shared" si="31"/>
        <v/>
      </c>
      <c r="FA731" s="1520"/>
      <c r="FB731" s="1520"/>
      <c r="FC731" s="1520"/>
      <c r="FD731" s="1521"/>
      <c r="FE731" s="1519" t="str">
        <f t="shared" si="32"/>
        <v/>
      </c>
      <c r="FF731" s="1520"/>
      <c r="FG731" s="1520"/>
      <c r="FH731" s="1520"/>
      <c r="FI731" s="1521"/>
      <c r="FJ731" s="1519" t="str">
        <f t="shared" si="33"/>
        <v/>
      </c>
      <c r="FK731" s="1520"/>
      <c r="FL731" s="1520"/>
      <c r="FM731" s="1520"/>
      <c r="FN731" s="1521"/>
      <c r="FO731" s="1519" t="str">
        <f t="shared" si="34"/>
        <v/>
      </c>
      <c r="FP731" s="1520"/>
      <c r="FQ731" s="1520"/>
      <c r="FR731" s="1520"/>
      <c r="FS731" s="1521"/>
      <c r="FT731" s="1519" t="str">
        <f t="shared" si="35"/>
        <v/>
      </c>
      <c r="FU731" s="1520"/>
      <c r="FV731" s="1520"/>
      <c r="FW731" s="1520"/>
      <c r="FX731" s="1521"/>
      <c r="FY731" s="1519" t="str">
        <f t="shared" si="36"/>
        <v/>
      </c>
      <c r="FZ731" s="1520"/>
      <c r="GA731" s="1520"/>
      <c r="GB731" s="1520"/>
      <c r="GC731" s="1521"/>
    </row>
    <row r="732" spans="1:185" ht="12.95" customHeight="1">
      <c r="B732" s="1322"/>
      <c r="C732" s="1323"/>
      <c r="D732" s="1323"/>
      <c r="E732" s="1323"/>
      <c r="F732" s="1324"/>
      <c r="G732" s="1316"/>
      <c r="H732" s="1317"/>
      <c r="I732" s="1317"/>
      <c r="J732" s="1318"/>
      <c r="K732" s="1319"/>
      <c r="L732" s="1320"/>
      <c r="M732" s="1320"/>
      <c r="N732" s="1321"/>
      <c r="O732" s="1369"/>
      <c r="P732" s="1370"/>
      <c r="Q732" s="1370"/>
      <c r="R732" s="1370"/>
      <c r="S732" s="1371"/>
      <c r="T732" s="1369"/>
      <c r="U732" s="1370"/>
      <c r="V732" s="1370"/>
      <c r="W732" s="1371"/>
      <c r="X732" s="1398">
        <f t="shared" si="9"/>
        <v>0</v>
      </c>
      <c r="Y732" s="1399"/>
      <c r="Z732" s="1399"/>
      <c r="AA732" s="1399"/>
      <c r="AB732" s="1400"/>
      <c r="AC732" s="1382"/>
      <c r="AD732" s="1383"/>
      <c r="AE732" s="1383"/>
      <c r="AF732" s="1383"/>
      <c r="AG732" s="1384"/>
      <c r="AH732" s="1401" t="str">
        <f t="shared" si="37"/>
        <v/>
      </c>
      <c r="AI732" s="1402"/>
      <c r="AJ732" s="1403"/>
      <c r="AK732" s="1322" t="s">
        <v>589</v>
      </c>
      <c r="AL732" s="1323"/>
      <c r="AM732" s="1323"/>
      <c r="AN732" s="1323"/>
      <c r="AO732" s="1324"/>
      <c r="AP732" s="3"/>
      <c r="AQ732" s="3"/>
      <c r="AR732" s="3"/>
      <c r="AS732" s="3"/>
      <c r="AY732" s="116"/>
      <c r="AZ732" s="118" t="str">
        <f t="shared" si="10"/>
        <v>N/A</v>
      </c>
      <c r="BA732" s="3"/>
      <c r="BB732" s="3"/>
      <c r="BC732" s="3"/>
      <c r="BD732" s="3"/>
      <c r="BE732" s="204"/>
      <c r="BF732" s="294">
        <f t="shared" si="11"/>
        <v>0</v>
      </c>
      <c r="BG732" s="297">
        <f t="shared" si="12"/>
        <v>0</v>
      </c>
      <c r="BH732" s="298" t="str">
        <f t="shared" si="13"/>
        <v/>
      </c>
      <c r="BI732" s="3"/>
      <c r="BJ732" s="3"/>
      <c r="BK732" s="3"/>
      <c r="BL732" s="3"/>
      <c r="BM732" s="3"/>
      <c r="BN732" s="3"/>
      <c r="BS732" s="294">
        <f t="shared" si="14"/>
        <v>0</v>
      </c>
      <c r="BT732" s="297">
        <f t="shared" si="15"/>
        <v>0</v>
      </c>
      <c r="BU732" s="298" t="str">
        <f t="shared" si="16"/>
        <v/>
      </c>
      <c r="CC732" s="3"/>
      <c r="CE732" s="3"/>
      <c r="CF732" s="3"/>
      <c r="CG732" s="1519">
        <f t="shared" si="38"/>
        <v>0</v>
      </c>
      <c r="CH732" s="1521"/>
      <c r="CI732" s="1497">
        <f t="shared" si="39"/>
        <v>0</v>
      </c>
      <c r="CJ732" s="1498"/>
      <c r="CK732" s="1519">
        <f t="shared" si="17"/>
        <v>0</v>
      </c>
      <c r="CL732" s="1521"/>
      <c r="CM732" s="1497">
        <f t="shared" si="18"/>
        <v>0</v>
      </c>
      <c r="CN732" s="1498"/>
      <c r="CO732" s="3"/>
      <c r="CP732" s="1515">
        <f t="shared" si="19"/>
        <v>0</v>
      </c>
      <c r="CQ732" s="1516"/>
      <c r="CR732" s="1516"/>
      <c r="CS732" s="1516"/>
      <c r="CT732" s="1517"/>
      <c r="CU732" s="1513">
        <f t="shared" si="20"/>
        <v>0</v>
      </c>
      <c r="CV732" s="1513"/>
      <c r="CW732" s="1513"/>
      <c r="CX732" s="1513"/>
      <c r="CY732" s="1513"/>
      <c r="CZ732" s="1513">
        <f t="shared" si="21"/>
        <v>0</v>
      </c>
      <c r="DA732" s="1513"/>
      <c r="DB732" s="1513"/>
      <c r="DC732" s="1513"/>
      <c r="DD732" s="1513"/>
      <c r="DE732" s="1513">
        <f t="shared" si="22"/>
        <v>0</v>
      </c>
      <c r="DF732" s="1513"/>
      <c r="DG732" s="1513"/>
      <c r="DH732" s="1513"/>
      <c r="DI732" s="1513"/>
      <c r="DJ732" s="1513">
        <f t="shared" si="23"/>
        <v>0</v>
      </c>
      <c r="DK732" s="1513"/>
      <c r="DL732" s="1513"/>
      <c r="DM732" s="1513"/>
      <c r="DN732" s="1513"/>
      <c r="DO732" s="1513">
        <f t="shared" si="24"/>
        <v>0</v>
      </c>
      <c r="DP732" s="1513"/>
      <c r="DQ732" s="1513"/>
      <c r="DR732" s="1513"/>
      <c r="DS732" s="1513"/>
      <c r="DT732" s="6"/>
      <c r="DU732" s="1503">
        <f t="shared" si="25"/>
        <v>0</v>
      </c>
      <c r="DV732" s="1503"/>
      <c r="DW732" s="1503"/>
      <c r="DX732" s="1503"/>
      <c r="DY732" s="1503"/>
      <c r="DZ732" s="1503">
        <f t="shared" si="26"/>
        <v>0</v>
      </c>
      <c r="EA732" s="1503"/>
      <c r="EB732" s="1503"/>
      <c r="EC732" s="1503"/>
      <c r="ED732" s="1503"/>
      <c r="EE732" s="1503">
        <f t="shared" si="27"/>
        <v>0</v>
      </c>
      <c r="EF732" s="1503"/>
      <c r="EG732" s="1503"/>
      <c r="EH732" s="1503"/>
      <c r="EI732" s="1503"/>
      <c r="EJ732" s="1503">
        <f t="shared" si="28"/>
        <v>0</v>
      </c>
      <c r="EK732" s="1503"/>
      <c r="EL732" s="1503"/>
      <c r="EM732" s="1503"/>
      <c r="EN732" s="1503"/>
      <c r="EO732" s="1503">
        <f t="shared" si="29"/>
        <v>0</v>
      </c>
      <c r="EP732" s="1503"/>
      <c r="EQ732" s="1503"/>
      <c r="ER732" s="1503"/>
      <c r="ES732" s="1503"/>
      <c r="ET732" s="1503">
        <f t="shared" si="30"/>
        <v>0</v>
      </c>
      <c r="EU732" s="1503"/>
      <c r="EV732" s="1503"/>
      <c r="EW732" s="1503"/>
      <c r="EX732" s="1503"/>
      <c r="EZ732" s="1519" t="str">
        <f t="shared" si="31"/>
        <v/>
      </c>
      <c r="FA732" s="1520"/>
      <c r="FB732" s="1520"/>
      <c r="FC732" s="1520"/>
      <c r="FD732" s="1521"/>
      <c r="FE732" s="1519" t="str">
        <f t="shared" si="32"/>
        <v/>
      </c>
      <c r="FF732" s="1520"/>
      <c r="FG732" s="1520"/>
      <c r="FH732" s="1520"/>
      <c r="FI732" s="1521"/>
      <c r="FJ732" s="1519" t="str">
        <f t="shared" si="33"/>
        <v/>
      </c>
      <c r="FK732" s="1520"/>
      <c r="FL732" s="1520"/>
      <c r="FM732" s="1520"/>
      <c r="FN732" s="1521"/>
      <c r="FO732" s="1519" t="str">
        <f t="shared" si="34"/>
        <v/>
      </c>
      <c r="FP732" s="1520"/>
      <c r="FQ732" s="1520"/>
      <c r="FR732" s="1520"/>
      <c r="FS732" s="1521"/>
      <c r="FT732" s="1519" t="str">
        <f t="shared" si="35"/>
        <v/>
      </c>
      <c r="FU732" s="1520"/>
      <c r="FV732" s="1520"/>
      <c r="FW732" s="1520"/>
      <c r="FX732" s="1521"/>
      <c r="FY732" s="1519" t="str">
        <f t="shared" si="36"/>
        <v/>
      </c>
      <c r="FZ732" s="1520"/>
      <c r="GA732" s="1520"/>
      <c r="GB732" s="1520"/>
      <c r="GC732" s="1521"/>
    </row>
    <row r="733" spans="1:185" ht="12.95" customHeight="1">
      <c r="B733" s="1322"/>
      <c r="C733" s="1323"/>
      <c r="D733" s="1323"/>
      <c r="E733" s="1323"/>
      <c r="F733" s="1324"/>
      <c r="G733" s="1316"/>
      <c r="H733" s="1317"/>
      <c r="I733" s="1317"/>
      <c r="J733" s="1318"/>
      <c r="K733" s="1319"/>
      <c r="L733" s="1320"/>
      <c r="M733" s="1320"/>
      <c r="N733" s="1321"/>
      <c r="O733" s="1369"/>
      <c r="P733" s="1370"/>
      <c r="Q733" s="1370"/>
      <c r="R733" s="1370"/>
      <c r="S733" s="1371"/>
      <c r="T733" s="1369"/>
      <c r="U733" s="1370"/>
      <c r="V733" s="1370"/>
      <c r="W733" s="1371"/>
      <c r="X733" s="1398">
        <f t="shared" si="9"/>
        <v>0</v>
      </c>
      <c r="Y733" s="1399"/>
      <c r="Z733" s="1399"/>
      <c r="AA733" s="1399"/>
      <c r="AB733" s="1400"/>
      <c r="AC733" s="1382"/>
      <c r="AD733" s="1383"/>
      <c r="AE733" s="1383"/>
      <c r="AF733" s="1383"/>
      <c r="AG733" s="1384"/>
      <c r="AH733" s="1401" t="str">
        <f t="shared" si="37"/>
        <v/>
      </c>
      <c r="AI733" s="1402"/>
      <c r="AJ733" s="1403"/>
      <c r="AK733" s="1322" t="s">
        <v>589</v>
      </c>
      <c r="AL733" s="1323"/>
      <c r="AM733" s="1323"/>
      <c r="AN733" s="1323"/>
      <c r="AO733" s="1324"/>
      <c r="AP733" s="3"/>
      <c r="AQ733" s="3"/>
      <c r="AR733" s="3"/>
      <c r="AS733" s="3"/>
      <c r="AY733" s="1075"/>
      <c r="AZ733" s="118" t="str">
        <f t="shared" si="10"/>
        <v>N/A</v>
      </c>
      <c r="BA733" s="3"/>
      <c r="BB733" s="3"/>
      <c r="BC733" s="3"/>
      <c r="BD733" s="3"/>
      <c r="BE733" s="204"/>
      <c r="BF733" s="294">
        <f t="shared" si="11"/>
        <v>0</v>
      </c>
      <c r="BG733" s="297">
        <f t="shared" si="12"/>
        <v>0</v>
      </c>
      <c r="BH733" s="298" t="str">
        <f t="shared" si="13"/>
        <v/>
      </c>
      <c r="BI733" s="3"/>
      <c r="BJ733" s="3"/>
      <c r="BK733" s="3"/>
      <c r="BL733" s="3"/>
      <c r="BM733" s="3"/>
      <c r="BN733" s="3"/>
      <c r="BS733" s="294">
        <f t="shared" si="14"/>
        <v>0</v>
      </c>
      <c r="BT733" s="297">
        <f t="shared" si="15"/>
        <v>0</v>
      </c>
      <c r="BU733" s="298" t="str">
        <f t="shared" si="16"/>
        <v/>
      </c>
      <c r="BV733" s="292"/>
      <c r="BW733" s="3"/>
      <c r="BX733" s="3"/>
      <c r="BY733" s="3"/>
      <c r="BZ733" s="3"/>
      <c r="CA733" s="3"/>
      <c r="CB733" s="3"/>
      <c r="CC733" s="3"/>
      <c r="CE733" s="3"/>
      <c r="CF733" s="3"/>
      <c r="CG733" s="1519">
        <f t="shared" si="38"/>
        <v>0</v>
      </c>
      <c r="CH733" s="1521"/>
      <c r="CI733" s="1497">
        <f t="shared" si="39"/>
        <v>0</v>
      </c>
      <c r="CJ733" s="1498"/>
      <c r="CK733" s="1519">
        <f t="shared" si="17"/>
        <v>0</v>
      </c>
      <c r="CL733" s="1521"/>
      <c r="CM733" s="1497">
        <f t="shared" si="18"/>
        <v>0</v>
      </c>
      <c r="CN733" s="1498"/>
      <c r="CO733" s="3"/>
      <c r="CP733" s="1515">
        <f t="shared" si="19"/>
        <v>0</v>
      </c>
      <c r="CQ733" s="1516"/>
      <c r="CR733" s="1516"/>
      <c r="CS733" s="1516"/>
      <c r="CT733" s="1517"/>
      <c r="CU733" s="1513">
        <f t="shared" si="20"/>
        <v>0</v>
      </c>
      <c r="CV733" s="1513"/>
      <c r="CW733" s="1513"/>
      <c r="CX733" s="1513"/>
      <c r="CY733" s="1513"/>
      <c r="CZ733" s="1513">
        <f t="shared" si="21"/>
        <v>0</v>
      </c>
      <c r="DA733" s="1513"/>
      <c r="DB733" s="1513"/>
      <c r="DC733" s="1513"/>
      <c r="DD733" s="1513"/>
      <c r="DE733" s="1513">
        <f t="shared" si="22"/>
        <v>0</v>
      </c>
      <c r="DF733" s="1513"/>
      <c r="DG733" s="1513"/>
      <c r="DH733" s="1513"/>
      <c r="DI733" s="1513"/>
      <c r="DJ733" s="1513">
        <f t="shared" si="23"/>
        <v>0</v>
      </c>
      <c r="DK733" s="1513"/>
      <c r="DL733" s="1513"/>
      <c r="DM733" s="1513"/>
      <c r="DN733" s="1513"/>
      <c r="DO733" s="1513">
        <f t="shared" si="24"/>
        <v>0</v>
      </c>
      <c r="DP733" s="1513"/>
      <c r="DQ733" s="1513"/>
      <c r="DR733" s="1513"/>
      <c r="DS733" s="1513"/>
      <c r="DT733" s="6"/>
      <c r="DU733" s="1503">
        <f t="shared" si="25"/>
        <v>0</v>
      </c>
      <c r="DV733" s="1503"/>
      <c r="DW733" s="1503"/>
      <c r="DX733" s="1503"/>
      <c r="DY733" s="1503"/>
      <c r="DZ733" s="1503">
        <f t="shared" si="26"/>
        <v>0</v>
      </c>
      <c r="EA733" s="1503"/>
      <c r="EB733" s="1503"/>
      <c r="EC733" s="1503"/>
      <c r="ED733" s="1503"/>
      <c r="EE733" s="1503">
        <f t="shared" si="27"/>
        <v>0</v>
      </c>
      <c r="EF733" s="1503"/>
      <c r="EG733" s="1503"/>
      <c r="EH733" s="1503"/>
      <c r="EI733" s="1503"/>
      <c r="EJ733" s="1503">
        <f t="shared" si="28"/>
        <v>0</v>
      </c>
      <c r="EK733" s="1503"/>
      <c r="EL733" s="1503"/>
      <c r="EM733" s="1503"/>
      <c r="EN733" s="1503"/>
      <c r="EO733" s="1503">
        <f t="shared" si="29"/>
        <v>0</v>
      </c>
      <c r="EP733" s="1503"/>
      <c r="EQ733" s="1503"/>
      <c r="ER733" s="1503"/>
      <c r="ES733" s="1503"/>
      <c r="ET733" s="1503">
        <f t="shared" si="30"/>
        <v>0</v>
      </c>
      <c r="EU733" s="1503"/>
      <c r="EV733" s="1503"/>
      <c r="EW733" s="1503"/>
      <c r="EX733" s="1503"/>
      <c r="EZ733" s="1519" t="str">
        <f t="shared" si="31"/>
        <v/>
      </c>
      <c r="FA733" s="1520"/>
      <c r="FB733" s="1520"/>
      <c r="FC733" s="1520"/>
      <c r="FD733" s="1521"/>
      <c r="FE733" s="1519" t="str">
        <f t="shared" si="32"/>
        <v/>
      </c>
      <c r="FF733" s="1520"/>
      <c r="FG733" s="1520"/>
      <c r="FH733" s="1520"/>
      <c r="FI733" s="1521"/>
      <c r="FJ733" s="1519" t="str">
        <f t="shared" si="33"/>
        <v/>
      </c>
      <c r="FK733" s="1520"/>
      <c r="FL733" s="1520"/>
      <c r="FM733" s="1520"/>
      <c r="FN733" s="1521"/>
      <c r="FO733" s="1519" t="str">
        <f t="shared" si="34"/>
        <v/>
      </c>
      <c r="FP733" s="1520"/>
      <c r="FQ733" s="1520"/>
      <c r="FR733" s="1520"/>
      <c r="FS733" s="1521"/>
      <c r="FT733" s="1519" t="str">
        <f t="shared" si="35"/>
        <v/>
      </c>
      <c r="FU733" s="1520"/>
      <c r="FV733" s="1520"/>
      <c r="FW733" s="1520"/>
      <c r="FX733" s="1521"/>
      <c r="FY733" s="1519" t="str">
        <f t="shared" si="36"/>
        <v/>
      </c>
      <c r="FZ733" s="1520"/>
      <c r="GA733" s="1520"/>
      <c r="GB733" s="1520"/>
      <c r="GC733" s="1521"/>
    </row>
    <row r="734" spans="1:185" ht="12.95" customHeight="1">
      <c r="B734" s="1322"/>
      <c r="C734" s="1323"/>
      <c r="D734" s="1323"/>
      <c r="E734" s="1323"/>
      <c r="F734" s="1324"/>
      <c r="G734" s="1316"/>
      <c r="H734" s="1317"/>
      <c r="I734" s="1317"/>
      <c r="J734" s="1318"/>
      <c r="K734" s="1319"/>
      <c r="L734" s="1320"/>
      <c r="M734" s="1320"/>
      <c r="N734" s="1321"/>
      <c r="O734" s="1369"/>
      <c r="P734" s="1370"/>
      <c r="Q734" s="1370"/>
      <c r="R734" s="1370"/>
      <c r="S734" s="1371"/>
      <c r="T734" s="1369"/>
      <c r="U734" s="1370"/>
      <c r="V734" s="1370"/>
      <c r="W734" s="1371"/>
      <c r="X734" s="1398">
        <f t="shared" si="9"/>
        <v>0</v>
      </c>
      <c r="Y734" s="1399"/>
      <c r="Z734" s="1399"/>
      <c r="AA734" s="1399"/>
      <c r="AB734" s="1400"/>
      <c r="AC734" s="1382"/>
      <c r="AD734" s="1383"/>
      <c r="AE734" s="1383"/>
      <c r="AF734" s="1383"/>
      <c r="AG734" s="1384"/>
      <c r="AH734" s="1401" t="str">
        <f t="shared" si="37"/>
        <v/>
      </c>
      <c r="AI734" s="1402"/>
      <c r="AJ734" s="1403"/>
      <c r="AK734" s="1322" t="s">
        <v>589</v>
      </c>
      <c r="AL734" s="1323"/>
      <c r="AM734" s="1323"/>
      <c r="AN734" s="1323"/>
      <c r="AO734" s="1324"/>
      <c r="AP734" s="3"/>
      <c r="AQ734" s="3"/>
      <c r="AR734" s="3"/>
      <c r="AS734" s="3"/>
      <c r="AY734" s="1075"/>
      <c r="AZ734" s="118" t="str">
        <f t="shared" si="10"/>
        <v>N/A</v>
      </c>
      <c r="BA734" s="3"/>
      <c r="BB734" s="3"/>
      <c r="BC734" s="3"/>
      <c r="BD734" s="3"/>
      <c r="BE734" s="204"/>
      <c r="BF734" s="294">
        <f t="shared" si="11"/>
        <v>0</v>
      </c>
      <c r="BG734" s="297">
        <f t="shared" si="12"/>
        <v>0</v>
      </c>
      <c r="BH734" s="298" t="str">
        <f t="shared" si="13"/>
        <v/>
      </c>
      <c r="BI734" s="3"/>
      <c r="BJ734" s="3"/>
      <c r="BK734" s="3"/>
      <c r="BL734" s="3"/>
      <c r="BM734" s="3"/>
      <c r="BN734" s="3"/>
      <c r="BS734" s="294">
        <f t="shared" si="14"/>
        <v>0</v>
      </c>
      <c r="BT734" s="297">
        <f t="shared" si="15"/>
        <v>0</v>
      </c>
      <c r="BU734" s="298" t="str">
        <f t="shared" si="16"/>
        <v/>
      </c>
      <c r="BV734" s="3"/>
      <c r="BW734" s="3"/>
      <c r="BX734" s="3"/>
      <c r="BY734" s="3"/>
      <c r="BZ734" s="3"/>
      <c r="CA734" s="3"/>
      <c r="CB734" s="3"/>
      <c r="CC734" s="3"/>
      <c r="CE734" s="3"/>
      <c r="CF734" s="3"/>
      <c r="CG734" s="1519">
        <f t="shared" si="38"/>
        <v>0</v>
      </c>
      <c r="CH734" s="1521"/>
      <c r="CI734" s="1497">
        <f t="shared" si="39"/>
        <v>0</v>
      </c>
      <c r="CJ734" s="1498"/>
      <c r="CK734" s="1519">
        <f t="shared" si="17"/>
        <v>0</v>
      </c>
      <c r="CL734" s="1521"/>
      <c r="CM734" s="1497">
        <f t="shared" si="18"/>
        <v>0</v>
      </c>
      <c r="CN734" s="1498"/>
      <c r="CO734" s="3"/>
      <c r="CP734" s="1515">
        <f t="shared" si="19"/>
        <v>0</v>
      </c>
      <c r="CQ734" s="1516"/>
      <c r="CR734" s="1516"/>
      <c r="CS734" s="1516"/>
      <c r="CT734" s="1517"/>
      <c r="CU734" s="1513">
        <f t="shared" si="20"/>
        <v>0</v>
      </c>
      <c r="CV734" s="1513"/>
      <c r="CW734" s="1513"/>
      <c r="CX734" s="1513"/>
      <c r="CY734" s="1513"/>
      <c r="CZ734" s="1513">
        <f t="shared" si="21"/>
        <v>0</v>
      </c>
      <c r="DA734" s="1513"/>
      <c r="DB734" s="1513"/>
      <c r="DC734" s="1513"/>
      <c r="DD734" s="1513"/>
      <c r="DE734" s="1513">
        <f t="shared" si="22"/>
        <v>0</v>
      </c>
      <c r="DF734" s="1513"/>
      <c r="DG734" s="1513"/>
      <c r="DH734" s="1513"/>
      <c r="DI734" s="1513"/>
      <c r="DJ734" s="1513">
        <f t="shared" si="23"/>
        <v>0</v>
      </c>
      <c r="DK734" s="1513"/>
      <c r="DL734" s="1513"/>
      <c r="DM734" s="1513"/>
      <c r="DN734" s="1513"/>
      <c r="DO734" s="1513">
        <f t="shared" si="24"/>
        <v>0</v>
      </c>
      <c r="DP734" s="1513"/>
      <c r="DQ734" s="1513"/>
      <c r="DR734" s="1513"/>
      <c r="DS734" s="1513"/>
      <c r="DT734" s="6"/>
      <c r="DU734" s="1503">
        <f t="shared" si="25"/>
        <v>0</v>
      </c>
      <c r="DV734" s="1503"/>
      <c r="DW734" s="1503"/>
      <c r="DX734" s="1503"/>
      <c r="DY734" s="1503"/>
      <c r="DZ734" s="1503">
        <f t="shared" si="26"/>
        <v>0</v>
      </c>
      <c r="EA734" s="1503"/>
      <c r="EB734" s="1503"/>
      <c r="EC734" s="1503"/>
      <c r="ED734" s="1503"/>
      <c r="EE734" s="1503">
        <f t="shared" si="27"/>
        <v>0</v>
      </c>
      <c r="EF734" s="1503"/>
      <c r="EG734" s="1503"/>
      <c r="EH734" s="1503"/>
      <c r="EI734" s="1503"/>
      <c r="EJ734" s="1503">
        <f t="shared" si="28"/>
        <v>0</v>
      </c>
      <c r="EK734" s="1503"/>
      <c r="EL734" s="1503"/>
      <c r="EM734" s="1503"/>
      <c r="EN734" s="1503"/>
      <c r="EO734" s="1503">
        <f t="shared" si="29"/>
        <v>0</v>
      </c>
      <c r="EP734" s="1503"/>
      <c r="EQ734" s="1503"/>
      <c r="ER734" s="1503"/>
      <c r="ES734" s="1503"/>
      <c r="ET734" s="1503">
        <f t="shared" si="30"/>
        <v>0</v>
      </c>
      <c r="EU734" s="1503"/>
      <c r="EV734" s="1503"/>
      <c r="EW734" s="1503"/>
      <c r="EX734" s="1503"/>
      <c r="EY734" s="4"/>
      <c r="EZ734" s="1519" t="str">
        <f t="shared" si="31"/>
        <v/>
      </c>
      <c r="FA734" s="1520"/>
      <c r="FB734" s="1520"/>
      <c r="FC734" s="1520"/>
      <c r="FD734" s="1521"/>
      <c r="FE734" s="1519" t="str">
        <f t="shared" si="32"/>
        <v/>
      </c>
      <c r="FF734" s="1520"/>
      <c r="FG734" s="1520"/>
      <c r="FH734" s="1520"/>
      <c r="FI734" s="1521"/>
      <c r="FJ734" s="1519" t="str">
        <f t="shared" si="33"/>
        <v/>
      </c>
      <c r="FK734" s="1520"/>
      <c r="FL734" s="1520"/>
      <c r="FM734" s="1520"/>
      <c r="FN734" s="1521"/>
      <c r="FO734" s="1519" t="str">
        <f t="shared" si="34"/>
        <v/>
      </c>
      <c r="FP734" s="1520"/>
      <c r="FQ734" s="1520"/>
      <c r="FR734" s="1520"/>
      <c r="FS734" s="1521"/>
      <c r="FT734" s="1519" t="str">
        <f t="shared" si="35"/>
        <v/>
      </c>
      <c r="FU734" s="1520"/>
      <c r="FV734" s="1520"/>
      <c r="FW734" s="1520"/>
      <c r="FX734" s="1521"/>
      <c r="FY734" s="1519" t="str">
        <f t="shared" si="36"/>
        <v/>
      </c>
      <c r="FZ734" s="1520"/>
      <c r="GA734" s="1520"/>
      <c r="GB734" s="1520"/>
      <c r="GC734" s="1521"/>
    </row>
    <row r="735" spans="1:185" ht="12.95" customHeight="1">
      <c r="A735" s="4"/>
      <c r="B735" s="1322"/>
      <c r="C735" s="1323"/>
      <c r="D735" s="1323"/>
      <c r="E735" s="1323"/>
      <c r="F735" s="1324"/>
      <c r="G735" s="1316"/>
      <c r="H735" s="1317"/>
      <c r="I735" s="1317"/>
      <c r="J735" s="1318"/>
      <c r="K735" s="1319"/>
      <c r="L735" s="1320"/>
      <c r="M735" s="1320"/>
      <c r="N735" s="1321"/>
      <c r="O735" s="1369"/>
      <c r="P735" s="1370"/>
      <c r="Q735" s="1370"/>
      <c r="R735" s="1370"/>
      <c r="S735" s="1371"/>
      <c r="T735" s="1369"/>
      <c r="U735" s="1370"/>
      <c r="V735" s="1370"/>
      <c r="W735" s="1371"/>
      <c r="X735" s="1398">
        <f t="shared" si="9"/>
        <v>0</v>
      </c>
      <c r="Y735" s="1399"/>
      <c r="Z735" s="1399"/>
      <c r="AA735" s="1399"/>
      <c r="AB735" s="1400"/>
      <c r="AC735" s="1382"/>
      <c r="AD735" s="1383"/>
      <c r="AE735" s="1383"/>
      <c r="AF735" s="1383"/>
      <c r="AG735" s="1384"/>
      <c r="AH735" s="1401" t="str">
        <f t="shared" si="37"/>
        <v/>
      </c>
      <c r="AI735" s="1402"/>
      <c r="AJ735" s="1403"/>
      <c r="AK735" s="1322" t="s">
        <v>589</v>
      </c>
      <c r="AL735" s="1323"/>
      <c r="AM735" s="1323"/>
      <c r="AN735" s="1323"/>
      <c r="AO735" s="1324"/>
      <c r="AP735" s="3"/>
      <c r="AQ735" s="3"/>
      <c r="AR735" s="3"/>
      <c r="AS735" s="3"/>
      <c r="AY735" s="1075"/>
      <c r="AZ735" s="118" t="str">
        <f t="shared" si="10"/>
        <v>N/A</v>
      </c>
      <c r="BA735" s="3"/>
      <c r="BB735" s="3"/>
      <c r="BC735" s="3"/>
      <c r="BD735" s="3"/>
      <c r="BE735" s="204"/>
      <c r="BF735" s="294">
        <f t="shared" si="11"/>
        <v>0</v>
      </c>
      <c r="BG735" s="297">
        <f t="shared" si="12"/>
        <v>0</v>
      </c>
      <c r="BH735" s="298" t="str">
        <f t="shared" si="13"/>
        <v/>
      </c>
      <c r="BI735" s="3"/>
      <c r="BJ735" s="3"/>
      <c r="BK735" s="3"/>
      <c r="BL735" s="3"/>
      <c r="BM735" s="3"/>
      <c r="BN735" s="3"/>
      <c r="BS735" s="294">
        <f t="shared" si="14"/>
        <v>0</v>
      </c>
      <c r="BT735" s="297">
        <f t="shared" si="15"/>
        <v>0</v>
      </c>
      <c r="BU735" s="298" t="str">
        <f t="shared" si="16"/>
        <v/>
      </c>
      <c r="BV735" s="3"/>
      <c r="BW735" s="3"/>
      <c r="BX735" s="3"/>
      <c r="BY735" s="3"/>
      <c r="BZ735" s="3"/>
      <c r="CA735" s="3"/>
      <c r="CB735" s="3"/>
      <c r="CC735" s="3"/>
      <c r="CE735" s="3"/>
      <c r="CF735" s="3"/>
      <c r="CG735" s="1519">
        <f t="shared" si="38"/>
        <v>0</v>
      </c>
      <c r="CH735" s="1521"/>
      <c r="CI735" s="1497">
        <f t="shared" si="39"/>
        <v>0</v>
      </c>
      <c r="CJ735" s="1498"/>
      <c r="CK735" s="1519">
        <f t="shared" si="17"/>
        <v>0</v>
      </c>
      <c r="CL735" s="1521"/>
      <c r="CM735" s="1497">
        <f t="shared" si="18"/>
        <v>0</v>
      </c>
      <c r="CN735" s="1498"/>
      <c r="CO735" s="3"/>
      <c r="CP735" s="1515">
        <f t="shared" si="19"/>
        <v>0</v>
      </c>
      <c r="CQ735" s="1516"/>
      <c r="CR735" s="1516"/>
      <c r="CS735" s="1516"/>
      <c r="CT735" s="1517"/>
      <c r="CU735" s="1513">
        <f t="shared" si="20"/>
        <v>0</v>
      </c>
      <c r="CV735" s="1513"/>
      <c r="CW735" s="1513"/>
      <c r="CX735" s="1513"/>
      <c r="CY735" s="1513"/>
      <c r="CZ735" s="1513">
        <f t="shared" si="21"/>
        <v>0</v>
      </c>
      <c r="DA735" s="1513"/>
      <c r="DB735" s="1513"/>
      <c r="DC735" s="1513"/>
      <c r="DD735" s="1513"/>
      <c r="DE735" s="1513">
        <f t="shared" si="22"/>
        <v>0</v>
      </c>
      <c r="DF735" s="1513"/>
      <c r="DG735" s="1513"/>
      <c r="DH735" s="1513"/>
      <c r="DI735" s="1513"/>
      <c r="DJ735" s="1513">
        <f t="shared" si="23"/>
        <v>0</v>
      </c>
      <c r="DK735" s="1513"/>
      <c r="DL735" s="1513"/>
      <c r="DM735" s="1513"/>
      <c r="DN735" s="1513"/>
      <c r="DO735" s="1513">
        <f t="shared" si="24"/>
        <v>0</v>
      </c>
      <c r="DP735" s="1513"/>
      <c r="DQ735" s="1513"/>
      <c r="DR735" s="1513"/>
      <c r="DS735" s="1513"/>
      <c r="DT735" s="6"/>
      <c r="DU735" s="1503">
        <f t="shared" si="25"/>
        <v>0</v>
      </c>
      <c r="DV735" s="1503"/>
      <c r="DW735" s="1503"/>
      <c r="DX735" s="1503"/>
      <c r="DY735" s="1503"/>
      <c r="DZ735" s="1503">
        <f t="shared" si="26"/>
        <v>0</v>
      </c>
      <c r="EA735" s="1503"/>
      <c r="EB735" s="1503"/>
      <c r="EC735" s="1503"/>
      <c r="ED735" s="1503"/>
      <c r="EE735" s="1503">
        <f t="shared" si="27"/>
        <v>0</v>
      </c>
      <c r="EF735" s="1503"/>
      <c r="EG735" s="1503"/>
      <c r="EH735" s="1503"/>
      <c r="EI735" s="1503"/>
      <c r="EJ735" s="1503">
        <f t="shared" si="28"/>
        <v>0</v>
      </c>
      <c r="EK735" s="1503"/>
      <c r="EL735" s="1503"/>
      <c r="EM735" s="1503"/>
      <c r="EN735" s="1503"/>
      <c r="EO735" s="1503">
        <f t="shared" si="29"/>
        <v>0</v>
      </c>
      <c r="EP735" s="1503"/>
      <c r="EQ735" s="1503"/>
      <c r="ER735" s="1503"/>
      <c r="ES735" s="1503"/>
      <c r="ET735" s="1503">
        <f t="shared" si="30"/>
        <v>0</v>
      </c>
      <c r="EU735" s="1503"/>
      <c r="EV735" s="1503"/>
      <c r="EW735" s="1503"/>
      <c r="EX735" s="1503"/>
      <c r="EY735" s="4"/>
      <c r="EZ735" s="1519" t="str">
        <f t="shared" si="31"/>
        <v/>
      </c>
      <c r="FA735" s="1520"/>
      <c r="FB735" s="1520"/>
      <c r="FC735" s="1520"/>
      <c r="FD735" s="1521"/>
      <c r="FE735" s="1519" t="str">
        <f t="shared" si="32"/>
        <v/>
      </c>
      <c r="FF735" s="1520"/>
      <c r="FG735" s="1520"/>
      <c r="FH735" s="1520"/>
      <c r="FI735" s="1521"/>
      <c r="FJ735" s="1519" t="str">
        <f t="shared" si="33"/>
        <v/>
      </c>
      <c r="FK735" s="1520"/>
      <c r="FL735" s="1520"/>
      <c r="FM735" s="1520"/>
      <c r="FN735" s="1521"/>
      <c r="FO735" s="1519" t="str">
        <f t="shared" si="34"/>
        <v/>
      </c>
      <c r="FP735" s="1520"/>
      <c r="FQ735" s="1520"/>
      <c r="FR735" s="1520"/>
      <c r="FS735" s="1521"/>
      <c r="FT735" s="1519" t="str">
        <f t="shared" si="35"/>
        <v/>
      </c>
      <c r="FU735" s="1520"/>
      <c r="FV735" s="1520"/>
      <c r="FW735" s="1520"/>
      <c r="FX735" s="1521"/>
      <c r="FY735" s="1519" t="str">
        <f t="shared" si="36"/>
        <v/>
      </c>
      <c r="FZ735" s="1520"/>
      <c r="GA735" s="1520"/>
      <c r="GB735" s="1520"/>
      <c r="GC735" s="1521"/>
    </row>
    <row r="736" spans="1:185" ht="12.95" customHeight="1">
      <c r="A736" s="4"/>
      <c r="B736" s="1322"/>
      <c r="C736" s="1323"/>
      <c r="D736" s="1323"/>
      <c r="E736" s="1323"/>
      <c r="F736" s="1324"/>
      <c r="G736" s="1316"/>
      <c r="H736" s="1317"/>
      <c r="I736" s="1317"/>
      <c r="J736" s="1318"/>
      <c r="K736" s="1319"/>
      <c r="L736" s="1320"/>
      <c r="M736" s="1320"/>
      <c r="N736" s="1321"/>
      <c r="O736" s="1369"/>
      <c r="P736" s="1370"/>
      <c r="Q736" s="1370"/>
      <c r="R736" s="1370"/>
      <c r="S736" s="1371"/>
      <c r="T736" s="1369"/>
      <c r="U736" s="1370"/>
      <c r="V736" s="1370"/>
      <c r="W736" s="1371"/>
      <c r="X736" s="1398">
        <f t="shared" si="9"/>
        <v>0</v>
      </c>
      <c r="Y736" s="1399"/>
      <c r="Z736" s="1399"/>
      <c r="AA736" s="1399"/>
      <c r="AB736" s="1400"/>
      <c r="AC736" s="1382"/>
      <c r="AD736" s="1383"/>
      <c r="AE736" s="1383"/>
      <c r="AF736" s="1383"/>
      <c r="AG736" s="1384"/>
      <c r="AH736" s="1401" t="str">
        <f t="shared" si="37"/>
        <v/>
      </c>
      <c r="AI736" s="1402"/>
      <c r="AJ736" s="1403"/>
      <c r="AK736" s="1322" t="s">
        <v>589</v>
      </c>
      <c r="AL736" s="1323"/>
      <c r="AM736" s="1323"/>
      <c r="AN736" s="1323"/>
      <c r="AO736" s="1324"/>
      <c r="AP736" s="3"/>
      <c r="AQ736" s="3"/>
      <c r="AR736" s="3"/>
      <c r="AS736" s="3"/>
      <c r="AY736" s="1075"/>
      <c r="AZ736" s="118" t="str">
        <f t="shared" si="10"/>
        <v>N/A</v>
      </c>
      <c r="BA736" s="3"/>
      <c r="BB736" s="3"/>
      <c r="BC736" s="3"/>
      <c r="BD736" s="3"/>
      <c r="BE736" s="204"/>
      <c r="BF736" s="294">
        <f t="shared" si="11"/>
        <v>0</v>
      </c>
      <c r="BG736" s="297">
        <f t="shared" si="12"/>
        <v>0</v>
      </c>
      <c r="BH736" s="298" t="str">
        <f t="shared" si="13"/>
        <v/>
      </c>
      <c r="BI736" s="3"/>
      <c r="BJ736" s="3"/>
      <c r="BK736" s="3"/>
      <c r="BL736" s="3"/>
      <c r="BM736" s="3"/>
      <c r="BN736" s="3"/>
      <c r="BS736" s="294">
        <f t="shared" si="14"/>
        <v>0</v>
      </c>
      <c r="BT736" s="297">
        <f t="shared" si="15"/>
        <v>0</v>
      </c>
      <c r="BU736" s="298" t="str">
        <f t="shared" si="16"/>
        <v/>
      </c>
      <c r="BV736" s="3"/>
      <c r="BW736" s="3"/>
      <c r="BX736" s="3"/>
      <c r="BY736" s="3"/>
      <c r="BZ736" s="3"/>
      <c r="CA736" s="3"/>
      <c r="CB736" s="3"/>
      <c r="CC736" s="3"/>
      <c r="CE736" s="3"/>
      <c r="CF736" s="3"/>
      <c r="CG736" s="1519">
        <f t="shared" si="38"/>
        <v>0</v>
      </c>
      <c r="CH736" s="1521"/>
      <c r="CI736" s="1497">
        <f t="shared" si="39"/>
        <v>0</v>
      </c>
      <c r="CJ736" s="1498"/>
      <c r="CK736" s="1519">
        <f t="shared" si="17"/>
        <v>0</v>
      </c>
      <c r="CL736" s="1521"/>
      <c r="CM736" s="1497">
        <f t="shared" si="18"/>
        <v>0</v>
      </c>
      <c r="CN736" s="1498"/>
      <c r="CO736" s="3"/>
      <c r="CP736" s="1515">
        <f t="shared" si="19"/>
        <v>0</v>
      </c>
      <c r="CQ736" s="1516"/>
      <c r="CR736" s="1516"/>
      <c r="CS736" s="1516"/>
      <c r="CT736" s="1517"/>
      <c r="CU736" s="1513">
        <f t="shared" si="20"/>
        <v>0</v>
      </c>
      <c r="CV736" s="1513"/>
      <c r="CW736" s="1513"/>
      <c r="CX736" s="1513"/>
      <c r="CY736" s="1513"/>
      <c r="CZ736" s="1513">
        <f t="shared" si="21"/>
        <v>0</v>
      </c>
      <c r="DA736" s="1513"/>
      <c r="DB736" s="1513"/>
      <c r="DC736" s="1513"/>
      <c r="DD736" s="1513"/>
      <c r="DE736" s="1513">
        <f t="shared" si="22"/>
        <v>0</v>
      </c>
      <c r="DF736" s="1513"/>
      <c r="DG736" s="1513"/>
      <c r="DH736" s="1513"/>
      <c r="DI736" s="1513"/>
      <c r="DJ736" s="1513">
        <f t="shared" si="23"/>
        <v>0</v>
      </c>
      <c r="DK736" s="1513"/>
      <c r="DL736" s="1513"/>
      <c r="DM736" s="1513"/>
      <c r="DN736" s="1513"/>
      <c r="DO736" s="1513">
        <f t="shared" si="24"/>
        <v>0</v>
      </c>
      <c r="DP736" s="1513"/>
      <c r="DQ736" s="1513"/>
      <c r="DR736" s="1513"/>
      <c r="DS736" s="1513"/>
      <c r="DT736" s="6"/>
      <c r="DU736" s="1503">
        <f t="shared" si="25"/>
        <v>0</v>
      </c>
      <c r="DV736" s="1503"/>
      <c r="DW736" s="1503"/>
      <c r="DX736" s="1503"/>
      <c r="DY736" s="1503"/>
      <c r="DZ736" s="1503">
        <f t="shared" si="26"/>
        <v>0</v>
      </c>
      <c r="EA736" s="1503"/>
      <c r="EB736" s="1503"/>
      <c r="EC736" s="1503"/>
      <c r="ED736" s="1503"/>
      <c r="EE736" s="1503">
        <f t="shared" si="27"/>
        <v>0</v>
      </c>
      <c r="EF736" s="1503"/>
      <c r="EG736" s="1503"/>
      <c r="EH736" s="1503"/>
      <c r="EI736" s="1503"/>
      <c r="EJ736" s="1503">
        <f t="shared" si="28"/>
        <v>0</v>
      </c>
      <c r="EK736" s="1503"/>
      <c r="EL736" s="1503"/>
      <c r="EM736" s="1503"/>
      <c r="EN736" s="1503"/>
      <c r="EO736" s="1503">
        <f t="shared" si="29"/>
        <v>0</v>
      </c>
      <c r="EP736" s="1503"/>
      <c r="EQ736" s="1503"/>
      <c r="ER736" s="1503"/>
      <c r="ES736" s="1503"/>
      <c r="ET736" s="1503">
        <f t="shared" si="30"/>
        <v>0</v>
      </c>
      <c r="EU736" s="1503"/>
      <c r="EV736" s="1503"/>
      <c r="EW736" s="1503"/>
      <c r="EX736" s="1503"/>
      <c r="EY736" s="4"/>
      <c r="EZ736" s="1519" t="str">
        <f t="shared" si="31"/>
        <v/>
      </c>
      <c r="FA736" s="1520"/>
      <c r="FB736" s="1520"/>
      <c r="FC736" s="1520"/>
      <c r="FD736" s="1521"/>
      <c r="FE736" s="1519" t="str">
        <f t="shared" si="32"/>
        <v/>
      </c>
      <c r="FF736" s="1520"/>
      <c r="FG736" s="1520"/>
      <c r="FH736" s="1520"/>
      <c r="FI736" s="1521"/>
      <c r="FJ736" s="1519" t="str">
        <f t="shared" si="33"/>
        <v/>
      </c>
      <c r="FK736" s="1520"/>
      <c r="FL736" s="1520"/>
      <c r="FM736" s="1520"/>
      <c r="FN736" s="1521"/>
      <c r="FO736" s="1519" t="str">
        <f t="shared" si="34"/>
        <v/>
      </c>
      <c r="FP736" s="1520"/>
      <c r="FQ736" s="1520"/>
      <c r="FR736" s="1520"/>
      <c r="FS736" s="1521"/>
      <c r="FT736" s="1519" t="str">
        <f t="shared" si="35"/>
        <v/>
      </c>
      <c r="FU736" s="1520"/>
      <c r="FV736" s="1520"/>
      <c r="FW736" s="1520"/>
      <c r="FX736" s="1521"/>
      <c r="FY736" s="1519" t="str">
        <f t="shared" si="36"/>
        <v/>
      </c>
      <c r="FZ736" s="1520"/>
      <c r="GA736" s="1520"/>
      <c r="GB736" s="1520"/>
      <c r="GC736" s="1521"/>
    </row>
    <row r="737" spans="1:185" ht="12.95" customHeight="1">
      <c r="A737" s="4"/>
      <c r="B737" s="1322"/>
      <c r="C737" s="1323"/>
      <c r="D737" s="1323"/>
      <c r="E737" s="1323"/>
      <c r="F737" s="1324"/>
      <c r="G737" s="1316"/>
      <c r="H737" s="1317"/>
      <c r="I737" s="1317"/>
      <c r="J737" s="1318"/>
      <c r="K737" s="1319"/>
      <c r="L737" s="1320"/>
      <c r="M737" s="1320"/>
      <c r="N737" s="1321"/>
      <c r="O737" s="1369"/>
      <c r="P737" s="1370"/>
      <c r="Q737" s="1370"/>
      <c r="R737" s="1370"/>
      <c r="S737" s="1371"/>
      <c r="T737" s="1369"/>
      <c r="U737" s="1370"/>
      <c r="V737" s="1370"/>
      <c r="W737" s="1371"/>
      <c r="X737" s="1398">
        <f t="shared" si="9"/>
        <v>0</v>
      </c>
      <c r="Y737" s="1399"/>
      <c r="Z737" s="1399"/>
      <c r="AA737" s="1399"/>
      <c r="AB737" s="1400"/>
      <c r="AC737" s="1382"/>
      <c r="AD737" s="1383"/>
      <c r="AE737" s="1383"/>
      <c r="AF737" s="1383"/>
      <c r="AG737" s="1384"/>
      <c r="AH737" s="1401" t="str">
        <f t="shared" si="37"/>
        <v/>
      </c>
      <c r="AI737" s="1402"/>
      <c r="AJ737" s="1403"/>
      <c r="AK737" s="1322" t="s">
        <v>589</v>
      </c>
      <c r="AL737" s="1323"/>
      <c r="AM737" s="1323"/>
      <c r="AN737" s="1323"/>
      <c r="AO737" s="1324"/>
      <c r="AP737" s="3"/>
      <c r="AQ737" s="3"/>
      <c r="AR737" s="3"/>
      <c r="AS737" s="3"/>
      <c r="AY737" s="1075"/>
      <c r="AZ737" s="118" t="str">
        <f t="shared" si="10"/>
        <v>N/A</v>
      </c>
      <c r="BA737" s="3"/>
      <c r="BB737" s="3"/>
      <c r="BC737" s="3"/>
      <c r="BD737" s="3"/>
      <c r="BE737" s="204"/>
      <c r="BF737" s="294">
        <f t="shared" si="11"/>
        <v>0</v>
      </c>
      <c r="BG737" s="297">
        <f t="shared" si="12"/>
        <v>0</v>
      </c>
      <c r="BH737" s="298" t="str">
        <f t="shared" si="13"/>
        <v/>
      </c>
      <c r="BI737" s="3"/>
      <c r="BJ737" s="3"/>
      <c r="BK737" s="3"/>
      <c r="BL737" s="3"/>
      <c r="BM737" s="3"/>
      <c r="BN737" s="3"/>
      <c r="BS737" s="294">
        <f t="shared" si="14"/>
        <v>0</v>
      </c>
      <c r="BT737" s="297">
        <f t="shared" si="15"/>
        <v>0</v>
      </c>
      <c r="BU737" s="298" t="str">
        <f t="shared" si="16"/>
        <v/>
      </c>
      <c r="BV737" s="3"/>
      <c r="BW737" s="3"/>
      <c r="BX737" s="3"/>
      <c r="BY737" s="3"/>
      <c r="BZ737" s="3"/>
      <c r="CA737" s="3"/>
      <c r="CB737" s="3"/>
      <c r="CC737" s="3"/>
      <c r="CE737" s="3"/>
      <c r="CF737" s="3"/>
      <c r="CG737" s="1519">
        <f t="shared" si="38"/>
        <v>0</v>
      </c>
      <c r="CH737" s="1521"/>
      <c r="CI737" s="1497">
        <f t="shared" si="39"/>
        <v>0</v>
      </c>
      <c r="CJ737" s="1498"/>
      <c r="CK737" s="1519">
        <f t="shared" si="17"/>
        <v>0</v>
      </c>
      <c r="CL737" s="1521"/>
      <c r="CM737" s="1497">
        <f t="shared" si="18"/>
        <v>0</v>
      </c>
      <c r="CN737" s="1498"/>
      <c r="CO737" s="3"/>
      <c r="CP737" s="1515">
        <f t="shared" si="19"/>
        <v>0</v>
      </c>
      <c r="CQ737" s="1516"/>
      <c r="CR737" s="1516"/>
      <c r="CS737" s="1516"/>
      <c r="CT737" s="1517"/>
      <c r="CU737" s="1513">
        <f t="shared" si="20"/>
        <v>0</v>
      </c>
      <c r="CV737" s="1513"/>
      <c r="CW737" s="1513"/>
      <c r="CX737" s="1513"/>
      <c r="CY737" s="1513"/>
      <c r="CZ737" s="1513">
        <f t="shared" si="21"/>
        <v>0</v>
      </c>
      <c r="DA737" s="1513"/>
      <c r="DB737" s="1513"/>
      <c r="DC737" s="1513"/>
      <c r="DD737" s="1513"/>
      <c r="DE737" s="1513">
        <f t="shared" si="22"/>
        <v>0</v>
      </c>
      <c r="DF737" s="1513"/>
      <c r="DG737" s="1513"/>
      <c r="DH737" s="1513"/>
      <c r="DI737" s="1513"/>
      <c r="DJ737" s="1513">
        <f t="shared" si="23"/>
        <v>0</v>
      </c>
      <c r="DK737" s="1513"/>
      <c r="DL737" s="1513"/>
      <c r="DM737" s="1513"/>
      <c r="DN737" s="1513"/>
      <c r="DO737" s="1513">
        <f t="shared" si="24"/>
        <v>0</v>
      </c>
      <c r="DP737" s="1513"/>
      <c r="DQ737" s="1513"/>
      <c r="DR737" s="1513"/>
      <c r="DS737" s="1513"/>
      <c r="DT737" s="6"/>
      <c r="DU737" s="1503">
        <f t="shared" si="25"/>
        <v>0</v>
      </c>
      <c r="DV737" s="1503"/>
      <c r="DW737" s="1503"/>
      <c r="DX737" s="1503"/>
      <c r="DY737" s="1503"/>
      <c r="DZ737" s="1503">
        <f t="shared" si="26"/>
        <v>0</v>
      </c>
      <c r="EA737" s="1503"/>
      <c r="EB737" s="1503"/>
      <c r="EC737" s="1503"/>
      <c r="ED737" s="1503"/>
      <c r="EE737" s="1503">
        <f t="shared" si="27"/>
        <v>0</v>
      </c>
      <c r="EF737" s="1503"/>
      <c r="EG737" s="1503"/>
      <c r="EH737" s="1503"/>
      <c r="EI737" s="1503"/>
      <c r="EJ737" s="1503">
        <f t="shared" si="28"/>
        <v>0</v>
      </c>
      <c r="EK737" s="1503"/>
      <c r="EL737" s="1503"/>
      <c r="EM737" s="1503"/>
      <c r="EN737" s="1503"/>
      <c r="EO737" s="1503">
        <f t="shared" si="29"/>
        <v>0</v>
      </c>
      <c r="EP737" s="1503"/>
      <c r="EQ737" s="1503"/>
      <c r="ER737" s="1503"/>
      <c r="ES737" s="1503"/>
      <c r="ET737" s="1503">
        <f t="shared" si="30"/>
        <v>0</v>
      </c>
      <c r="EU737" s="1503"/>
      <c r="EV737" s="1503"/>
      <c r="EW737" s="1503"/>
      <c r="EX737" s="1503"/>
      <c r="EZ737" s="1519" t="str">
        <f t="shared" si="31"/>
        <v/>
      </c>
      <c r="FA737" s="1520"/>
      <c r="FB737" s="1520"/>
      <c r="FC737" s="1520"/>
      <c r="FD737" s="1521"/>
      <c r="FE737" s="1519" t="str">
        <f t="shared" si="32"/>
        <v/>
      </c>
      <c r="FF737" s="1520"/>
      <c r="FG737" s="1520"/>
      <c r="FH737" s="1520"/>
      <c r="FI737" s="1521"/>
      <c r="FJ737" s="1519" t="str">
        <f t="shared" si="33"/>
        <v/>
      </c>
      <c r="FK737" s="1520"/>
      <c r="FL737" s="1520"/>
      <c r="FM737" s="1520"/>
      <c r="FN737" s="1521"/>
      <c r="FO737" s="1519" t="str">
        <f t="shared" si="34"/>
        <v/>
      </c>
      <c r="FP737" s="1520"/>
      <c r="FQ737" s="1520"/>
      <c r="FR737" s="1520"/>
      <c r="FS737" s="1521"/>
      <c r="FT737" s="1519" t="str">
        <f t="shared" si="35"/>
        <v/>
      </c>
      <c r="FU737" s="1520"/>
      <c r="FV737" s="1520"/>
      <c r="FW737" s="1520"/>
      <c r="FX737" s="1521"/>
      <c r="FY737" s="1519" t="str">
        <f t="shared" si="36"/>
        <v/>
      </c>
      <c r="FZ737" s="1520"/>
      <c r="GA737" s="1520"/>
      <c r="GB737" s="1520"/>
      <c r="GC737" s="1521"/>
    </row>
    <row r="738" spans="1:185" ht="12.95" customHeight="1">
      <c r="B738" s="1322"/>
      <c r="C738" s="1323"/>
      <c r="D738" s="1323"/>
      <c r="E738" s="1323"/>
      <c r="F738" s="1324"/>
      <c r="G738" s="1316"/>
      <c r="H738" s="1317"/>
      <c r="I738" s="1317"/>
      <c r="J738" s="1318"/>
      <c r="K738" s="1319"/>
      <c r="L738" s="1320"/>
      <c r="M738" s="1320"/>
      <c r="N738" s="1321"/>
      <c r="O738" s="1369"/>
      <c r="P738" s="1370"/>
      <c r="Q738" s="1370"/>
      <c r="R738" s="1370"/>
      <c r="S738" s="1371"/>
      <c r="T738" s="1369"/>
      <c r="U738" s="1370"/>
      <c r="V738" s="1370"/>
      <c r="W738" s="1371"/>
      <c r="X738" s="1398">
        <f t="shared" si="9"/>
        <v>0</v>
      </c>
      <c r="Y738" s="1399"/>
      <c r="Z738" s="1399"/>
      <c r="AA738" s="1399"/>
      <c r="AB738" s="1400"/>
      <c r="AC738" s="1382"/>
      <c r="AD738" s="1383"/>
      <c r="AE738" s="1383"/>
      <c r="AF738" s="1383"/>
      <c r="AG738" s="1384"/>
      <c r="AH738" s="1401" t="str">
        <f t="shared" si="37"/>
        <v/>
      </c>
      <c r="AI738" s="1402"/>
      <c r="AJ738" s="1403"/>
      <c r="AK738" s="1322" t="s">
        <v>589</v>
      </c>
      <c r="AL738" s="1323"/>
      <c r="AM738" s="1323"/>
      <c r="AN738" s="1323"/>
      <c r="AO738" s="1324"/>
      <c r="AP738" s="3"/>
      <c r="AQ738" s="3"/>
      <c r="AR738" s="3"/>
      <c r="AS738" s="3"/>
      <c r="AY738" s="1075"/>
      <c r="AZ738" s="118" t="str">
        <f t="shared" si="10"/>
        <v>N/A</v>
      </c>
      <c r="BA738" s="3"/>
      <c r="BB738" s="3"/>
      <c r="BC738" s="3"/>
      <c r="BD738" s="3"/>
      <c r="BE738" s="204"/>
      <c r="BF738" s="294">
        <f t="shared" si="11"/>
        <v>0</v>
      </c>
      <c r="BG738" s="297">
        <f t="shared" si="12"/>
        <v>0</v>
      </c>
      <c r="BH738" s="298" t="str">
        <f t="shared" si="13"/>
        <v/>
      </c>
      <c r="BI738" s="3"/>
      <c r="BJ738" s="3"/>
      <c r="BK738" s="3"/>
      <c r="BL738" s="3"/>
      <c r="BM738" s="3"/>
      <c r="BN738" s="3"/>
      <c r="BS738" s="294">
        <f t="shared" si="14"/>
        <v>0</v>
      </c>
      <c r="BT738" s="297">
        <f t="shared" si="15"/>
        <v>0</v>
      </c>
      <c r="BU738" s="298" t="str">
        <f t="shared" si="16"/>
        <v/>
      </c>
      <c r="BV738" s="3"/>
      <c r="BW738" s="3"/>
      <c r="BX738" s="3"/>
      <c r="BY738" s="3"/>
      <c r="BZ738" s="3"/>
      <c r="CA738" s="3"/>
      <c r="CB738" s="3"/>
      <c r="CC738" s="3"/>
      <c r="CE738" s="3"/>
      <c r="CF738" s="3"/>
      <c r="CG738" s="1519">
        <f t="shared" si="38"/>
        <v>0</v>
      </c>
      <c r="CH738" s="1521"/>
      <c r="CI738" s="1497">
        <f t="shared" si="39"/>
        <v>0</v>
      </c>
      <c r="CJ738" s="1498"/>
      <c r="CK738" s="1519">
        <f t="shared" si="17"/>
        <v>0</v>
      </c>
      <c r="CL738" s="1521"/>
      <c r="CM738" s="1497">
        <f t="shared" si="18"/>
        <v>0</v>
      </c>
      <c r="CN738" s="1498"/>
      <c r="CO738" s="3"/>
      <c r="CP738" s="1515">
        <f t="shared" si="19"/>
        <v>0</v>
      </c>
      <c r="CQ738" s="1516"/>
      <c r="CR738" s="1516"/>
      <c r="CS738" s="1516"/>
      <c r="CT738" s="1517"/>
      <c r="CU738" s="1513">
        <f t="shared" si="20"/>
        <v>0</v>
      </c>
      <c r="CV738" s="1513"/>
      <c r="CW738" s="1513"/>
      <c r="CX738" s="1513"/>
      <c r="CY738" s="1513"/>
      <c r="CZ738" s="1513">
        <f t="shared" si="21"/>
        <v>0</v>
      </c>
      <c r="DA738" s="1513"/>
      <c r="DB738" s="1513"/>
      <c r="DC738" s="1513"/>
      <c r="DD738" s="1513"/>
      <c r="DE738" s="1513">
        <f t="shared" si="22"/>
        <v>0</v>
      </c>
      <c r="DF738" s="1513"/>
      <c r="DG738" s="1513"/>
      <c r="DH738" s="1513"/>
      <c r="DI738" s="1513"/>
      <c r="DJ738" s="1513">
        <f t="shared" si="23"/>
        <v>0</v>
      </c>
      <c r="DK738" s="1513"/>
      <c r="DL738" s="1513"/>
      <c r="DM738" s="1513"/>
      <c r="DN738" s="1513"/>
      <c r="DO738" s="1513">
        <f t="shared" si="24"/>
        <v>0</v>
      </c>
      <c r="DP738" s="1513"/>
      <c r="DQ738" s="1513"/>
      <c r="DR738" s="1513"/>
      <c r="DS738" s="1513"/>
      <c r="DT738" s="6"/>
      <c r="DU738" s="1503">
        <f t="shared" si="25"/>
        <v>0</v>
      </c>
      <c r="DV738" s="1503"/>
      <c r="DW738" s="1503"/>
      <c r="DX738" s="1503"/>
      <c r="DY738" s="1503"/>
      <c r="DZ738" s="1503">
        <f t="shared" si="26"/>
        <v>0</v>
      </c>
      <c r="EA738" s="1503"/>
      <c r="EB738" s="1503"/>
      <c r="EC738" s="1503"/>
      <c r="ED738" s="1503"/>
      <c r="EE738" s="1503">
        <f t="shared" si="27"/>
        <v>0</v>
      </c>
      <c r="EF738" s="1503"/>
      <c r="EG738" s="1503"/>
      <c r="EH738" s="1503"/>
      <c r="EI738" s="1503"/>
      <c r="EJ738" s="1503">
        <f t="shared" si="28"/>
        <v>0</v>
      </c>
      <c r="EK738" s="1503"/>
      <c r="EL738" s="1503"/>
      <c r="EM738" s="1503"/>
      <c r="EN738" s="1503"/>
      <c r="EO738" s="1503">
        <f t="shared" si="29"/>
        <v>0</v>
      </c>
      <c r="EP738" s="1503"/>
      <c r="EQ738" s="1503"/>
      <c r="ER738" s="1503"/>
      <c r="ES738" s="1503"/>
      <c r="ET738" s="1503">
        <f t="shared" si="30"/>
        <v>0</v>
      </c>
      <c r="EU738" s="1503"/>
      <c r="EV738" s="1503"/>
      <c r="EW738" s="1503"/>
      <c r="EX738" s="1503"/>
      <c r="EZ738" s="1519" t="str">
        <f t="shared" si="31"/>
        <v/>
      </c>
      <c r="FA738" s="1520"/>
      <c r="FB738" s="1520"/>
      <c r="FC738" s="1520"/>
      <c r="FD738" s="1521"/>
      <c r="FE738" s="1519" t="str">
        <f t="shared" si="32"/>
        <v/>
      </c>
      <c r="FF738" s="1520"/>
      <c r="FG738" s="1520"/>
      <c r="FH738" s="1520"/>
      <c r="FI738" s="1521"/>
      <c r="FJ738" s="1519" t="str">
        <f t="shared" si="33"/>
        <v/>
      </c>
      <c r="FK738" s="1520"/>
      <c r="FL738" s="1520"/>
      <c r="FM738" s="1520"/>
      <c r="FN738" s="1521"/>
      <c r="FO738" s="1519" t="str">
        <f t="shared" si="34"/>
        <v/>
      </c>
      <c r="FP738" s="1520"/>
      <c r="FQ738" s="1520"/>
      <c r="FR738" s="1520"/>
      <c r="FS738" s="1521"/>
      <c r="FT738" s="1519" t="str">
        <f t="shared" si="35"/>
        <v/>
      </c>
      <c r="FU738" s="1520"/>
      <c r="FV738" s="1520"/>
      <c r="FW738" s="1520"/>
      <c r="FX738" s="1521"/>
      <c r="FY738" s="1519" t="str">
        <f t="shared" si="36"/>
        <v/>
      </c>
      <c r="FZ738" s="1520"/>
      <c r="GA738" s="1520"/>
      <c r="GB738" s="1520"/>
      <c r="GC738" s="1521"/>
    </row>
    <row r="739" spans="1:185" ht="12.95" customHeight="1">
      <c r="B739" s="1322"/>
      <c r="C739" s="1323"/>
      <c r="D739" s="1323"/>
      <c r="E739" s="1323"/>
      <c r="F739" s="1324"/>
      <c r="G739" s="1316"/>
      <c r="H739" s="1317"/>
      <c r="I739" s="1317"/>
      <c r="J739" s="1318"/>
      <c r="K739" s="1319"/>
      <c r="L739" s="1320"/>
      <c r="M739" s="1320"/>
      <c r="N739" s="1321"/>
      <c r="O739" s="1369"/>
      <c r="P739" s="1370"/>
      <c r="Q739" s="1370"/>
      <c r="R739" s="1370"/>
      <c r="S739" s="1371"/>
      <c r="T739" s="1369"/>
      <c r="U739" s="1370"/>
      <c r="V739" s="1370"/>
      <c r="W739" s="1371"/>
      <c r="X739" s="1398">
        <f t="shared" si="9"/>
        <v>0</v>
      </c>
      <c r="Y739" s="1399"/>
      <c r="Z739" s="1399"/>
      <c r="AA739" s="1399"/>
      <c r="AB739" s="1400"/>
      <c r="AC739" s="1382"/>
      <c r="AD739" s="1383"/>
      <c r="AE739" s="1383"/>
      <c r="AF739" s="1383"/>
      <c r="AG739" s="1384"/>
      <c r="AH739" s="1401" t="str">
        <f t="shared" si="37"/>
        <v/>
      </c>
      <c r="AI739" s="1402"/>
      <c r="AJ739" s="1403"/>
      <c r="AK739" s="1322" t="s">
        <v>589</v>
      </c>
      <c r="AL739" s="1323"/>
      <c r="AM739" s="1323"/>
      <c r="AN739" s="1323"/>
      <c r="AO739" s="1324"/>
      <c r="AP739" s="3"/>
      <c r="AQ739" s="3"/>
      <c r="AR739" s="3"/>
      <c r="AS739" s="3"/>
      <c r="AY739" s="1075"/>
      <c r="AZ739" s="118" t="str">
        <f t="shared" si="10"/>
        <v>N/A</v>
      </c>
      <c r="BA739" s="3"/>
      <c r="BB739" s="3"/>
      <c r="BC739" s="3"/>
      <c r="BD739" s="3"/>
      <c r="BE739" s="204"/>
      <c r="BF739" s="294">
        <f t="shared" si="11"/>
        <v>0</v>
      </c>
      <c r="BG739" s="297">
        <f t="shared" si="12"/>
        <v>0</v>
      </c>
      <c r="BH739" s="298" t="str">
        <f t="shared" si="13"/>
        <v/>
      </c>
      <c r="BI739" s="3"/>
      <c r="BJ739" s="3"/>
      <c r="BK739" s="3"/>
      <c r="BL739" s="3"/>
      <c r="BM739" s="3"/>
      <c r="BN739" s="3"/>
      <c r="BS739" s="294">
        <f t="shared" si="14"/>
        <v>0</v>
      </c>
      <c r="BT739" s="297">
        <f t="shared" si="15"/>
        <v>0</v>
      </c>
      <c r="BU739" s="298" t="str">
        <f t="shared" si="16"/>
        <v/>
      </c>
      <c r="BV739" s="3"/>
      <c r="BW739" s="3"/>
      <c r="BX739" s="3"/>
      <c r="BY739" s="3"/>
      <c r="BZ739" s="3"/>
      <c r="CA739" s="3"/>
      <c r="CB739" s="3"/>
      <c r="CC739" s="3"/>
      <c r="CE739" s="3"/>
      <c r="CF739" s="3"/>
      <c r="CG739" s="1519">
        <f t="shared" si="38"/>
        <v>0</v>
      </c>
      <c r="CH739" s="1521"/>
      <c r="CI739" s="1497">
        <f t="shared" si="39"/>
        <v>0</v>
      </c>
      <c r="CJ739" s="1498"/>
      <c r="CK739" s="1519">
        <f t="shared" si="17"/>
        <v>0</v>
      </c>
      <c r="CL739" s="1521"/>
      <c r="CM739" s="1497">
        <f t="shared" si="18"/>
        <v>0</v>
      </c>
      <c r="CN739" s="1498"/>
      <c r="CO739" s="3"/>
      <c r="CP739" s="1515">
        <f t="shared" si="19"/>
        <v>0</v>
      </c>
      <c r="CQ739" s="1516"/>
      <c r="CR739" s="1516"/>
      <c r="CS739" s="1516"/>
      <c r="CT739" s="1517"/>
      <c r="CU739" s="1513">
        <f t="shared" si="20"/>
        <v>0</v>
      </c>
      <c r="CV739" s="1513"/>
      <c r="CW739" s="1513"/>
      <c r="CX739" s="1513"/>
      <c r="CY739" s="1513"/>
      <c r="CZ739" s="1513">
        <f t="shared" si="21"/>
        <v>0</v>
      </c>
      <c r="DA739" s="1513"/>
      <c r="DB739" s="1513"/>
      <c r="DC739" s="1513"/>
      <c r="DD739" s="1513"/>
      <c r="DE739" s="1513">
        <f t="shared" si="22"/>
        <v>0</v>
      </c>
      <c r="DF739" s="1513"/>
      <c r="DG739" s="1513"/>
      <c r="DH739" s="1513"/>
      <c r="DI739" s="1513"/>
      <c r="DJ739" s="1513">
        <f t="shared" si="23"/>
        <v>0</v>
      </c>
      <c r="DK739" s="1513"/>
      <c r="DL739" s="1513"/>
      <c r="DM739" s="1513"/>
      <c r="DN739" s="1513"/>
      <c r="DO739" s="1513">
        <f t="shared" si="24"/>
        <v>0</v>
      </c>
      <c r="DP739" s="1513"/>
      <c r="DQ739" s="1513"/>
      <c r="DR739" s="1513"/>
      <c r="DS739" s="1513"/>
      <c r="DT739" s="6"/>
      <c r="DU739" s="1503">
        <f t="shared" si="25"/>
        <v>0</v>
      </c>
      <c r="DV739" s="1503"/>
      <c r="DW739" s="1503"/>
      <c r="DX739" s="1503"/>
      <c r="DY739" s="1503"/>
      <c r="DZ739" s="1503">
        <f t="shared" si="26"/>
        <v>0</v>
      </c>
      <c r="EA739" s="1503"/>
      <c r="EB739" s="1503"/>
      <c r="EC739" s="1503"/>
      <c r="ED739" s="1503"/>
      <c r="EE739" s="1503">
        <f t="shared" si="27"/>
        <v>0</v>
      </c>
      <c r="EF739" s="1503"/>
      <c r="EG739" s="1503"/>
      <c r="EH739" s="1503"/>
      <c r="EI739" s="1503"/>
      <c r="EJ739" s="1503">
        <f t="shared" si="28"/>
        <v>0</v>
      </c>
      <c r="EK739" s="1503"/>
      <c r="EL739" s="1503"/>
      <c r="EM739" s="1503"/>
      <c r="EN739" s="1503"/>
      <c r="EO739" s="1503">
        <f t="shared" si="29"/>
        <v>0</v>
      </c>
      <c r="EP739" s="1503"/>
      <c r="EQ739" s="1503"/>
      <c r="ER739" s="1503"/>
      <c r="ES739" s="1503"/>
      <c r="ET739" s="1503">
        <f t="shared" si="30"/>
        <v>0</v>
      </c>
      <c r="EU739" s="1503"/>
      <c r="EV739" s="1503"/>
      <c r="EW739" s="1503"/>
      <c r="EX739" s="1503"/>
      <c r="EZ739" s="1519" t="str">
        <f t="shared" si="31"/>
        <v/>
      </c>
      <c r="FA739" s="1520"/>
      <c r="FB739" s="1520"/>
      <c r="FC739" s="1520"/>
      <c r="FD739" s="1521"/>
      <c r="FE739" s="1519" t="str">
        <f t="shared" si="32"/>
        <v/>
      </c>
      <c r="FF739" s="1520"/>
      <c r="FG739" s="1520"/>
      <c r="FH739" s="1520"/>
      <c r="FI739" s="1521"/>
      <c r="FJ739" s="1519" t="str">
        <f t="shared" si="33"/>
        <v/>
      </c>
      <c r="FK739" s="1520"/>
      <c r="FL739" s="1520"/>
      <c r="FM739" s="1520"/>
      <c r="FN739" s="1521"/>
      <c r="FO739" s="1519" t="str">
        <f t="shared" si="34"/>
        <v/>
      </c>
      <c r="FP739" s="1520"/>
      <c r="FQ739" s="1520"/>
      <c r="FR739" s="1520"/>
      <c r="FS739" s="1521"/>
      <c r="FT739" s="1519" t="str">
        <f t="shared" si="35"/>
        <v/>
      </c>
      <c r="FU739" s="1520"/>
      <c r="FV739" s="1520"/>
      <c r="FW739" s="1520"/>
      <c r="FX739" s="1521"/>
      <c r="FY739" s="1519" t="str">
        <f t="shared" si="36"/>
        <v/>
      </c>
      <c r="FZ739" s="1520"/>
      <c r="GA739" s="1520"/>
      <c r="GB739" s="1520"/>
      <c r="GC739" s="1521"/>
    </row>
    <row r="740" spans="1:185" ht="12.95" customHeight="1">
      <c r="B740" s="1322"/>
      <c r="C740" s="1323"/>
      <c r="D740" s="1323"/>
      <c r="E740" s="1323"/>
      <c r="F740" s="1324"/>
      <c r="G740" s="1316"/>
      <c r="H740" s="1317"/>
      <c r="I740" s="1317"/>
      <c r="J740" s="1318"/>
      <c r="K740" s="1319"/>
      <c r="L740" s="1320"/>
      <c r="M740" s="1320"/>
      <c r="N740" s="1321"/>
      <c r="O740" s="1369"/>
      <c r="P740" s="1370"/>
      <c r="Q740" s="1370"/>
      <c r="R740" s="1370"/>
      <c r="S740" s="1371"/>
      <c r="T740" s="1369"/>
      <c r="U740" s="1370"/>
      <c r="V740" s="1370"/>
      <c r="W740" s="1371"/>
      <c r="X740" s="1398">
        <f t="shared" si="9"/>
        <v>0</v>
      </c>
      <c r="Y740" s="1399"/>
      <c r="Z740" s="1399"/>
      <c r="AA740" s="1399"/>
      <c r="AB740" s="1400"/>
      <c r="AC740" s="1382"/>
      <c r="AD740" s="1383"/>
      <c r="AE740" s="1383"/>
      <c r="AF740" s="1383"/>
      <c r="AG740" s="1384"/>
      <c r="AH740" s="1401" t="str">
        <f t="shared" si="37"/>
        <v/>
      </c>
      <c r="AI740" s="1402"/>
      <c r="AJ740" s="1403"/>
      <c r="AK740" s="1322" t="s">
        <v>589</v>
      </c>
      <c r="AL740" s="1323"/>
      <c r="AM740" s="1323"/>
      <c r="AN740" s="1323"/>
      <c r="AO740" s="1324"/>
      <c r="AP740" s="3"/>
      <c r="AQ740" s="3"/>
      <c r="AR740" s="3"/>
      <c r="AS740" s="3"/>
      <c r="AY740" s="1075"/>
      <c r="AZ740" s="118" t="str">
        <f t="shared" si="10"/>
        <v>N/A</v>
      </c>
      <c r="BA740" s="3"/>
      <c r="BB740" s="3"/>
      <c r="BC740" s="3"/>
      <c r="BD740" s="3"/>
      <c r="BE740" s="204"/>
      <c r="BF740" s="294">
        <f t="shared" si="11"/>
        <v>0</v>
      </c>
      <c r="BG740" s="297">
        <f t="shared" si="12"/>
        <v>0</v>
      </c>
      <c r="BH740" s="298" t="str">
        <f t="shared" si="13"/>
        <v/>
      </c>
      <c r="BI740" s="3"/>
      <c r="BJ740" s="3"/>
      <c r="BK740" s="3"/>
      <c r="BL740" s="3"/>
      <c r="BM740" s="3"/>
      <c r="BN740" s="3"/>
      <c r="BS740" s="294">
        <f t="shared" si="14"/>
        <v>0</v>
      </c>
      <c r="BT740" s="297">
        <f t="shared" si="15"/>
        <v>0</v>
      </c>
      <c r="BU740" s="298" t="str">
        <f t="shared" si="16"/>
        <v/>
      </c>
      <c r="BV740" s="3"/>
      <c r="BW740" s="3"/>
      <c r="BX740" s="3"/>
      <c r="BY740" s="3"/>
      <c r="BZ740" s="3"/>
      <c r="CA740" s="3"/>
      <c r="CB740" s="3"/>
      <c r="CC740" s="3"/>
      <c r="CE740" s="3"/>
      <c r="CF740" s="3"/>
      <c r="CG740" s="1519">
        <f t="shared" si="38"/>
        <v>0</v>
      </c>
      <c r="CH740" s="1521"/>
      <c r="CI740" s="1497">
        <f t="shared" si="39"/>
        <v>0</v>
      </c>
      <c r="CJ740" s="1498"/>
      <c r="CK740" s="1519">
        <f t="shared" si="17"/>
        <v>0</v>
      </c>
      <c r="CL740" s="1521"/>
      <c r="CM740" s="1497">
        <f t="shared" si="18"/>
        <v>0</v>
      </c>
      <c r="CN740" s="1498"/>
      <c r="CO740" s="3"/>
      <c r="CP740" s="1515">
        <f t="shared" si="19"/>
        <v>0</v>
      </c>
      <c r="CQ740" s="1516"/>
      <c r="CR740" s="1516"/>
      <c r="CS740" s="1516"/>
      <c r="CT740" s="1517"/>
      <c r="CU740" s="1513">
        <f t="shared" si="20"/>
        <v>0</v>
      </c>
      <c r="CV740" s="1513"/>
      <c r="CW740" s="1513"/>
      <c r="CX740" s="1513"/>
      <c r="CY740" s="1513"/>
      <c r="CZ740" s="1513">
        <f t="shared" si="21"/>
        <v>0</v>
      </c>
      <c r="DA740" s="1513"/>
      <c r="DB740" s="1513"/>
      <c r="DC740" s="1513"/>
      <c r="DD740" s="1513"/>
      <c r="DE740" s="1513">
        <f t="shared" si="22"/>
        <v>0</v>
      </c>
      <c r="DF740" s="1513"/>
      <c r="DG740" s="1513"/>
      <c r="DH740" s="1513"/>
      <c r="DI740" s="1513"/>
      <c r="DJ740" s="1513">
        <f t="shared" si="23"/>
        <v>0</v>
      </c>
      <c r="DK740" s="1513"/>
      <c r="DL740" s="1513"/>
      <c r="DM740" s="1513"/>
      <c r="DN740" s="1513"/>
      <c r="DO740" s="1513">
        <f t="shared" si="24"/>
        <v>0</v>
      </c>
      <c r="DP740" s="1513"/>
      <c r="DQ740" s="1513"/>
      <c r="DR740" s="1513"/>
      <c r="DS740" s="1513"/>
      <c r="DT740" s="6"/>
      <c r="DU740" s="1503">
        <f t="shared" si="25"/>
        <v>0</v>
      </c>
      <c r="DV740" s="1503"/>
      <c r="DW740" s="1503"/>
      <c r="DX740" s="1503"/>
      <c r="DY740" s="1503"/>
      <c r="DZ740" s="1503">
        <f t="shared" si="26"/>
        <v>0</v>
      </c>
      <c r="EA740" s="1503"/>
      <c r="EB740" s="1503"/>
      <c r="EC740" s="1503"/>
      <c r="ED740" s="1503"/>
      <c r="EE740" s="1503">
        <f t="shared" si="27"/>
        <v>0</v>
      </c>
      <c r="EF740" s="1503"/>
      <c r="EG740" s="1503"/>
      <c r="EH740" s="1503"/>
      <c r="EI740" s="1503"/>
      <c r="EJ740" s="1503">
        <f t="shared" si="28"/>
        <v>0</v>
      </c>
      <c r="EK740" s="1503"/>
      <c r="EL740" s="1503"/>
      <c r="EM740" s="1503"/>
      <c r="EN740" s="1503"/>
      <c r="EO740" s="1503">
        <f t="shared" si="29"/>
        <v>0</v>
      </c>
      <c r="EP740" s="1503"/>
      <c r="EQ740" s="1503"/>
      <c r="ER740" s="1503"/>
      <c r="ES740" s="1503"/>
      <c r="ET740" s="1503">
        <f t="shared" si="30"/>
        <v>0</v>
      </c>
      <c r="EU740" s="1503"/>
      <c r="EV740" s="1503"/>
      <c r="EW740" s="1503"/>
      <c r="EX740" s="1503"/>
      <c r="EZ740" s="1519" t="str">
        <f t="shared" si="31"/>
        <v/>
      </c>
      <c r="FA740" s="1520"/>
      <c r="FB740" s="1520"/>
      <c r="FC740" s="1520"/>
      <c r="FD740" s="1521"/>
      <c r="FE740" s="1519" t="str">
        <f t="shared" si="32"/>
        <v/>
      </c>
      <c r="FF740" s="1520"/>
      <c r="FG740" s="1520"/>
      <c r="FH740" s="1520"/>
      <c r="FI740" s="1521"/>
      <c r="FJ740" s="1519" t="str">
        <f t="shared" si="33"/>
        <v/>
      </c>
      <c r="FK740" s="1520"/>
      <c r="FL740" s="1520"/>
      <c r="FM740" s="1520"/>
      <c r="FN740" s="1521"/>
      <c r="FO740" s="1519" t="str">
        <f t="shared" si="34"/>
        <v/>
      </c>
      <c r="FP740" s="1520"/>
      <c r="FQ740" s="1520"/>
      <c r="FR740" s="1520"/>
      <c r="FS740" s="1521"/>
      <c r="FT740" s="1519" t="str">
        <f t="shared" si="35"/>
        <v/>
      </c>
      <c r="FU740" s="1520"/>
      <c r="FV740" s="1520"/>
      <c r="FW740" s="1520"/>
      <c r="FX740" s="1521"/>
      <c r="FY740" s="1519" t="str">
        <f t="shared" si="36"/>
        <v/>
      </c>
      <c r="FZ740" s="1520"/>
      <c r="GA740" s="1520"/>
      <c r="GB740" s="1520"/>
      <c r="GC740" s="1521"/>
    </row>
    <row r="741" spans="1:185" ht="12.95" customHeight="1">
      <c r="B741" s="1322"/>
      <c r="C741" s="1323"/>
      <c r="D741" s="1323"/>
      <c r="E741" s="1323"/>
      <c r="F741" s="1324"/>
      <c r="G741" s="1316"/>
      <c r="H741" s="1317"/>
      <c r="I741" s="1317"/>
      <c r="J741" s="1318"/>
      <c r="K741" s="1319"/>
      <c r="L741" s="1320"/>
      <c r="M741" s="1320"/>
      <c r="N741" s="1321"/>
      <c r="O741" s="1369"/>
      <c r="P741" s="1370"/>
      <c r="Q741" s="1370"/>
      <c r="R741" s="1370"/>
      <c r="S741" s="1371"/>
      <c r="T741" s="1369"/>
      <c r="U741" s="1370"/>
      <c r="V741" s="1370"/>
      <c r="W741" s="1371"/>
      <c r="X741" s="1398">
        <f t="shared" si="9"/>
        <v>0</v>
      </c>
      <c r="Y741" s="1399"/>
      <c r="Z741" s="1399"/>
      <c r="AA741" s="1399"/>
      <c r="AB741" s="1400"/>
      <c r="AC741" s="1382"/>
      <c r="AD741" s="1383"/>
      <c r="AE741" s="1383"/>
      <c r="AF741" s="1383"/>
      <c r="AG741" s="1384"/>
      <c r="AH741" s="1401" t="str">
        <f t="shared" si="37"/>
        <v/>
      </c>
      <c r="AI741" s="1402"/>
      <c r="AJ741" s="1403"/>
      <c r="AK741" s="1322" t="s">
        <v>589</v>
      </c>
      <c r="AL741" s="1323"/>
      <c r="AM741" s="1323"/>
      <c r="AN741" s="1323"/>
      <c r="AO741" s="1324"/>
      <c r="AP741" s="3"/>
      <c r="AQ741" s="3"/>
      <c r="AR741" s="3"/>
      <c r="AS741" s="3"/>
      <c r="AY741" s="1075"/>
      <c r="AZ741" s="118" t="str">
        <f t="shared" si="10"/>
        <v>N/A</v>
      </c>
      <c r="BA741" s="3"/>
      <c r="BB741" s="3"/>
      <c r="BC741" s="3"/>
      <c r="BD741" s="3"/>
      <c r="BE741" s="204"/>
      <c r="BF741" s="294">
        <f t="shared" si="11"/>
        <v>0</v>
      </c>
      <c r="BG741" s="297">
        <f t="shared" si="12"/>
        <v>0</v>
      </c>
      <c r="BH741" s="298" t="str">
        <f t="shared" si="13"/>
        <v/>
      </c>
      <c r="BI741" s="3"/>
      <c r="BJ741" s="3"/>
      <c r="BK741" s="3"/>
      <c r="BL741" s="3"/>
      <c r="BM741" s="3"/>
      <c r="BN741" s="3"/>
      <c r="BS741" s="294">
        <f t="shared" si="14"/>
        <v>0</v>
      </c>
      <c r="BT741" s="297">
        <f t="shared" si="15"/>
        <v>0</v>
      </c>
      <c r="BU741" s="298" t="str">
        <f t="shared" si="16"/>
        <v/>
      </c>
      <c r="BV741" s="3"/>
      <c r="BW741" s="3"/>
      <c r="BX741" s="3"/>
      <c r="BY741" s="3"/>
      <c r="BZ741" s="3"/>
      <c r="CA741" s="3"/>
      <c r="CB741" s="3"/>
      <c r="CC741" s="3"/>
      <c r="CE741" s="3"/>
      <c r="CF741" s="3"/>
      <c r="CG741" s="1519">
        <f t="shared" si="38"/>
        <v>0</v>
      </c>
      <c r="CH741" s="1521"/>
      <c r="CI741" s="1497">
        <f t="shared" si="39"/>
        <v>0</v>
      </c>
      <c r="CJ741" s="1498"/>
      <c r="CK741" s="1519">
        <f t="shared" si="17"/>
        <v>0</v>
      </c>
      <c r="CL741" s="1521"/>
      <c r="CM741" s="1497">
        <f t="shared" si="18"/>
        <v>0</v>
      </c>
      <c r="CN741" s="1498"/>
      <c r="CO741" s="3"/>
      <c r="CP741" s="1515">
        <f t="shared" si="19"/>
        <v>0</v>
      </c>
      <c r="CQ741" s="1516"/>
      <c r="CR741" s="1516"/>
      <c r="CS741" s="1516"/>
      <c r="CT741" s="1517"/>
      <c r="CU741" s="1513">
        <f t="shared" si="20"/>
        <v>0</v>
      </c>
      <c r="CV741" s="1513"/>
      <c r="CW741" s="1513"/>
      <c r="CX741" s="1513"/>
      <c r="CY741" s="1513"/>
      <c r="CZ741" s="1513">
        <f t="shared" si="21"/>
        <v>0</v>
      </c>
      <c r="DA741" s="1513"/>
      <c r="DB741" s="1513"/>
      <c r="DC741" s="1513"/>
      <c r="DD741" s="1513"/>
      <c r="DE741" s="1513">
        <f t="shared" si="22"/>
        <v>0</v>
      </c>
      <c r="DF741" s="1513"/>
      <c r="DG741" s="1513"/>
      <c r="DH741" s="1513"/>
      <c r="DI741" s="1513"/>
      <c r="DJ741" s="1513">
        <f t="shared" si="23"/>
        <v>0</v>
      </c>
      <c r="DK741" s="1513"/>
      <c r="DL741" s="1513"/>
      <c r="DM741" s="1513"/>
      <c r="DN741" s="1513"/>
      <c r="DO741" s="1513">
        <f t="shared" si="24"/>
        <v>0</v>
      </c>
      <c r="DP741" s="1513"/>
      <c r="DQ741" s="1513"/>
      <c r="DR741" s="1513"/>
      <c r="DS741" s="1513"/>
      <c r="DT741" s="6"/>
      <c r="DU741" s="1503">
        <f t="shared" si="25"/>
        <v>0</v>
      </c>
      <c r="DV741" s="1503"/>
      <c r="DW741" s="1503"/>
      <c r="DX741" s="1503"/>
      <c r="DY741" s="1503"/>
      <c r="DZ741" s="1503">
        <f t="shared" si="26"/>
        <v>0</v>
      </c>
      <c r="EA741" s="1503"/>
      <c r="EB741" s="1503"/>
      <c r="EC741" s="1503"/>
      <c r="ED741" s="1503"/>
      <c r="EE741" s="1503">
        <f t="shared" si="27"/>
        <v>0</v>
      </c>
      <c r="EF741" s="1503"/>
      <c r="EG741" s="1503"/>
      <c r="EH741" s="1503"/>
      <c r="EI741" s="1503"/>
      <c r="EJ741" s="1503">
        <f t="shared" si="28"/>
        <v>0</v>
      </c>
      <c r="EK741" s="1503"/>
      <c r="EL741" s="1503"/>
      <c r="EM741" s="1503"/>
      <c r="EN741" s="1503"/>
      <c r="EO741" s="1503">
        <f t="shared" si="29"/>
        <v>0</v>
      </c>
      <c r="EP741" s="1503"/>
      <c r="EQ741" s="1503"/>
      <c r="ER741" s="1503"/>
      <c r="ES741" s="1503"/>
      <c r="ET741" s="1503">
        <f t="shared" si="30"/>
        <v>0</v>
      </c>
      <c r="EU741" s="1503"/>
      <c r="EV741" s="1503"/>
      <c r="EW741" s="1503"/>
      <c r="EX741" s="1503"/>
      <c r="EZ741" s="1519" t="str">
        <f t="shared" si="31"/>
        <v/>
      </c>
      <c r="FA741" s="1520"/>
      <c r="FB741" s="1520"/>
      <c r="FC741" s="1520"/>
      <c r="FD741" s="1521"/>
      <c r="FE741" s="1519" t="str">
        <f t="shared" si="32"/>
        <v/>
      </c>
      <c r="FF741" s="1520"/>
      <c r="FG741" s="1520"/>
      <c r="FH741" s="1520"/>
      <c r="FI741" s="1521"/>
      <c r="FJ741" s="1519" t="str">
        <f t="shared" si="33"/>
        <v/>
      </c>
      <c r="FK741" s="1520"/>
      <c r="FL741" s="1520"/>
      <c r="FM741" s="1520"/>
      <c r="FN741" s="1521"/>
      <c r="FO741" s="1519" t="str">
        <f t="shared" si="34"/>
        <v/>
      </c>
      <c r="FP741" s="1520"/>
      <c r="FQ741" s="1520"/>
      <c r="FR741" s="1520"/>
      <c r="FS741" s="1521"/>
      <c r="FT741" s="1519" t="str">
        <f t="shared" si="35"/>
        <v/>
      </c>
      <c r="FU741" s="1520"/>
      <c r="FV741" s="1520"/>
      <c r="FW741" s="1520"/>
      <c r="FX741" s="1521"/>
      <c r="FY741" s="1519" t="str">
        <f t="shared" si="36"/>
        <v/>
      </c>
      <c r="FZ741" s="1520"/>
      <c r="GA741" s="1520"/>
      <c r="GB741" s="1520"/>
      <c r="GC741" s="1521"/>
    </row>
    <row r="742" spans="1:185" ht="12.95" customHeight="1">
      <c r="B742" s="1322"/>
      <c r="C742" s="1323"/>
      <c r="D742" s="1323"/>
      <c r="E742" s="1323"/>
      <c r="F742" s="1324"/>
      <c r="G742" s="1316"/>
      <c r="H742" s="1317"/>
      <c r="I742" s="1317"/>
      <c r="J742" s="1318"/>
      <c r="K742" s="1319"/>
      <c r="L742" s="1320"/>
      <c r="M742" s="1320"/>
      <c r="N742" s="1321"/>
      <c r="O742" s="1369"/>
      <c r="P742" s="1370"/>
      <c r="Q742" s="1370"/>
      <c r="R742" s="1370"/>
      <c r="S742" s="1371"/>
      <c r="T742" s="1369"/>
      <c r="U742" s="1370"/>
      <c r="V742" s="1370"/>
      <c r="W742" s="1371"/>
      <c r="X742" s="1398">
        <f t="shared" si="9"/>
        <v>0</v>
      </c>
      <c r="Y742" s="1399"/>
      <c r="Z742" s="1399"/>
      <c r="AA742" s="1399"/>
      <c r="AB742" s="1400"/>
      <c r="AC742" s="1382"/>
      <c r="AD742" s="1383"/>
      <c r="AE742" s="1383"/>
      <c r="AF742" s="1383"/>
      <c r="AG742" s="1384"/>
      <c r="AH742" s="1401" t="str">
        <f t="shared" si="37"/>
        <v/>
      </c>
      <c r="AI742" s="1402"/>
      <c r="AJ742" s="1403"/>
      <c r="AK742" s="1322" t="s">
        <v>589</v>
      </c>
      <c r="AL742" s="1323"/>
      <c r="AM742" s="1323"/>
      <c r="AN742" s="1323"/>
      <c r="AO742" s="1324"/>
      <c r="AP742" s="3"/>
      <c r="AQ742" s="3"/>
      <c r="AR742" s="3"/>
      <c r="AS742" s="3"/>
      <c r="AY742" s="1075"/>
      <c r="AZ742" s="118" t="str">
        <f t="shared" si="10"/>
        <v>N/A</v>
      </c>
      <c r="BA742" s="3"/>
      <c r="BB742" s="3"/>
      <c r="BC742" s="3"/>
      <c r="BD742" s="3"/>
      <c r="BE742" s="204"/>
      <c r="BF742" s="294">
        <f t="shared" si="11"/>
        <v>0</v>
      </c>
      <c r="BG742" s="297">
        <f t="shared" si="12"/>
        <v>0</v>
      </c>
      <c r="BH742" s="298" t="str">
        <f t="shared" si="13"/>
        <v/>
      </c>
      <c r="BI742" s="3"/>
      <c r="BJ742" s="3"/>
      <c r="BK742" s="3"/>
      <c r="BL742" s="3"/>
      <c r="BM742" s="3"/>
      <c r="BN742" s="3"/>
      <c r="BS742" s="294">
        <f t="shared" si="14"/>
        <v>0</v>
      </c>
      <c r="BT742" s="297">
        <f t="shared" si="15"/>
        <v>0</v>
      </c>
      <c r="BU742" s="298" t="str">
        <f t="shared" si="16"/>
        <v/>
      </c>
      <c r="BV742" s="3"/>
      <c r="BW742" s="3"/>
      <c r="BX742" s="3"/>
      <c r="BY742" s="3"/>
      <c r="BZ742" s="3"/>
      <c r="CA742" s="3"/>
      <c r="CB742" s="3"/>
      <c r="CC742" s="3"/>
      <c r="CE742" s="3"/>
      <c r="CF742" s="3"/>
      <c r="CG742" s="1519">
        <f t="shared" si="38"/>
        <v>0</v>
      </c>
      <c r="CH742" s="1521"/>
      <c r="CI742" s="1497">
        <f t="shared" si="39"/>
        <v>0</v>
      </c>
      <c r="CJ742" s="1498"/>
      <c r="CK742" s="1519">
        <f t="shared" si="17"/>
        <v>0</v>
      </c>
      <c r="CL742" s="1521"/>
      <c r="CM742" s="1497">
        <f t="shared" si="18"/>
        <v>0</v>
      </c>
      <c r="CN742" s="1498"/>
      <c r="CO742" s="3"/>
      <c r="CP742" s="1515">
        <f t="shared" si="19"/>
        <v>0</v>
      </c>
      <c r="CQ742" s="1516"/>
      <c r="CR742" s="1516"/>
      <c r="CS742" s="1516"/>
      <c r="CT742" s="1517"/>
      <c r="CU742" s="1513">
        <f t="shared" si="20"/>
        <v>0</v>
      </c>
      <c r="CV742" s="1513"/>
      <c r="CW742" s="1513"/>
      <c r="CX742" s="1513"/>
      <c r="CY742" s="1513"/>
      <c r="CZ742" s="1513">
        <f t="shared" si="21"/>
        <v>0</v>
      </c>
      <c r="DA742" s="1513"/>
      <c r="DB742" s="1513"/>
      <c r="DC742" s="1513"/>
      <c r="DD742" s="1513"/>
      <c r="DE742" s="1513">
        <f t="shared" si="22"/>
        <v>0</v>
      </c>
      <c r="DF742" s="1513"/>
      <c r="DG742" s="1513"/>
      <c r="DH742" s="1513"/>
      <c r="DI742" s="1513"/>
      <c r="DJ742" s="1513">
        <f t="shared" si="23"/>
        <v>0</v>
      </c>
      <c r="DK742" s="1513"/>
      <c r="DL742" s="1513"/>
      <c r="DM742" s="1513"/>
      <c r="DN742" s="1513"/>
      <c r="DO742" s="1513">
        <f t="shared" si="24"/>
        <v>0</v>
      </c>
      <c r="DP742" s="1513"/>
      <c r="DQ742" s="1513"/>
      <c r="DR742" s="1513"/>
      <c r="DS742" s="1513"/>
      <c r="DT742" s="6"/>
      <c r="DU742" s="1503">
        <f t="shared" si="25"/>
        <v>0</v>
      </c>
      <c r="DV742" s="1503"/>
      <c r="DW742" s="1503"/>
      <c r="DX742" s="1503"/>
      <c r="DY742" s="1503"/>
      <c r="DZ742" s="1503">
        <f t="shared" si="26"/>
        <v>0</v>
      </c>
      <c r="EA742" s="1503"/>
      <c r="EB742" s="1503"/>
      <c r="EC742" s="1503"/>
      <c r="ED742" s="1503"/>
      <c r="EE742" s="1503">
        <f t="shared" si="27"/>
        <v>0</v>
      </c>
      <c r="EF742" s="1503"/>
      <c r="EG742" s="1503"/>
      <c r="EH742" s="1503"/>
      <c r="EI742" s="1503"/>
      <c r="EJ742" s="1503">
        <f t="shared" si="28"/>
        <v>0</v>
      </c>
      <c r="EK742" s="1503"/>
      <c r="EL742" s="1503"/>
      <c r="EM742" s="1503"/>
      <c r="EN742" s="1503"/>
      <c r="EO742" s="1503">
        <f t="shared" si="29"/>
        <v>0</v>
      </c>
      <c r="EP742" s="1503"/>
      <c r="EQ742" s="1503"/>
      <c r="ER742" s="1503"/>
      <c r="ES742" s="1503"/>
      <c r="ET742" s="1503">
        <f t="shared" si="30"/>
        <v>0</v>
      </c>
      <c r="EU742" s="1503"/>
      <c r="EV742" s="1503"/>
      <c r="EW742" s="1503"/>
      <c r="EX742" s="1503"/>
      <c r="EZ742" s="1519" t="str">
        <f t="shared" si="31"/>
        <v/>
      </c>
      <c r="FA742" s="1520"/>
      <c r="FB742" s="1520"/>
      <c r="FC742" s="1520"/>
      <c r="FD742" s="1521"/>
      <c r="FE742" s="1519" t="str">
        <f t="shared" si="32"/>
        <v/>
      </c>
      <c r="FF742" s="1520"/>
      <c r="FG742" s="1520"/>
      <c r="FH742" s="1520"/>
      <c r="FI742" s="1521"/>
      <c r="FJ742" s="1519" t="str">
        <f t="shared" si="33"/>
        <v/>
      </c>
      <c r="FK742" s="1520"/>
      <c r="FL742" s="1520"/>
      <c r="FM742" s="1520"/>
      <c r="FN742" s="1521"/>
      <c r="FO742" s="1519" t="str">
        <f t="shared" si="34"/>
        <v/>
      </c>
      <c r="FP742" s="1520"/>
      <c r="FQ742" s="1520"/>
      <c r="FR742" s="1520"/>
      <c r="FS742" s="1521"/>
      <c r="FT742" s="1519" t="str">
        <f t="shared" si="35"/>
        <v/>
      </c>
      <c r="FU742" s="1520"/>
      <c r="FV742" s="1520"/>
      <c r="FW742" s="1520"/>
      <c r="FX742" s="1521"/>
      <c r="FY742" s="1519" t="str">
        <f t="shared" si="36"/>
        <v/>
      </c>
      <c r="FZ742" s="1520"/>
      <c r="GA742" s="1520"/>
      <c r="GB742" s="1520"/>
      <c r="GC742" s="1521"/>
    </row>
    <row r="743" spans="1:185" ht="12.95" customHeight="1">
      <c r="B743" s="1322"/>
      <c r="C743" s="1323"/>
      <c r="D743" s="1323"/>
      <c r="E743" s="1323"/>
      <c r="F743" s="1324"/>
      <c r="G743" s="1316"/>
      <c r="H743" s="1317"/>
      <c r="I743" s="1317"/>
      <c r="J743" s="1318"/>
      <c r="K743" s="1319"/>
      <c r="L743" s="1320"/>
      <c r="M743" s="1320"/>
      <c r="N743" s="1321"/>
      <c r="O743" s="1369"/>
      <c r="P743" s="1370"/>
      <c r="Q743" s="1370"/>
      <c r="R743" s="1370"/>
      <c r="S743" s="1371"/>
      <c r="T743" s="1369"/>
      <c r="U743" s="1370"/>
      <c r="V743" s="1370"/>
      <c r="W743" s="1371"/>
      <c r="X743" s="1398">
        <f t="shared" si="9"/>
        <v>0</v>
      </c>
      <c r="Y743" s="1399"/>
      <c r="Z743" s="1399"/>
      <c r="AA743" s="1399"/>
      <c r="AB743" s="1400"/>
      <c r="AC743" s="1382"/>
      <c r="AD743" s="1383"/>
      <c r="AE743" s="1383"/>
      <c r="AF743" s="1383"/>
      <c r="AG743" s="1384"/>
      <c r="AH743" s="1401" t="str">
        <f t="shared" si="37"/>
        <v/>
      </c>
      <c r="AI743" s="1402"/>
      <c r="AJ743" s="1403"/>
      <c r="AK743" s="1322" t="s">
        <v>589</v>
      </c>
      <c r="AL743" s="1323"/>
      <c r="AM743" s="1323"/>
      <c r="AN743" s="1323"/>
      <c r="AO743" s="1324"/>
      <c r="AP743" s="3"/>
      <c r="AQ743" s="3"/>
      <c r="AR743" s="3"/>
      <c r="AS743" s="3"/>
      <c r="AY743" s="1075"/>
      <c r="AZ743" s="118" t="str">
        <f t="shared" si="10"/>
        <v>N/A</v>
      </c>
      <c r="BA743" s="3"/>
      <c r="BB743" s="3"/>
      <c r="BC743" s="3"/>
      <c r="BD743" s="3"/>
      <c r="BE743" s="204"/>
      <c r="BF743" s="294">
        <f t="shared" si="11"/>
        <v>0</v>
      </c>
      <c r="BG743" s="297">
        <f t="shared" si="12"/>
        <v>0</v>
      </c>
      <c r="BH743" s="298" t="str">
        <f t="shared" si="13"/>
        <v/>
      </c>
      <c r="BI743" s="3"/>
      <c r="BJ743" s="3"/>
      <c r="BK743" s="3"/>
      <c r="BL743" s="3"/>
      <c r="BM743" s="3"/>
      <c r="BN743" s="3"/>
      <c r="BS743" s="294">
        <f t="shared" si="14"/>
        <v>0</v>
      </c>
      <c r="BT743" s="297">
        <f t="shared" si="15"/>
        <v>0</v>
      </c>
      <c r="BU743" s="298" t="str">
        <f t="shared" si="16"/>
        <v/>
      </c>
      <c r="BV743" s="3"/>
      <c r="BW743" s="3"/>
      <c r="BX743" s="3"/>
      <c r="BY743" s="3"/>
      <c r="BZ743" s="3"/>
      <c r="CA743" s="3"/>
      <c r="CB743" s="3"/>
      <c r="CC743" s="3"/>
      <c r="CE743" s="3"/>
      <c r="CF743" s="3"/>
      <c r="CG743" s="1519">
        <f t="shared" si="38"/>
        <v>0</v>
      </c>
      <c r="CH743" s="1521"/>
      <c r="CI743" s="1497">
        <f t="shared" si="39"/>
        <v>0</v>
      </c>
      <c r="CJ743" s="1498"/>
      <c r="CK743" s="1519">
        <f t="shared" si="17"/>
        <v>0</v>
      </c>
      <c r="CL743" s="1521"/>
      <c r="CM743" s="1497">
        <f t="shared" si="18"/>
        <v>0</v>
      </c>
      <c r="CN743" s="1498"/>
      <c r="CO743" s="3"/>
      <c r="CP743" s="1515">
        <f t="shared" si="19"/>
        <v>0</v>
      </c>
      <c r="CQ743" s="1516"/>
      <c r="CR743" s="1516"/>
      <c r="CS743" s="1516"/>
      <c r="CT743" s="1517"/>
      <c r="CU743" s="1513">
        <f t="shared" si="20"/>
        <v>0</v>
      </c>
      <c r="CV743" s="1513"/>
      <c r="CW743" s="1513"/>
      <c r="CX743" s="1513"/>
      <c r="CY743" s="1513"/>
      <c r="CZ743" s="1513">
        <f t="shared" si="21"/>
        <v>0</v>
      </c>
      <c r="DA743" s="1513"/>
      <c r="DB743" s="1513"/>
      <c r="DC743" s="1513"/>
      <c r="DD743" s="1513"/>
      <c r="DE743" s="1513">
        <f t="shared" si="22"/>
        <v>0</v>
      </c>
      <c r="DF743" s="1513"/>
      <c r="DG743" s="1513"/>
      <c r="DH743" s="1513"/>
      <c r="DI743" s="1513"/>
      <c r="DJ743" s="1513">
        <f t="shared" si="23"/>
        <v>0</v>
      </c>
      <c r="DK743" s="1513"/>
      <c r="DL743" s="1513"/>
      <c r="DM743" s="1513"/>
      <c r="DN743" s="1513"/>
      <c r="DO743" s="1513">
        <f t="shared" si="24"/>
        <v>0</v>
      </c>
      <c r="DP743" s="1513"/>
      <c r="DQ743" s="1513"/>
      <c r="DR743" s="1513"/>
      <c r="DS743" s="1513"/>
      <c r="DT743" s="6"/>
      <c r="DU743" s="1503">
        <f t="shared" si="25"/>
        <v>0</v>
      </c>
      <c r="DV743" s="1503"/>
      <c r="DW743" s="1503"/>
      <c r="DX743" s="1503"/>
      <c r="DY743" s="1503"/>
      <c r="DZ743" s="1503">
        <f t="shared" si="26"/>
        <v>0</v>
      </c>
      <c r="EA743" s="1503"/>
      <c r="EB743" s="1503"/>
      <c r="EC743" s="1503"/>
      <c r="ED743" s="1503"/>
      <c r="EE743" s="1503">
        <f t="shared" si="27"/>
        <v>0</v>
      </c>
      <c r="EF743" s="1503"/>
      <c r="EG743" s="1503"/>
      <c r="EH743" s="1503"/>
      <c r="EI743" s="1503"/>
      <c r="EJ743" s="1503">
        <f t="shared" si="28"/>
        <v>0</v>
      </c>
      <c r="EK743" s="1503"/>
      <c r="EL743" s="1503"/>
      <c r="EM743" s="1503"/>
      <c r="EN743" s="1503"/>
      <c r="EO743" s="1503">
        <f t="shared" si="29"/>
        <v>0</v>
      </c>
      <c r="EP743" s="1503"/>
      <c r="EQ743" s="1503"/>
      <c r="ER743" s="1503"/>
      <c r="ES743" s="1503"/>
      <c r="ET743" s="1503">
        <f t="shared" si="30"/>
        <v>0</v>
      </c>
      <c r="EU743" s="1503"/>
      <c r="EV743" s="1503"/>
      <c r="EW743" s="1503"/>
      <c r="EX743" s="1503"/>
      <c r="EZ743" s="1519" t="str">
        <f t="shared" si="31"/>
        <v/>
      </c>
      <c r="FA743" s="1520"/>
      <c r="FB743" s="1520"/>
      <c r="FC743" s="1520"/>
      <c r="FD743" s="1521"/>
      <c r="FE743" s="1519" t="str">
        <f t="shared" si="32"/>
        <v/>
      </c>
      <c r="FF743" s="1520"/>
      <c r="FG743" s="1520"/>
      <c r="FH743" s="1520"/>
      <c r="FI743" s="1521"/>
      <c r="FJ743" s="1519" t="str">
        <f t="shared" si="33"/>
        <v/>
      </c>
      <c r="FK743" s="1520"/>
      <c r="FL743" s="1520"/>
      <c r="FM743" s="1520"/>
      <c r="FN743" s="1521"/>
      <c r="FO743" s="1519" t="str">
        <f t="shared" si="34"/>
        <v/>
      </c>
      <c r="FP743" s="1520"/>
      <c r="FQ743" s="1520"/>
      <c r="FR743" s="1520"/>
      <c r="FS743" s="1521"/>
      <c r="FT743" s="1519" t="str">
        <f t="shared" si="35"/>
        <v/>
      </c>
      <c r="FU743" s="1520"/>
      <c r="FV743" s="1520"/>
      <c r="FW743" s="1520"/>
      <c r="FX743" s="1521"/>
      <c r="FY743" s="1519" t="str">
        <f t="shared" si="36"/>
        <v/>
      </c>
      <c r="FZ743" s="1520"/>
      <c r="GA743" s="1520"/>
      <c r="GB743" s="1520"/>
      <c r="GC743" s="1521"/>
    </row>
    <row r="744" spans="1:185" ht="12.95" customHeight="1">
      <c r="B744" s="1322"/>
      <c r="C744" s="1323"/>
      <c r="D744" s="1323"/>
      <c r="E744" s="1323"/>
      <c r="F744" s="1324"/>
      <c r="G744" s="1316"/>
      <c r="H744" s="1317"/>
      <c r="I744" s="1317"/>
      <c r="J744" s="1318"/>
      <c r="K744" s="1319"/>
      <c r="L744" s="1320"/>
      <c r="M744" s="1320"/>
      <c r="N744" s="1321"/>
      <c r="O744" s="1369"/>
      <c r="P744" s="1370"/>
      <c r="Q744" s="1370"/>
      <c r="R744" s="1370"/>
      <c r="S744" s="1371"/>
      <c r="T744" s="1369"/>
      <c r="U744" s="1370"/>
      <c r="V744" s="1370"/>
      <c r="W744" s="1371"/>
      <c r="X744" s="1398">
        <f t="shared" si="9"/>
        <v>0</v>
      </c>
      <c r="Y744" s="1399"/>
      <c r="Z744" s="1399"/>
      <c r="AA744" s="1399"/>
      <c r="AB744" s="1400"/>
      <c r="AC744" s="1382"/>
      <c r="AD744" s="1383"/>
      <c r="AE744" s="1383"/>
      <c r="AF744" s="1383"/>
      <c r="AG744" s="1384"/>
      <c r="AH744" s="1401" t="str">
        <f t="shared" si="37"/>
        <v/>
      </c>
      <c r="AI744" s="1402"/>
      <c r="AJ744" s="1403"/>
      <c r="AK744" s="1322" t="s">
        <v>589</v>
      </c>
      <c r="AL744" s="1323"/>
      <c r="AM744" s="1323"/>
      <c r="AN744" s="1323"/>
      <c r="AO744" s="1324"/>
      <c r="AP744" s="3"/>
      <c r="AQ744" s="3"/>
      <c r="AR744" s="3"/>
      <c r="AS744" s="3"/>
      <c r="AY744" s="1075"/>
      <c r="AZ744" s="118" t="str">
        <f t="shared" si="10"/>
        <v>N/A</v>
      </c>
      <c r="BA744" s="3"/>
      <c r="BB744" s="3"/>
      <c r="BC744" s="3"/>
      <c r="BD744" s="3"/>
      <c r="BE744" s="204"/>
      <c r="BF744" s="294">
        <f t="shared" si="11"/>
        <v>0</v>
      </c>
      <c r="BG744" s="297">
        <f t="shared" si="12"/>
        <v>0</v>
      </c>
      <c r="BH744" s="298" t="str">
        <f t="shared" si="13"/>
        <v/>
      </c>
      <c r="BI744" s="3"/>
      <c r="BJ744" s="3"/>
      <c r="BK744" s="3"/>
      <c r="BL744" s="3"/>
      <c r="BM744" s="3"/>
      <c r="BN744" s="3"/>
      <c r="BS744" s="294">
        <f t="shared" si="14"/>
        <v>0</v>
      </c>
      <c r="BT744" s="297">
        <f t="shared" si="15"/>
        <v>0</v>
      </c>
      <c r="BU744" s="298" t="str">
        <f t="shared" si="16"/>
        <v/>
      </c>
      <c r="BV744" s="3"/>
      <c r="BW744" s="3"/>
      <c r="BX744" s="3"/>
      <c r="BY744" s="3"/>
      <c r="BZ744" s="3"/>
      <c r="CA744" s="3"/>
      <c r="CB744" s="3"/>
      <c r="CC744" s="3"/>
      <c r="CE744" s="3"/>
      <c r="CF744" s="3"/>
      <c r="CG744" s="1519">
        <f t="shared" si="38"/>
        <v>0</v>
      </c>
      <c r="CH744" s="1521"/>
      <c r="CI744" s="1497">
        <f t="shared" si="39"/>
        <v>0</v>
      </c>
      <c r="CJ744" s="1498"/>
      <c r="CK744" s="1519">
        <f t="shared" si="17"/>
        <v>0</v>
      </c>
      <c r="CL744" s="1521"/>
      <c r="CM744" s="1497">
        <f t="shared" si="18"/>
        <v>0</v>
      </c>
      <c r="CN744" s="1498"/>
      <c r="CO744" s="3"/>
      <c r="CP744" s="1515">
        <f t="shared" si="19"/>
        <v>0</v>
      </c>
      <c r="CQ744" s="1516"/>
      <c r="CR744" s="1516"/>
      <c r="CS744" s="1516"/>
      <c r="CT744" s="1517"/>
      <c r="CU744" s="1513">
        <f t="shared" si="20"/>
        <v>0</v>
      </c>
      <c r="CV744" s="1513"/>
      <c r="CW744" s="1513"/>
      <c r="CX744" s="1513"/>
      <c r="CY744" s="1513"/>
      <c r="CZ744" s="1513">
        <f t="shared" si="21"/>
        <v>0</v>
      </c>
      <c r="DA744" s="1513"/>
      <c r="DB744" s="1513"/>
      <c r="DC744" s="1513"/>
      <c r="DD744" s="1513"/>
      <c r="DE744" s="1513">
        <f t="shared" si="22"/>
        <v>0</v>
      </c>
      <c r="DF744" s="1513"/>
      <c r="DG744" s="1513"/>
      <c r="DH744" s="1513"/>
      <c r="DI744" s="1513"/>
      <c r="DJ744" s="1513">
        <f t="shared" si="23"/>
        <v>0</v>
      </c>
      <c r="DK744" s="1513"/>
      <c r="DL744" s="1513"/>
      <c r="DM744" s="1513"/>
      <c r="DN744" s="1513"/>
      <c r="DO744" s="1513">
        <f t="shared" si="24"/>
        <v>0</v>
      </c>
      <c r="DP744" s="1513"/>
      <c r="DQ744" s="1513"/>
      <c r="DR744" s="1513"/>
      <c r="DS744" s="1513"/>
      <c r="DT744" s="6"/>
      <c r="DU744" s="1503">
        <f t="shared" si="25"/>
        <v>0</v>
      </c>
      <c r="DV744" s="1503"/>
      <c r="DW744" s="1503"/>
      <c r="DX744" s="1503"/>
      <c r="DY744" s="1503"/>
      <c r="DZ744" s="1503">
        <f t="shared" si="26"/>
        <v>0</v>
      </c>
      <c r="EA744" s="1503"/>
      <c r="EB744" s="1503"/>
      <c r="EC744" s="1503"/>
      <c r="ED744" s="1503"/>
      <c r="EE744" s="1503">
        <f t="shared" si="27"/>
        <v>0</v>
      </c>
      <c r="EF744" s="1503"/>
      <c r="EG744" s="1503"/>
      <c r="EH744" s="1503"/>
      <c r="EI744" s="1503"/>
      <c r="EJ744" s="1503">
        <f t="shared" si="28"/>
        <v>0</v>
      </c>
      <c r="EK744" s="1503"/>
      <c r="EL744" s="1503"/>
      <c r="EM744" s="1503"/>
      <c r="EN744" s="1503"/>
      <c r="EO744" s="1503">
        <f t="shared" si="29"/>
        <v>0</v>
      </c>
      <c r="EP744" s="1503"/>
      <c r="EQ744" s="1503"/>
      <c r="ER744" s="1503"/>
      <c r="ES744" s="1503"/>
      <c r="ET744" s="1503">
        <f t="shared" si="30"/>
        <v>0</v>
      </c>
      <c r="EU744" s="1503"/>
      <c r="EV744" s="1503"/>
      <c r="EW744" s="1503"/>
      <c r="EX744" s="1503"/>
      <c r="EZ744" s="1519" t="str">
        <f t="shared" si="31"/>
        <v/>
      </c>
      <c r="FA744" s="1520"/>
      <c r="FB744" s="1520"/>
      <c r="FC744" s="1520"/>
      <c r="FD744" s="1521"/>
      <c r="FE744" s="1519" t="str">
        <f t="shared" si="32"/>
        <v/>
      </c>
      <c r="FF744" s="1520"/>
      <c r="FG744" s="1520"/>
      <c r="FH744" s="1520"/>
      <c r="FI744" s="1521"/>
      <c r="FJ744" s="1519" t="str">
        <f t="shared" si="33"/>
        <v/>
      </c>
      <c r="FK744" s="1520"/>
      <c r="FL744" s="1520"/>
      <c r="FM744" s="1520"/>
      <c r="FN744" s="1521"/>
      <c r="FO744" s="1519" t="str">
        <f t="shared" si="34"/>
        <v/>
      </c>
      <c r="FP744" s="1520"/>
      <c r="FQ744" s="1520"/>
      <c r="FR744" s="1520"/>
      <c r="FS744" s="1521"/>
      <c r="FT744" s="1519" t="str">
        <f t="shared" si="35"/>
        <v/>
      </c>
      <c r="FU744" s="1520"/>
      <c r="FV744" s="1520"/>
      <c r="FW744" s="1520"/>
      <c r="FX744" s="1521"/>
      <c r="FY744" s="1519" t="str">
        <f t="shared" si="36"/>
        <v/>
      </c>
      <c r="FZ744" s="1520"/>
      <c r="GA744" s="1520"/>
      <c r="GB744" s="1520"/>
      <c r="GC744" s="1521"/>
    </row>
    <row r="745" spans="1:185" ht="12.95" customHeight="1">
      <c r="B745" s="1322"/>
      <c r="C745" s="1323"/>
      <c r="D745" s="1323"/>
      <c r="E745" s="1323"/>
      <c r="F745" s="1324"/>
      <c r="G745" s="1316"/>
      <c r="H745" s="1317"/>
      <c r="I745" s="1317"/>
      <c r="J745" s="1318"/>
      <c r="K745" s="1319"/>
      <c r="L745" s="1320"/>
      <c r="M745" s="1320"/>
      <c r="N745" s="1321"/>
      <c r="O745" s="1369"/>
      <c r="P745" s="1370"/>
      <c r="Q745" s="1370"/>
      <c r="R745" s="1370"/>
      <c r="S745" s="1371"/>
      <c r="T745" s="1369"/>
      <c r="U745" s="1370"/>
      <c r="V745" s="1370"/>
      <c r="W745" s="1371"/>
      <c r="X745" s="1398">
        <f t="shared" si="9"/>
        <v>0</v>
      </c>
      <c r="Y745" s="1399"/>
      <c r="Z745" s="1399"/>
      <c r="AA745" s="1399"/>
      <c r="AB745" s="1400"/>
      <c r="AC745" s="1382"/>
      <c r="AD745" s="1383"/>
      <c r="AE745" s="1383"/>
      <c r="AF745" s="1383"/>
      <c r="AG745" s="1384"/>
      <c r="AH745" s="1401" t="str">
        <f t="shared" si="37"/>
        <v/>
      </c>
      <c r="AI745" s="1402"/>
      <c r="AJ745" s="1403"/>
      <c r="AK745" s="1322" t="s">
        <v>589</v>
      </c>
      <c r="AL745" s="1323"/>
      <c r="AM745" s="1323"/>
      <c r="AN745" s="1323"/>
      <c r="AO745" s="1324"/>
      <c r="AP745" s="3"/>
      <c r="AQ745" s="3"/>
      <c r="AR745" s="3"/>
      <c r="AS745" s="3"/>
      <c r="AY745" s="1075"/>
      <c r="AZ745" s="118" t="str">
        <f t="shared" si="10"/>
        <v>N/A</v>
      </c>
      <c r="BA745" s="3"/>
      <c r="BB745" s="3"/>
      <c r="BC745" s="3"/>
      <c r="BD745" s="3"/>
      <c r="BE745" s="204"/>
      <c r="BF745" s="294">
        <f t="shared" si="11"/>
        <v>0</v>
      </c>
      <c r="BG745" s="297">
        <f t="shared" si="12"/>
        <v>0</v>
      </c>
      <c r="BH745" s="298" t="str">
        <f t="shared" si="13"/>
        <v/>
      </c>
      <c r="BI745" s="3"/>
      <c r="BJ745" s="3"/>
      <c r="BK745" s="3"/>
      <c r="BL745" s="3"/>
      <c r="BM745" s="3"/>
      <c r="BN745" s="3"/>
      <c r="BS745" s="294">
        <f t="shared" si="14"/>
        <v>0</v>
      </c>
      <c r="BT745" s="297">
        <f t="shared" si="15"/>
        <v>0</v>
      </c>
      <c r="BU745" s="298" t="str">
        <f t="shared" si="16"/>
        <v/>
      </c>
      <c r="BV745" s="3"/>
      <c r="BW745" s="3"/>
      <c r="BX745" s="3"/>
      <c r="BY745" s="3"/>
      <c r="BZ745" s="3"/>
      <c r="CA745" s="3"/>
      <c r="CB745" s="3"/>
      <c r="CC745" s="3"/>
      <c r="CE745" s="3"/>
      <c r="CF745" s="3"/>
      <c r="CG745" s="1519">
        <f t="shared" si="38"/>
        <v>0</v>
      </c>
      <c r="CH745" s="1521"/>
      <c r="CI745" s="1497">
        <f t="shared" si="39"/>
        <v>0</v>
      </c>
      <c r="CJ745" s="1498"/>
      <c r="CK745" s="1519">
        <f t="shared" si="17"/>
        <v>0</v>
      </c>
      <c r="CL745" s="1521"/>
      <c r="CM745" s="1497">
        <f t="shared" si="18"/>
        <v>0</v>
      </c>
      <c r="CN745" s="1498"/>
      <c r="CO745" s="3"/>
      <c r="CP745" s="1515">
        <f t="shared" si="19"/>
        <v>0</v>
      </c>
      <c r="CQ745" s="1516"/>
      <c r="CR745" s="1516"/>
      <c r="CS745" s="1516"/>
      <c r="CT745" s="1517"/>
      <c r="CU745" s="1513">
        <f t="shared" si="20"/>
        <v>0</v>
      </c>
      <c r="CV745" s="1513"/>
      <c r="CW745" s="1513"/>
      <c r="CX745" s="1513"/>
      <c r="CY745" s="1513"/>
      <c r="CZ745" s="1513">
        <f t="shared" si="21"/>
        <v>0</v>
      </c>
      <c r="DA745" s="1513"/>
      <c r="DB745" s="1513"/>
      <c r="DC745" s="1513"/>
      <c r="DD745" s="1513"/>
      <c r="DE745" s="1513">
        <f t="shared" si="22"/>
        <v>0</v>
      </c>
      <c r="DF745" s="1513"/>
      <c r="DG745" s="1513"/>
      <c r="DH745" s="1513"/>
      <c r="DI745" s="1513"/>
      <c r="DJ745" s="1513">
        <f t="shared" si="23"/>
        <v>0</v>
      </c>
      <c r="DK745" s="1513"/>
      <c r="DL745" s="1513"/>
      <c r="DM745" s="1513"/>
      <c r="DN745" s="1513"/>
      <c r="DO745" s="1513">
        <f t="shared" si="24"/>
        <v>0</v>
      </c>
      <c r="DP745" s="1513"/>
      <c r="DQ745" s="1513"/>
      <c r="DR745" s="1513"/>
      <c r="DS745" s="1513"/>
      <c r="DT745" s="6"/>
      <c r="DU745" s="1503">
        <f t="shared" si="25"/>
        <v>0</v>
      </c>
      <c r="DV745" s="1503"/>
      <c r="DW745" s="1503"/>
      <c r="DX745" s="1503"/>
      <c r="DY745" s="1503"/>
      <c r="DZ745" s="1503">
        <f t="shared" si="26"/>
        <v>0</v>
      </c>
      <c r="EA745" s="1503"/>
      <c r="EB745" s="1503"/>
      <c r="EC745" s="1503"/>
      <c r="ED745" s="1503"/>
      <c r="EE745" s="1503">
        <f t="shared" si="27"/>
        <v>0</v>
      </c>
      <c r="EF745" s="1503"/>
      <c r="EG745" s="1503"/>
      <c r="EH745" s="1503"/>
      <c r="EI745" s="1503"/>
      <c r="EJ745" s="1503">
        <f t="shared" si="28"/>
        <v>0</v>
      </c>
      <c r="EK745" s="1503"/>
      <c r="EL745" s="1503"/>
      <c r="EM745" s="1503"/>
      <c r="EN745" s="1503"/>
      <c r="EO745" s="1503">
        <f t="shared" si="29"/>
        <v>0</v>
      </c>
      <c r="EP745" s="1503"/>
      <c r="EQ745" s="1503"/>
      <c r="ER745" s="1503"/>
      <c r="ES745" s="1503"/>
      <c r="ET745" s="1503">
        <f t="shared" si="30"/>
        <v>0</v>
      </c>
      <c r="EU745" s="1503"/>
      <c r="EV745" s="1503"/>
      <c r="EW745" s="1503"/>
      <c r="EX745" s="1503"/>
      <c r="EZ745" s="1519" t="str">
        <f t="shared" si="31"/>
        <v/>
      </c>
      <c r="FA745" s="1520"/>
      <c r="FB745" s="1520"/>
      <c r="FC745" s="1520"/>
      <c r="FD745" s="1521"/>
      <c r="FE745" s="1519" t="str">
        <f t="shared" si="32"/>
        <v/>
      </c>
      <c r="FF745" s="1520"/>
      <c r="FG745" s="1520"/>
      <c r="FH745" s="1520"/>
      <c r="FI745" s="1521"/>
      <c r="FJ745" s="1519" t="str">
        <f t="shared" si="33"/>
        <v/>
      </c>
      <c r="FK745" s="1520"/>
      <c r="FL745" s="1520"/>
      <c r="FM745" s="1520"/>
      <c r="FN745" s="1521"/>
      <c r="FO745" s="1519" t="str">
        <f t="shared" si="34"/>
        <v/>
      </c>
      <c r="FP745" s="1520"/>
      <c r="FQ745" s="1520"/>
      <c r="FR745" s="1520"/>
      <c r="FS745" s="1521"/>
      <c r="FT745" s="1519" t="str">
        <f t="shared" si="35"/>
        <v/>
      </c>
      <c r="FU745" s="1520"/>
      <c r="FV745" s="1520"/>
      <c r="FW745" s="1520"/>
      <c r="FX745" s="1521"/>
      <c r="FY745" s="1519" t="str">
        <f t="shared" si="36"/>
        <v/>
      </c>
      <c r="FZ745" s="1520"/>
      <c r="GA745" s="1520"/>
      <c r="GB745" s="1520"/>
      <c r="GC745" s="1521"/>
    </row>
    <row r="746" spans="1:185" ht="12.95" customHeight="1">
      <c r="B746" s="1322"/>
      <c r="C746" s="1323"/>
      <c r="D746" s="1323"/>
      <c r="E746" s="1323"/>
      <c r="F746" s="1324"/>
      <c r="G746" s="1316"/>
      <c r="H746" s="1317"/>
      <c r="I746" s="1317"/>
      <c r="J746" s="1318"/>
      <c r="K746" s="1319"/>
      <c r="L746" s="1320"/>
      <c r="M746" s="1320"/>
      <c r="N746" s="1321"/>
      <c r="O746" s="1369"/>
      <c r="P746" s="1370"/>
      <c r="Q746" s="1370"/>
      <c r="R746" s="1370"/>
      <c r="S746" s="1371"/>
      <c r="T746" s="1369"/>
      <c r="U746" s="1370"/>
      <c r="V746" s="1370"/>
      <c r="W746" s="1371"/>
      <c r="X746" s="1398">
        <f t="shared" si="9"/>
        <v>0</v>
      </c>
      <c r="Y746" s="1399"/>
      <c r="Z746" s="1399"/>
      <c r="AA746" s="1399"/>
      <c r="AB746" s="1400"/>
      <c r="AC746" s="1382"/>
      <c r="AD746" s="1383"/>
      <c r="AE746" s="1383"/>
      <c r="AF746" s="1383"/>
      <c r="AG746" s="1384"/>
      <c r="AH746" s="1401" t="str">
        <f t="shared" si="37"/>
        <v/>
      </c>
      <c r="AI746" s="1402"/>
      <c r="AJ746" s="1403"/>
      <c r="AK746" s="1322" t="s">
        <v>589</v>
      </c>
      <c r="AL746" s="1323"/>
      <c r="AM746" s="1323"/>
      <c r="AN746" s="1323"/>
      <c r="AO746" s="1324"/>
      <c r="AP746" s="3"/>
      <c r="AQ746" s="3"/>
      <c r="AR746" s="3"/>
      <c r="AS746" s="3"/>
      <c r="AY746" s="1075"/>
      <c r="AZ746" s="118" t="str">
        <f t="shared" si="10"/>
        <v>N/A</v>
      </c>
      <c r="BA746" s="3"/>
      <c r="BE746" s="204"/>
      <c r="BF746" s="294">
        <f t="shared" si="11"/>
        <v>0</v>
      </c>
      <c r="BG746" s="297">
        <f t="shared" si="12"/>
        <v>0</v>
      </c>
      <c r="BH746" s="298" t="str">
        <f t="shared" si="13"/>
        <v/>
      </c>
      <c r="BK746" s="3"/>
      <c r="BL746" s="3"/>
      <c r="BM746" s="3"/>
      <c r="BN746" s="3"/>
      <c r="BS746" s="294">
        <f t="shared" si="14"/>
        <v>0</v>
      </c>
      <c r="BT746" s="297">
        <f t="shared" si="15"/>
        <v>0</v>
      </c>
      <c r="BU746" s="298" t="str">
        <f t="shared" si="16"/>
        <v/>
      </c>
      <c r="BV746" s="3"/>
      <c r="BW746" s="3"/>
      <c r="BX746" s="3"/>
      <c r="BY746" s="3"/>
      <c r="BZ746" s="3"/>
      <c r="CA746" s="3"/>
      <c r="CB746" s="3"/>
      <c r="CC746" s="3"/>
      <c r="CE746" s="3"/>
      <c r="CF746" s="3"/>
      <c r="CG746" s="1519">
        <f t="shared" si="38"/>
        <v>0</v>
      </c>
      <c r="CH746" s="1521"/>
      <c r="CI746" s="1497">
        <f t="shared" si="39"/>
        <v>0</v>
      </c>
      <c r="CJ746" s="1498"/>
      <c r="CK746" s="1519">
        <f t="shared" si="17"/>
        <v>0</v>
      </c>
      <c r="CL746" s="1521"/>
      <c r="CM746" s="1497">
        <f t="shared" si="18"/>
        <v>0</v>
      </c>
      <c r="CN746" s="1498"/>
      <c r="CO746" s="3"/>
      <c r="CP746" s="1515">
        <f t="shared" si="19"/>
        <v>0</v>
      </c>
      <c r="CQ746" s="1516"/>
      <c r="CR746" s="1516"/>
      <c r="CS746" s="1516"/>
      <c r="CT746" s="1517"/>
      <c r="CU746" s="1513">
        <f t="shared" si="20"/>
        <v>0</v>
      </c>
      <c r="CV746" s="1513"/>
      <c r="CW746" s="1513"/>
      <c r="CX746" s="1513"/>
      <c r="CY746" s="1513"/>
      <c r="CZ746" s="1513">
        <f t="shared" si="21"/>
        <v>0</v>
      </c>
      <c r="DA746" s="1513"/>
      <c r="DB746" s="1513"/>
      <c r="DC746" s="1513"/>
      <c r="DD746" s="1513"/>
      <c r="DE746" s="1513">
        <f t="shared" si="22"/>
        <v>0</v>
      </c>
      <c r="DF746" s="1513"/>
      <c r="DG746" s="1513"/>
      <c r="DH746" s="1513"/>
      <c r="DI746" s="1513"/>
      <c r="DJ746" s="1513">
        <f t="shared" si="23"/>
        <v>0</v>
      </c>
      <c r="DK746" s="1513"/>
      <c r="DL746" s="1513"/>
      <c r="DM746" s="1513"/>
      <c r="DN746" s="1513"/>
      <c r="DO746" s="1513">
        <f t="shared" si="24"/>
        <v>0</v>
      </c>
      <c r="DP746" s="1513"/>
      <c r="DQ746" s="1513"/>
      <c r="DR746" s="1513"/>
      <c r="DS746" s="1513"/>
      <c r="DT746" s="6"/>
      <c r="DU746" s="1503">
        <f t="shared" si="25"/>
        <v>0</v>
      </c>
      <c r="DV746" s="1503"/>
      <c r="DW746" s="1503"/>
      <c r="DX746" s="1503"/>
      <c r="DY746" s="1503"/>
      <c r="DZ746" s="1503">
        <f t="shared" si="26"/>
        <v>0</v>
      </c>
      <c r="EA746" s="1503"/>
      <c r="EB746" s="1503"/>
      <c r="EC746" s="1503"/>
      <c r="ED746" s="1503"/>
      <c r="EE746" s="1503">
        <f t="shared" si="27"/>
        <v>0</v>
      </c>
      <c r="EF746" s="1503"/>
      <c r="EG746" s="1503"/>
      <c r="EH746" s="1503"/>
      <c r="EI746" s="1503"/>
      <c r="EJ746" s="1503">
        <f t="shared" si="28"/>
        <v>0</v>
      </c>
      <c r="EK746" s="1503"/>
      <c r="EL746" s="1503"/>
      <c r="EM746" s="1503"/>
      <c r="EN746" s="1503"/>
      <c r="EO746" s="1503">
        <f t="shared" si="29"/>
        <v>0</v>
      </c>
      <c r="EP746" s="1503"/>
      <c r="EQ746" s="1503"/>
      <c r="ER746" s="1503"/>
      <c r="ES746" s="1503"/>
      <c r="ET746" s="1503">
        <f t="shared" si="30"/>
        <v>0</v>
      </c>
      <c r="EU746" s="1503"/>
      <c r="EV746" s="1503"/>
      <c r="EW746" s="1503"/>
      <c r="EX746" s="1503"/>
      <c r="EZ746" s="1519" t="str">
        <f t="shared" si="31"/>
        <v/>
      </c>
      <c r="FA746" s="1520"/>
      <c r="FB746" s="1520"/>
      <c r="FC746" s="1520"/>
      <c r="FD746" s="1521"/>
      <c r="FE746" s="1519" t="str">
        <f t="shared" si="32"/>
        <v/>
      </c>
      <c r="FF746" s="1520"/>
      <c r="FG746" s="1520"/>
      <c r="FH746" s="1520"/>
      <c r="FI746" s="1521"/>
      <c r="FJ746" s="1519" t="str">
        <f t="shared" si="33"/>
        <v/>
      </c>
      <c r="FK746" s="1520"/>
      <c r="FL746" s="1520"/>
      <c r="FM746" s="1520"/>
      <c r="FN746" s="1521"/>
      <c r="FO746" s="1519" t="str">
        <f t="shared" si="34"/>
        <v/>
      </c>
      <c r="FP746" s="1520"/>
      <c r="FQ746" s="1520"/>
      <c r="FR746" s="1520"/>
      <c r="FS746" s="1521"/>
      <c r="FT746" s="1519" t="str">
        <f t="shared" si="35"/>
        <v/>
      </c>
      <c r="FU746" s="1520"/>
      <c r="FV746" s="1520"/>
      <c r="FW746" s="1520"/>
      <c r="FX746" s="1521"/>
      <c r="FY746" s="1519" t="str">
        <f t="shared" si="36"/>
        <v/>
      </c>
      <c r="FZ746" s="1520"/>
      <c r="GA746" s="1520"/>
      <c r="GB746" s="1520"/>
      <c r="GC746" s="1521"/>
    </row>
    <row r="747" spans="1:185" ht="12.95" customHeight="1">
      <c r="B747" s="1322"/>
      <c r="C747" s="1323"/>
      <c r="D747" s="1323"/>
      <c r="E747" s="1323"/>
      <c r="F747" s="1324"/>
      <c r="G747" s="1316"/>
      <c r="H747" s="1317"/>
      <c r="I747" s="1317"/>
      <c r="J747" s="1318"/>
      <c r="K747" s="1319"/>
      <c r="L747" s="1320"/>
      <c r="M747" s="1320"/>
      <c r="N747" s="1321"/>
      <c r="O747" s="1369"/>
      <c r="P747" s="1370"/>
      <c r="Q747" s="1370"/>
      <c r="R747" s="1370"/>
      <c r="S747" s="1371"/>
      <c r="T747" s="1369"/>
      <c r="U747" s="1370"/>
      <c r="V747" s="1370"/>
      <c r="W747" s="1371"/>
      <c r="X747" s="1398">
        <f t="shared" si="9"/>
        <v>0</v>
      </c>
      <c r="Y747" s="1399"/>
      <c r="Z747" s="1399"/>
      <c r="AA747" s="1399"/>
      <c r="AB747" s="1400"/>
      <c r="AC747" s="1382"/>
      <c r="AD747" s="1383"/>
      <c r="AE747" s="1383"/>
      <c r="AF747" s="1383"/>
      <c r="AG747" s="1384"/>
      <c r="AH747" s="1401" t="str">
        <f t="shared" si="37"/>
        <v/>
      </c>
      <c r="AI747" s="1402"/>
      <c r="AJ747" s="1403"/>
      <c r="AK747" s="1322" t="s">
        <v>589</v>
      </c>
      <c r="AL747" s="1323"/>
      <c r="AM747" s="1323"/>
      <c r="AN747" s="1323"/>
      <c r="AO747" s="1324"/>
      <c r="AP747" s="3"/>
      <c r="AQ747" s="3"/>
      <c r="AR747" s="3"/>
      <c r="AS747" s="3"/>
      <c r="AY747" s="1075"/>
      <c r="AZ747" s="118" t="str">
        <f t="shared" si="10"/>
        <v>N/A</v>
      </c>
      <c r="BA747" s="3"/>
      <c r="BE747" s="204"/>
      <c r="BF747" s="294">
        <f t="shared" si="11"/>
        <v>0</v>
      </c>
      <c r="BG747" s="297">
        <f t="shared" si="12"/>
        <v>0</v>
      </c>
      <c r="BH747" s="298" t="str">
        <f t="shared" si="13"/>
        <v/>
      </c>
      <c r="BK747" s="3"/>
      <c r="BL747" s="3"/>
      <c r="BM747" s="3"/>
      <c r="BN747" s="3"/>
      <c r="BS747" s="294">
        <f t="shared" si="14"/>
        <v>0</v>
      </c>
      <c r="BT747" s="297">
        <f t="shared" si="15"/>
        <v>0</v>
      </c>
      <c r="BU747" s="298" t="str">
        <f t="shared" si="16"/>
        <v/>
      </c>
      <c r="BV747" s="3"/>
      <c r="BW747" s="3"/>
      <c r="BX747" s="3"/>
      <c r="BY747" s="3"/>
      <c r="BZ747" s="3"/>
      <c r="CA747" s="3"/>
      <c r="CB747" s="3"/>
      <c r="CC747" s="3"/>
      <c r="CE747" s="3"/>
      <c r="CF747" s="3"/>
      <c r="CG747" s="1519">
        <f t="shared" si="38"/>
        <v>0</v>
      </c>
      <c r="CH747" s="1521"/>
      <c r="CI747" s="1497">
        <f t="shared" si="39"/>
        <v>0</v>
      </c>
      <c r="CJ747" s="1498"/>
      <c r="CK747" s="1519">
        <f t="shared" si="17"/>
        <v>0</v>
      </c>
      <c r="CL747" s="1521"/>
      <c r="CM747" s="1497">
        <f t="shared" si="18"/>
        <v>0</v>
      </c>
      <c r="CN747" s="1498"/>
      <c r="CO747" s="3"/>
      <c r="CP747" s="1515">
        <f t="shared" si="19"/>
        <v>0</v>
      </c>
      <c r="CQ747" s="1516"/>
      <c r="CR747" s="1516"/>
      <c r="CS747" s="1516"/>
      <c r="CT747" s="1517"/>
      <c r="CU747" s="1513">
        <f t="shared" si="20"/>
        <v>0</v>
      </c>
      <c r="CV747" s="1513"/>
      <c r="CW747" s="1513"/>
      <c r="CX747" s="1513"/>
      <c r="CY747" s="1513"/>
      <c r="CZ747" s="1513">
        <f t="shared" si="21"/>
        <v>0</v>
      </c>
      <c r="DA747" s="1513"/>
      <c r="DB747" s="1513"/>
      <c r="DC747" s="1513"/>
      <c r="DD747" s="1513"/>
      <c r="DE747" s="1513">
        <f t="shared" si="22"/>
        <v>0</v>
      </c>
      <c r="DF747" s="1513"/>
      <c r="DG747" s="1513"/>
      <c r="DH747" s="1513"/>
      <c r="DI747" s="1513"/>
      <c r="DJ747" s="1513">
        <f t="shared" si="23"/>
        <v>0</v>
      </c>
      <c r="DK747" s="1513"/>
      <c r="DL747" s="1513"/>
      <c r="DM747" s="1513"/>
      <c r="DN747" s="1513"/>
      <c r="DO747" s="1513">
        <f t="shared" si="24"/>
        <v>0</v>
      </c>
      <c r="DP747" s="1513"/>
      <c r="DQ747" s="1513"/>
      <c r="DR747" s="1513"/>
      <c r="DS747" s="1513"/>
      <c r="DT747" s="6"/>
      <c r="DU747" s="1503">
        <f t="shared" si="25"/>
        <v>0</v>
      </c>
      <c r="DV747" s="1503"/>
      <c r="DW747" s="1503"/>
      <c r="DX747" s="1503"/>
      <c r="DY747" s="1503"/>
      <c r="DZ747" s="1503">
        <f t="shared" si="26"/>
        <v>0</v>
      </c>
      <c r="EA747" s="1503"/>
      <c r="EB747" s="1503"/>
      <c r="EC747" s="1503"/>
      <c r="ED747" s="1503"/>
      <c r="EE747" s="1503">
        <f t="shared" si="27"/>
        <v>0</v>
      </c>
      <c r="EF747" s="1503"/>
      <c r="EG747" s="1503"/>
      <c r="EH747" s="1503"/>
      <c r="EI747" s="1503"/>
      <c r="EJ747" s="1503">
        <f t="shared" si="28"/>
        <v>0</v>
      </c>
      <c r="EK747" s="1503"/>
      <c r="EL747" s="1503"/>
      <c r="EM747" s="1503"/>
      <c r="EN747" s="1503"/>
      <c r="EO747" s="1503">
        <f t="shared" si="29"/>
        <v>0</v>
      </c>
      <c r="EP747" s="1503"/>
      <c r="EQ747" s="1503"/>
      <c r="ER747" s="1503"/>
      <c r="ES747" s="1503"/>
      <c r="ET747" s="1503">
        <f t="shared" si="30"/>
        <v>0</v>
      </c>
      <c r="EU747" s="1503"/>
      <c r="EV747" s="1503"/>
      <c r="EW747" s="1503"/>
      <c r="EX747" s="1503"/>
      <c r="EZ747" s="1519" t="str">
        <f t="shared" si="31"/>
        <v/>
      </c>
      <c r="FA747" s="1520"/>
      <c r="FB747" s="1520"/>
      <c r="FC747" s="1520"/>
      <c r="FD747" s="1521"/>
      <c r="FE747" s="1519" t="str">
        <f t="shared" si="32"/>
        <v/>
      </c>
      <c r="FF747" s="1520"/>
      <c r="FG747" s="1520"/>
      <c r="FH747" s="1520"/>
      <c r="FI747" s="1521"/>
      <c r="FJ747" s="1519" t="str">
        <f t="shared" si="33"/>
        <v/>
      </c>
      <c r="FK747" s="1520"/>
      <c r="FL747" s="1520"/>
      <c r="FM747" s="1520"/>
      <c r="FN747" s="1521"/>
      <c r="FO747" s="1519" t="str">
        <f t="shared" si="34"/>
        <v/>
      </c>
      <c r="FP747" s="1520"/>
      <c r="FQ747" s="1520"/>
      <c r="FR747" s="1520"/>
      <c r="FS747" s="1521"/>
      <c r="FT747" s="1519" t="str">
        <f t="shared" si="35"/>
        <v/>
      </c>
      <c r="FU747" s="1520"/>
      <c r="FV747" s="1520"/>
      <c r="FW747" s="1520"/>
      <c r="FX747" s="1521"/>
      <c r="FY747" s="1519" t="str">
        <f t="shared" si="36"/>
        <v/>
      </c>
      <c r="FZ747" s="1520"/>
      <c r="GA747" s="1520"/>
      <c r="GB747" s="1520"/>
      <c r="GC747" s="1521"/>
    </row>
    <row r="748" spans="1:185" ht="12.95" customHeight="1">
      <c r="B748" s="1322"/>
      <c r="C748" s="1323"/>
      <c r="D748" s="1323"/>
      <c r="E748" s="1323"/>
      <c r="F748" s="1324"/>
      <c r="G748" s="1316"/>
      <c r="H748" s="1317"/>
      <c r="I748" s="1317"/>
      <c r="J748" s="1318"/>
      <c r="K748" s="1319"/>
      <c r="L748" s="1320"/>
      <c r="M748" s="1320"/>
      <c r="N748" s="1321"/>
      <c r="O748" s="1369"/>
      <c r="P748" s="1370"/>
      <c r="Q748" s="1370"/>
      <c r="R748" s="1370"/>
      <c r="S748" s="1371"/>
      <c r="T748" s="1369"/>
      <c r="U748" s="1370"/>
      <c r="V748" s="1370"/>
      <c r="W748" s="1371"/>
      <c r="X748" s="1398">
        <f t="shared" si="9"/>
        <v>0</v>
      </c>
      <c r="Y748" s="1399"/>
      <c r="Z748" s="1399"/>
      <c r="AA748" s="1399"/>
      <c r="AB748" s="1400"/>
      <c r="AC748" s="1382"/>
      <c r="AD748" s="1383"/>
      <c r="AE748" s="1383"/>
      <c r="AF748" s="1383"/>
      <c r="AG748" s="1384"/>
      <c r="AH748" s="1401" t="str">
        <f t="shared" si="37"/>
        <v/>
      </c>
      <c r="AI748" s="1402"/>
      <c r="AJ748" s="1403"/>
      <c r="AK748" s="1322" t="s">
        <v>589</v>
      </c>
      <c r="AL748" s="1323"/>
      <c r="AM748" s="1323"/>
      <c r="AN748" s="1323"/>
      <c r="AO748" s="1324"/>
      <c r="AP748" s="3"/>
      <c r="AQ748" s="3"/>
      <c r="AR748" s="3"/>
      <c r="AS748" s="3"/>
      <c r="AY748" s="1075"/>
      <c r="AZ748" s="118" t="str">
        <f t="shared" si="10"/>
        <v>N/A</v>
      </c>
      <c r="BA748" s="3"/>
      <c r="BE748" s="204"/>
      <c r="BF748" s="294">
        <f t="shared" si="11"/>
        <v>0</v>
      </c>
      <c r="BG748" s="297">
        <f t="shared" si="12"/>
        <v>0</v>
      </c>
      <c r="BH748" s="298" t="str">
        <f t="shared" si="13"/>
        <v/>
      </c>
      <c r="BK748" s="3"/>
      <c r="BL748" s="3"/>
      <c r="BM748" s="3"/>
      <c r="BN748" s="3"/>
      <c r="BS748" s="294">
        <f t="shared" si="14"/>
        <v>0</v>
      </c>
      <c r="BT748" s="297">
        <f t="shared" si="15"/>
        <v>0</v>
      </c>
      <c r="BU748" s="298" t="str">
        <f t="shared" si="16"/>
        <v/>
      </c>
      <c r="BV748" s="3"/>
      <c r="BW748" s="3"/>
      <c r="BX748" s="3"/>
      <c r="BY748" s="3"/>
      <c r="BZ748" s="3"/>
      <c r="CA748" s="3"/>
      <c r="CB748" s="3"/>
      <c r="CC748" s="3"/>
      <c r="CE748" s="3"/>
      <c r="CF748" s="3"/>
      <c r="CG748" s="1519">
        <f t="shared" si="38"/>
        <v>0</v>
      </c>
      <c r="CH748" s="1521"/>
      <c r="CI748" s="1497">
        <f t="shared" si="39"/>
        <v>0</v>
      </c>
      <c r="CJ748" s="1498"/>
      <c r="CK748" s="1519">
        <f t="shared" si="17"/>
        <v>0</v>
      </c>
      <c r="CL748" s="1521"/>
      <c r="CM748" s="1497">
        <f t="shared" si="18"/>
        <v>0</v>
      </c>
      <c r="CN748" s="1498"/>
      <c r="CO748" s="3"/>
      <c r="CP748" s="1515">
        <f t="shared" si="19"/>
        <v>0</v>
      </c>
      <c r="CQ748" s="1516"/>
      <c r="CR748" s="1516"/>
      <c r="CS748" s="1516"/>
      <c r="CT748" s="1517"/>
      <c r="CU748" s="1513">
        <f t="shared" si="20"/>
        <v>0</v>
      </c>
      <c r="CV748" s="1513"/>
      <c r="CW748" s="1513"/>
      <c r="CX748" s="1513"/>
      <c r="CY748" s="1513"/>
      <c r="CZ748" s="1513">
        <f t="shared" si="21"/>
        <v>0</v>
      </c>
      <c r="DA748" s="1513"/>
      <c r="DB748" s="1513"/>
      <c r="DC748" s="1513"/>
      <c r="DD748" s="1513"/>
      <c r="DE748" s="1513">
        <f t="shared" si="22"/>
        <v>0</v>
      </c>
      <c r="DF748" s="1513"/>
      <c r="DG748" s="1513"/>
      <c r="DH748" s="1513"/>
      <c r="DI748" s="1513"/>
      <c r="DJ748" s="1513">
        <f t="shared" si="23"/>
        <v>0</v>
      </c>
      <c r="DK748" s="1513"/>
      <c r="DL748" s="1513"/>
      <c r="DM748" s="1513"/>
      <c r="DN748" s="1513"/>
      <c r="DO748" s="1513">
        <f t="shared" si="24"/>
        <v>0</v>
      </c>
      <c r="DP748" s="1513"/>
      <c r="DQ748" s="1513"/>
      <c r="DR748" s="1513"/>
      <c r="DS748" s="1513"/>
      <c r="DT748" s="6"/>
      <c r="DU748" s="1503">
        <f t="shared" si="25"/>
        <v>0</v>
      </c>
      <c r="DV748" s="1503"/>
      <c r="DW748" s="1503"/>
      <c r="DX748" s="1503"/>
      <c r="DY748" s="1503"/>
      <c r="DZ748" s="1503">
        <f t="shared" si="26"/>
        <v>0</v>
      </c>
      <c r="EA748" s="1503"/>
      <c r="EB748" s="1503"/>
      <c r="EC748" s="1503"/>
      <c r="ED748" s="1503"/>
      <c r="EE748" s="1503">
        <f t="shared" si="27"/>
        <v>0</v>
      </c>
      <c r="EF748" s="1503"/>
      <c r="EG748" s="1503"/>
      <c r="EH748" s="1503"/>
      <c r="EI748" s="1503"/>
      <c r="EJ748" s="1503">
        <f t="shared" si="28"/>
        <v>0</v>
      </c>
      <c r="EK748" s="1503"/>
      <c r="EL748" s="1503"/>
      <c r="EM748" s="1503"/>
      <c r="EN748" s="1503"/>
      <c r="EO748" s="1503">
        <f t="shared" si="29"/>
        <v>0</v>
      </c>
      <c r="EP748" s="1503"/>
      <c r="EQ748" s="1503"/>
      <c r="ER748" s="1503"/>
      <c r="ES748" s="1503"/>
      <c r="ET748" s="1503">
        <f t="shared" si="30"/>
        <v>0</v>
      </c>
      <c r="EU748" s="1503"/>
      <c r="EV748" s="1503"/>
      <c r="EW748" s="1503"/>
      <c r="EX748" s="1503"/>
      <c r="EZ748" s="1519" t="str">
        <f t="shared" si="31"/>
        <v/>
      </c>
      <c r="FA748" s="1520"/>
      <c r="FB748" s="1520"/>
      <c r="FC748" s="1520"/>
      <c r="FD748" s="1521"/>
      <c r="FE748" s="1519" t="str">
        <f t="shared" si="32"/>
        <v/>
      </c>
      <c r="FF748" s="1520"/>
      <c r="FG748" s="1520"/>
      <c r="FH748" s="1520"/>
      <c r="FI748" s="1521"/>
      <c r="FJ748" s="1519" t="str">
        <f t="shared" si="33"/>
        <v/>
      </c>
      <c r="FK748" s="1520"/>
      <c r="FL748" s="1520"/>
      <c r="FM748" s="1520"/>
      <c r="FN748" s="1521"/>
      <c r="FO748" s="1519" t="str">
        <f t="shared" si="34"/>
        <v/>
      </c>
      <c r="FP748" s="1520"/>
      <c r="FQ748" s="1520"/>
      <c r="FR748" s="1520"/>
      <c r="FS748" s="1521"/>
      <c r="FT748" s="1519" t="str">
        <f t="shared" si="35"/>
        <v/>
      </c>
      <c r="FU748" s="1520"/>
      <c r="FV748" s="1520"/>
      <c r="FW748" s="1520"/>
      <c r="FX748" s="1521"/>
      <c r="FY748" s="1519" t="str">
        <f t="shared" si="36"/>
        <v/>
      </c>
      <c r="FZ748" s="1520"/>
      <c r="GA748" s="1520"/>
      <c r="GB748" s="1520"/>
      <c r="GC748" s="1521"/>
    </row>
    <row r="749" spans="1:185" ht="12.95" customHeight="1">
      <c r="B749" s="1322"/>
      <c r="C749" s="1323"/>
      <c r="D749" s="1323"/>
      <c r="E749" s="1323"/>
      <c r="F749" s="1324"/>
      <c r="G749" s="1316"/>
      <c r="H749" s="1317"/>
      <c r="I749" s="1317"/>
      <c r="J749" s="1318"/>
      <c r="K749" s="1319"/>
      <c r="L749" s="1320"/>
      <c r="M749" s="1320"/>
      <c r="N749" s="1321"/>
      <c r="O749" s="1369"/>
      <c r="P749" s="1370"/>
      <c r="Q749" s="1370"/>
      <c r="R749" s="1370"/>
      <c r="S749" s="1371"/>
      <c r="T749" s="1369"/>
      <c r="U749" s="1370"/>
      <c r="V749" s="1370"/>
      <c r="W749" s="1371"/>
      <c r="X749" s="1398">
        <f t="shared" si="9"/>
        <v>0</v>
      </c>
      <c r="Y749" s="1399"/>
      <c r="Z749" s="1399"/>
      <c r="AA749" s="1399"/>
      <c r="AB749" s="1400"/>
      <c r="AC749" s="1382"/>
      <c r="AD749" s="1383"/>
      <c r="AE749" s="1383"/>
      <c r="AF749" s="1383"/>
      <c r="AG749" s="1384"/>
      <c r="AH749" s="1401" t="str">
        <f t="shared" si="37"/>
        <v/>
      </c>
      <c r="AI749" s="1402"/>
      <c r="AJ749" s="1403"/>
      <c r="AK749" s="1322" t="s">
        <v>589</v>
      </c>
      <c r="AL749" s="1323"/>
      <c r="AM749" s="1323"/>
      <c r="AN749" s="1323"/>
      <c r="AO749" s="1324"/>
      <c r="AP749" s="3"/>
      <c r="AQ749" s="3"/>
      <c r="AR749" s="3"/>
      <c r="AS749" s="3"/>
      <c r="AY749" s="1075"/>
      <c r="AZ749" s="118" t="str">
        <f t="shared" si="10"/>
        <v>N/A</v>
      </c>
      <c r="BA749" s="3"/>
      <c r="BE749" s="204"/>
      <c r="BF749" s="294">
        <f t="shared" si="11"/>
        <v>0</v>
      </c>
      <c r="BG749" s="297">
        <f t="shared" si="12"/>
        <v>0</v>
      </c>
      <c r="BH749" s="298" t="str">
        <f t="shared" si="13"/>
        <v/>
      </c>
      <c r="BK749" s="3"/>
      <c r="BL749" s="3"/>
      <c r="BM749" s="3"/>
      <c r="BN749" s="3"/>
      <c r="BS749" s="294">
        <f t="shared" si="14"/>
        <v>0</v>
      </c>
      <c r="BT749" s="297">
        <f t="shared" si="15"/>
        <v>0</v>
      </c>
      <c r="BU749" s="298" t="str">
        <f t="shared" si="16"/>
        <v/>
      </c>
      <c r="BV749" s="3"/>
      <c r="BW749" s="3"/>
      <c r="BX749" s="3"/>
      <c r="BY749" s="3"/>
      <c r="BZ749" s="3"/>
      <c r="CA749" s="3"/>
      <c r="CB749" s="3"/>
      <c r="CC749" s="3"/>
      <c r="CE749" s="3"/>
      <c r="CF749" s="3"/>
      <c r="CG749" s="1519">
        <f t="shared" si="38"/>
        <v>0</v>
      </c>
      <c r="CH749" s="1521"/>
      <c r="CI749" s="1497">
        <f t="shared" si="39"/>
        <v>0</v>
      </c>
      <c r="CJ749" s="1498"/>
      <c r="CK749" s="1519">
        <f t="shared" si="17"/>
        <v>0</v>
      </c>
      <c r="CL749" s="1521"/>
      <c r="CM749" s="1497">
        <f t="shared" si="18"/>
        <v>0</v>
      </c>
      <c r="CN749" s="1498"/>
      <c r="CO749" s="3"/>
      <c r="CP749" s="1515">
        <f t="shared" si="19"/>
        <v>0</v>
      </c>
      <c r="CQ749" s="1516"/>
      <c r="CR749" s="1516"/>
      <c r="CS749" s="1516"/>
      <c r="CT749" s="1517"/>
      <c r="CU749" s="1513">
        <f t="shared" si="20"/>
        <v>0</v>
      </c>
      <c r="CV749" s="1513"/>
      <c r="CW749" s="1513"/>
      <c r="CX749" s="1513"/>
      <c r="CY749" s="1513"/>
      <c r="CZ749" s="1513">
        <f t="shared" si="21"/>
        <v>0</v>
      </c>
      <c r="DA749" s="1513"/>
      <c r="DB749" s="1513"/>
      <c r="DC749" s="1513"/>
      <c r="DD749" s="1513"/>
      <c r="DE749" s="1513">
        <f t="shared" si="22"/>
        <v>0</v>
      </c>
      <c r="DF749" s="1513"/>
      <c r="DG749" s="1513"/>
      <c r="DH749" s="1513"/>
      <c r="DI749" s="1513"/>
      <c r="DJ749" s="1513">
        <f t="shared" si="23"/>
        <v>0</v>
      </c>
      <c r="DK749" s="1513"/>
      <c r="DL749" s="1513"/>
      <c r="DM749" s="1513"/>
      <c r="DN749" s="1513"/>
      <c r="DO749" s="1513">
        <f t="shared" si="24"/>
        <v>0</v>
      </c>
      <c r="DP749" s="1513"/>
      <c r="DQ749" s="1513"/>
      <c r="DR749" s="1513"/>
      <c r="DS749" s="1513"/>
      <c r="DT749" s="6"/>
      <c r="DU749" s="1503">
        <f t="shared" si="25"/>
        <v>0</v>
      </c>
      <c r="DV749" s="1503"/>
      <c r="DW749" s="1503"/>
      <c r="DX749" s="1503"/>
      <c r="DY749" s="1503"/>
      <c r="DZ749" s="1503">
        <f t="shared" si="26"/>
        <v>0</v>
      </c>
      <c r="EA749" s="1503"/>
      <c r="EB749" s="1503"/>
      <c r="EC749" s="1503"/>
      <c r="ED749" s="1503"/>
      <c r="EE749" s="1503">
        <f t="shared" si="27"/>
        <v>0</v>
      </c>
      <c r="EF749" s="1503"/>
      <c r="EG749" s="1503"/>
      <c r="EH749" s="1503"/>
      <c r="EI749" s="1503"/>
      <c r="EJ749" s="1503">
        <f t="shared" si="28"/>
        <v>0</v>
      </c>
      <c r="EK749" s="1503"/>
      <c r="EL749" s="1503"/>
      <c r="EM749" s="1503"/>
      <c r="EN749" s="1503"/>
      <c r="EO749" s="1503">
        <f t="shared" si="29"/>
        <v>0</v>
      </c>
      <c r="EP749" s="1503"/>
      <c r="EQ749" s="1503"/>
      <c r="ER749" s="1503"/>
      <c r="ES749" s="1503"/>
      <c r="ET749" s="1503">
        <f t="shared" si="30"/>
        <v>0</v>
      </c>
      <c r="EU749" s="1503"/>
      <c r="EV749" s="1503"/>
      <c r="EW749" s="1503"/>
      <c r="EX749" s="1503"/>
      <c r="EZ749" s="1519" t="str">
        <f t="shared" si="31"/>
        <v/>
      </c>
      <c r="FA749" s="1520"/>
      <c r="FB749" s="1520"/>
      <c r="FC749" s="1520"/>
      <c r="FD749" s="1521"/>
      <c r="FE749" s="1519" t="str">
        <f t="shared" si="32"/>
        <v/>
      </c>
      <c r="FF749" s="1520"/>
      <c r="FG749" s="1520"/>
      <c r="FH749" s="1520"/>
      <c r="FI749" s="1521"/>
      <c r="FJ749" s="1519" t="str">
        <f t="shared" si="33"/>
        <v/>
      </c>
      <c r="FK749" s="1520"/>
      <c r="FL749" s="1520"/>
      <c r="FM749" s="1520"/>
      <c r="FN749" s="1521"/>
      <c r="FO749" s="1519" t="str">
        <f t="shared" si="34"/>
        <v/>
      </c>
      <c r="FP749" s="1520"/>
      <c r="FQ749" s="1520"/>
      <c r="FR749" s="1520"/>
      <c r="FS749" s="1521"/>
      <c r="FT749" s="1519" t="str">
        <f t="shared" si="35"/>
        <v/>
      </c>
      <c r="FU749" s="1520"/>
      <c r="FV749" s="1520"/>
      <c r="FW749" s="1520"/>
      <c r="FX749" s="1521"/>
      <c r="FY749" s="1519" t="str">
        <f t="shared" si="36"/>
        <v/>
      </c>
      <c r="FZ749" s="1520"/>
      <c r="GA749" s="1520"/>
      <c r="GB749" s="1520"/>
      <c r="GC749" s="1521"/>
    </row>
    <row r="750" spans="1:185" ht="12.95" customHeight="1">
      <c r="B750" s="1322"/>
      <c r="C750" s="1323"/>
      <c r="D750" s="1323"/>
      <c r="E750" s="1323"/>
      <c r="F750" s="1324"/>
      <c r="G750" s="1316"/>
      <c r="H750" s="1317"/>
      <c r="I750" s="1317"/>
      <c r="J750" s="1318"/>
      <c r="K750" s="1319"/>
      <c r="L750" s="1320"/>
      <c r="M750" s="1320"/>
      <c r="N750" s="1321"/>
      <c r="O750" s="1369"/>
      <c r="P750" s="1370"/>
      <c r="Q750" s="1370"/>
      <c r="R750" s="1370"/>
      <c r="S750" s="1371"/>
      <c r="T750" s="1369"/>
      <c r="U750" s="1370"/>
      <c r="V750" s="1370"/>
      <c r="W750" s="1371"/>
      <c r="X750" s="1398">
        <f t="shared" ref="X750:X759" si="40">O750+T750</f>
        <v>0</v>
      </c>
      <c r="Y750" s="1399"/>
      <c r="Z750" s="1399"/>
      <c r="AA750" s="1399"/>
      <c r="AB750" s="1400"/>
      <c r="AC750" s="1382"/>
      <c r="AD750" s="1383"/>
      <c r="AE750" s="1383"/>
      <c r="AF750" s="1383"/>
      <c r="AG750" s="1384"/>
      <c r="AH750" s="1401" t="str">
        <f t="shared" si="37"/>
        <v/>
      </c>
      <c r="AI750" s="1402"/>
      <c r="AJ750" s="1403"/>
      <c r="AK750" s="1322" t="s">
        <v>589</v>
      </c>
      <c r="AL750" s="1323"/>
      <c r="AM750" s="1323"/>
      <c r="AN750" s="1323"/>
      <c r="AO750" s="1324"/>
      <c r="AP750" s="3"/>
      <c r="AQ750" s="3"/>
      <c r="AR750" s="3"/>
      <c r="AS750" s="3"/>
      <c r="AY750" s="1075"/>
      <c r="AZ750" s="118" t="str">
        <f t="shared" si="10"/>
        <v>N/A</v>
      </c>
      <c r="BA750" s="3"/>
      <c r="BB750" s="3"/>
      <c r="BE750" s="204"/>
      <c r="BF750" s="294">
        <f t="shared" si="11"/>
        <v>0</v>
      </c>
      <c r="BG750" s="297">
        <f t="shared" si="12"/>
        <v>0</v>
      </c>
      <c r="BH750" s="298" t="str">
        <f t="shared" si="13"/>
        <v/>
      </c>
      <c r="BL750" s="3"/>
      <c r="BM750" s="3"/>
      <c r="BN750" s="3"/>
      <c r="BS750" s="294">
        <f t="shared" si="14"/>
        <v>0</v>
      </c>
      <c r="BT750" s="297">
        <f t="shared" si="15"/>
        <v>0</v>
      </c>
      <c r="BU750" s="298" t="str">
        <f t="shared" si="16"/>
        <v/>
      </c>
      <c r="BV750" s="3"/>
      <c r="BW750" s="3"/>
      <c r="BX750" s="3"/>
      <c r="BY750" s="3"/>
      <c r="BZ750" s="3"/>
      <c r="CA750" s="3"/>
      <c r="CB750" s="3"/>
      <c r="CC750" s="3"/>
      <c r="CE750" s="3"/>
      <c r="CF750" s="3"/>
      <c r="CG750" s="1519">
        <f t="shared" si="38"/>
        <v>0</v>
      </c>
      <c r="CH750" s="1521"/>
      <c r="CI750" s="1497">
        <f t="shared" si="39"/>
        <v>0</v>
      </c>
      <c r="CJ750" s="1498"/>
      <c r="CK750" s="1519">
        <f t="shared" si="17"/>
        <v>0</v>
      </c>
      <c r="CL750" s="1521"/>
      <c r="CM750" s="1497">
        <f t="shared" si="18"/>
        <v>0</v>
      </c>
      <c r="CN750" s="1498"/>
      <c r="CO750" s="3"/>
      <c r="CP750" s="1515">
        <f t="shared" si="19"/>
        <v>0</v>
      </c>
      <c r="CQ750" s="1516"/>
      <c r="CR750" s="1516"/>
      <c r="CS750" s="1516"/>
      <c r="CT750" s="1517"/>
      <c r="CU750" s="1513">
        <f t="shared" si="20"/>
        <v>0</v>
      </c>
      <c r="CV750" s="1513"/>
      <c r="CW750" s="1513"/>
      <c r="CX750" s="1513"/>
      <c r="CY750" s="1513"/>
      <c r="CZ750" s="1513">
        <f t="shared" si="21"/>
        <v>0</v>
      </c>
      <c r="DA750" s="1513"/>
      <c r="DB750" s="1513"/>
      <c r="DC750" s="1513"/>
      <c r="DD750" s="1513"/>
      <c r="DE750" s="1513">
        <f t="shared" si="22"/>
        <v>0</v>
      </c>
      <c r="DF750" s="1513"/>
      <c r="DG750" s="1513"/>
      <c r="DH750" s="1513"/>
      <c r="DI750" s="1513"/>
      <c r="DJ750" s="1513">
        <f t="shared" si="23"/>
        <v>0</v>
      </c>
      <c r="DK750" s="1513"/>
      <c r="DL750" s="1513"/>
      <c r="DM750" s="1513"/>
      <c r="DN750" s="1513"/>
      <c r="DO750" s="1513">
        <f t="shared" si="24"/>
        <v>0</v>
      </c>
      <c r="DP750" s="1513"/>
      <c r="DQ750" s="1513"/>
      <c r="DR750" s="1513"/>
      <c r="DS750" s="1513"/>
      <c r="DT750" s="6"/>
      <c r="DU750" s="1503">
        <f t="shared" si="25"/>
        <v>0</v>
      </c>
      <c r="DV750" s="1503"/>
      <c r="DW750" s="1503"/>
      <c r="DX750" s="1503"/>
      <c r="DY750" s="1503"/>
      <c r="DZ750" s="1503">
        <f t="shared" si="26"/>
        <v>0</v>
      </c>
      <c r="EA750" s="1503"/>
      <c r="EB750" s="1503"/>
      <c r="EC750" s="1503"/>
      <c r="ED750" s="1503"/>
      <c r="EE750" s="1503">
        <f t="shared" si="27"/>
        <v>0</v>
      </c>
      <c r="EF750" s="1503"/>
      <c r="EG750" s="1503"/>
      <c r="EH750" s="1503"/>
      <c r="EI750" s="1503"/>
      <c r="EJ750" s="1503">
        <f t="shared" si="28"/>
        <v>0</v>
      </c>
      <c r="EK750" s="1503"/>
      <c r="EL750" s="1503"/>
      <c r="EM750" s="1503"/>
      <c r="EN750" s="1503"/>
      <c r="EO750" s="1503">
        <f t="shared" si="29"/>
        <v>0</v>
      </c>
      <c r="EP750" s="1503"/>
      <c r="EQ750" s="1503"/>
      <c r="ER750" s="1503"/>
      <c r="ES750" s="1503"/>
      <c r="ET750" s="1503">
        <f t="shared" si="30"/>
        <v>0</v>
      </c>
      <c r="EU750" s="1503"/>
      <c r="EV750" s="1503"/>
      <c r="EW750" s="1503"/>
      <c r="EX750" s="1503"/>
      <c r="EZ750" s="1519" t="str">
        <f t="shared" si="31"/>
        <v/>
      </c>
      <c r="FA750" s="1520"/>
      <c r="FB750" s="1520"/>
      <c r="FC750" s="1520"/>
      <c r="FD750" s="1521"/>
      <c r="FE750" s="1519" t="str">
        <f t="shared" si="32"/>
        <v/>
      </c>
      <c r="FF750" s="1520"/>
      <c r="FG750" s="1520"/>
      <c r="FH750" s="1520"/>
      <c r="FI750" s="1521"/>
      <c r="FJ750" s="1519" t="str">
        <f t="shared" si="33"/>
        <v/>
      </c>
      <c r="FK750" s="1520"/>
      <c r="FL750" s="1520"/>
      <c r="FM750" s="1520"/>
      <c r="FN750" s="1521"/>
      <c r="FO750" s="1519" t="str">
        <f t="shared" si="34"/>
        <v/>
      </c>
      <c r="FP750" s="1520"/>
      <c r="FQ750" s="1520"/>
      <c r="FR750" s="1520"/>
      <c r="FS750" s="1521"/>
      <c r="FT750" s="1519" t="str">
        <f t="shared" si="35"/>
        <v/>
      </c>
      <c r="FU750" s="1520"/>
      <c r="FV750" s="1520"/>
      <c r="FW750" s="1520"/>
      <c r="FX750" s="1521"/>
      <c r="FY750" s="1519" t="str">
        <f t="shared" si="36"/>
        <v/>
      </c>
      <c r="FZ750" s="1520"/>
      <c r="GA750" s="1520"/>
      <c r="GB750" s="1520"/>
      <c r="GC750" s="1521"/>
    </row>
    <row r="751" spans="1:185" s="3" customFormat="1" ht="12.95" customHeight="1">
      <c r="A751"/>
      <c r="B751" s="1322"/>
      <c r="C751" s="1323"/>
      <c r="D751" s="1323"/>
      <c r="E751" s="1323"/>
      <c r="F751" s="1324"/>
      <c r="G751" s="1316"/>
      <c r="H751" s="1317"/>
      <c r="I751" s="1317"/>
      <c r="J751" s="1318"/>
      <c r="K751" s="1319"/>
      <c r="L751" s="1320"/>
      <c r="M751" s="1320"/>
      <c r="N751" s="1321"/>
      <c r="O751" s="1369"/>
      <c r="P751" s="1370"/>
      <c r="Q751" s="1370"/>
      <c r="R751" s="1370"/>
      <c r="S751" s="1371"/>
      <c r="T751" s="1369"/>
      <c r="U751" s="1370"/>
      <c r="V751" s="1370"/>
      <c r="W751" s="1371"/>
      <c r="X751" s="1398">
        <f t="shared" si="40"/>
        <v>0</v>
      </c>
      <c r="Y751" s="1399"/>
      <c r="Z751" s="1399"/>
      <c r="AA751" s="1399"/>
      <c r="AB751" s="1400"/>
      <c r="AC751" s="1382"/>
      <c r="AD751" s="1383"/>
      <c r="AE751" s="1383"/>
      <c r="AF751" s="1383"/>
      <c r="AG751" s="1384"/>
      <c r="AH751" s="1401" t="str">
        <f t="shared" si="37"/>
        <v/>
      </c>
      <c r="AI751" s="1402"/>
      <c r="AJ751" s="1403"/>
      <c r="AK751" s="1322" t="s">
        <v>589</v>
      </c>
      <c r="AL751" s="1323"/>
      <c r="AM751" s="1323"/>
      <c r="AN751" s="1323"/>
      <c r="AO751" s="1324"/>
      <c r="AT751"/>
      <c r="AU751"/>
      <c r="AV751"/>
      <c r="AW751"/>
      <c r="AX751"/>
      <c r="AY751" s="1075"/>
      <c r="AZ751" s="118" t="str">
        <f t="shared" si="10"/>
        <v>N/A</v>
      </c>
      <c r="BD751"/>
      <c r="BE751"/>
      <c r="BF751" s="294">
        <f t="shared" si="11"/>
        <v>0</v>
      </c>
      <c r="BG751" s="297">
        <f t="shared" si="12"/>
        <v>0</v>
      </c>
      <c r="BH751" s="298" t="str">
        <f t="shared" si="13"/>
        <v/>
      </c>
      <c r="BI751"/>
      <c r="BJ751"/>
      <c r="BK751"/>
      <c r="BL751"/>
      <c r="BM751"/>
      <c r="BN751"/>
      <c r="BO751"/>
      <c r="BP751"/>
      <c r="BQ751"/>
      <c r="BR751"/>
      <c r="BS751" s="294">
        <f t="shared" si="14"/>
        <v>0</v>
      </c>
      <c r="BT751" s="297">
        <f t="shared" si="15"/>
        <v>0</v>
      </c>
      <c r="BU751" s="298" t="str">
        <f t="shared" si="16"/>
        <v/>
      </c>
      <c r="CD751"/>
      <c r="CG751" s="1519">
        <f t="shared" si="38"/>
        <v>0</v>
      </c>
      <c r="CH751" s="1521"/>
      <c r="CI751" s="1497">
        <f t="shared" si="39"/>
        <v>0</v>
      </c>
      <c r="CJ751" s="1498"/>
      <c r="CK751" s="1519">
        <f t="shared" si="17"/>
        <v>0</v>
      </c>
      <c r="CL751" s="1521"/>
      <c r="CM751" s="1497">
        <f t="shared" si="18"/>
        <v>0</v>
      </c>
      <c r="CN751" s="1498"/>
      <c r="CP751" s="1515">
        <f t="shared" si="19"/>
        <v>0</v>
      </c>
      <c r="CQ751" s="1516"/>
      <c r="CR751" s="1516"/>
      <c r="CS751" s="1516"/>
      <c r="CT751" s="1517"/>
      <c r="CU751" s="1513">
        <f t="shared" si="20"/>
        <v>0</v>
      </c>
      <c r="CV751" s="1513"/>
      <c r="CW751" s="1513"/>
      <c r="CX751" s="1513"/>
      <c r="CY751" s="1513"/>
      <c r="CZ751" s="1513">
        <f t="shared" si="21"/>
        <v>0</v>
      </c>
      <c r="DA751" s="1513"/>
      <c r="DB751" s="1513"/>
      <c r="DC751" s="1513"/>
      <c r="DD751" s="1513"/>
      <c r="DE751" s="1513">
        <f t="shared" si="22"/>
        <v>0</v>
      </c>
      <c r="DF751" s="1513"/>
      <c r="DG751" s="1513"/>
      <c r="DH751" s="1513"/>
      <c r="DI751" s="1513"/>
      <c r="DJ751" s="1513">
        <f t="shared" si="23"/>
        <v>0</v>
      </c>
      <c r="DK751" s="1513"/>
      <c r="DL751" s="1513"/>
      <c r="DM751" s="1513"/>
      <c r="DN751" s="1513"/>
      <c r="DO751" s="1513">
        <f t="shared" si="24"/>
        <v>0</v>
      </c>
      <c r="DP751" s="1513"/>
      <c r="DQ751" s="1513"/>
      <c r="DR751" s="1513"/>
      <c r="DS751" s="1513"/>
      <c r="DT751" s="6"/>
      <c r="DU751" s="1503">
        <f t="shared" si="25"/>
        <v>0</v>
      </c>
      <c r="DV751" s="1503"/>
      <c r="DW751" s="1503"/>
      <c r="DX751" s="1503"/>
      <c r="DY751" s="1503"/>
      <c r="DZ751" s="1503">
        <f t="shared" si="26"/>
        <v>0</v>
      </c>
      <c r="EA751" s="1503"/>
      <c r="EB751" s="1503"/>
      <c r="EC751" s="1503"/>
      <c r="ED751" s="1503"/>
      <c r="EE751" s="1503">
        <f t="shared" si="27"/>
        <v>0</v>
      </c>
      <c r="EF751" s="1503"/>
      <c r="EG751" s="1503"/>
      <c r="EH751" s="1503"/>
      <c r="EI751" s="1503"/>
      <c r="EJ751" s="1503">
        <f t="shared" si="28"/>
        <v>0</v>
      </c>
      <c r="EK751" s="1503"/>
      <c r="EL751" s="1503"/>
      <c r="EM751" s="1503"/>
      <c r="EN751" s="1503"/>
      <c r="EO751" s="1503">
        <f t="shared" si="29"/>
        <v>0</v>
      </c>
      <c r="EP751" s="1503"/>
      <c r="EQ751" s="1503"/>
      <c r="ER751" s="1503"/>
      <c r="ES751" s="1503"/>
      <c r="ET751" s="1503">
        <f t="shared" si="30"/>
        <v>0</v>
      </c>
      <c r="EU751" s="1503"/>
      <c r="EV751" s="1503"/>
      <c r="EW751" s="1503"/>
      <c r="EX751" s="1503"/>
      <c r="EY751"/>
      <c r="EZ751" s="1519" t="str">
        <f t="shared" si="31"/>
        <v/>
      </c>
      <c r="FA751" s="1520"/>
      <c r="FB751" s="1520"/>
      <c r="FC751" s="1520"/>
      <c r="FD751" s="1521"/>
      <c r="FE751" s="1519" t="str">
        <f t="shared" si="32"/>
        <v/>
      </c>
      <c r="FF751" s="1520"/>
      <c r="FG751" s="1520"/>
      <c r="FH751" s="1520"/>
      <c r="FI751" s="1521"/>
      <c r="FJ751" s="1519" t="str">
        <f t="shared" si="33"/>
        <v/>
      </c>
      <c r="FK751" s="1520"/>
      <c r="FL751" s="1520"/>
      <c r="FM751" s="1520"/>
      <c r="FN751" s="1521"/>
      <c r="FO751" s="1519" t="str">
        <f t="shared" si="34"/>
        <v/>
      </c>
      <c r="FP751" s="1520"/>
      <c r="FQ751" s="1520"/>
      <c r="FR751" s="1520"/>
      <c r="FS751" s="1521"/>
      <c r="FT751" s="1519" t="str">
        <f t="shared" si="35"/>
        <v/>
      </c>
      <c r="FU751" s="1520"/>
      <c r="FV751" s="1520"/>
      <c r="FW751" s="1520"/>
      <c r="FX751" s="1521"/>
      <c r="FY751" s="1519" t="str">
        <f t="shared" si="36"/>
        <v/>
      </c>
      <c r="FZ751" s="1520"/>
      <c r="GA751" s="1520"/>
      <c r="GB751" s="1520"/>
      <c r="GC751" s="1521"/>
    </row>
    <row r="752" spans="1:185" ht="12.95" customHeight="1">
      <c r="B752" s="1322"/>
      <c r="C752" s="1323"/>
      <c r="D752" s="1323"/>
      <c r="E752" s="1323"/>
      <c r="F752" s="1324"/>
      <c r="G752" s="1316"/>
      <c r="H752" s="1317"/>
      <c r="I752" s="1317"/>
      <c r="J752" s="1318"/>
      <c r="K752" s="1319"/>
      <c r="L752" s="1320"/>
      <c r="M752" s="1320"/>
      <c r="N752" s="1321"/>
      <c r="O752" s="1369"/>
      <c r="P752" s="1370"/>
      <c r="Q752" s="1370"/>
      <c r="R752" s="1370"/>
      <c r="S752" s="1371"/>
      <c r="T752" s="1369"/>
      <c r="U752" s="1370"/>
      <c r="V752" s="1370"/>
      <c r="W752" s="1371"/>
      <c r="X752" s="1398">
        <f t="shared" si="40"/>
        <v>0</v>
      </c>
      <c r="Y752" s="1399"/>
      <c r="Z752" s="1399"/>
      <c r="AA752" s="1399"/>
      <c r="AB752" s="1400"/>
      <c r="AC752" s="1382"/>
      <c r="AD752" s="1383"/>
      <c r="AE752" s="1383"/>
      <c r="AF752" s="1383"/>
      <c r="AG752" s="1384"/>
      <c r="AH752" s="1401" t="str">
        <f t="shared" si="37"/>
        <v/>
      </c>
      <c r="AI752" s="1402"/>
      <c r="AJ752" s="1403"/>
      <c r="AK752" s="1322" t="s">
        <v>589</v>
      </c>
      <c r="AL752" s="1323"/>
      <c r="AM752" s="1323"/>
      <c r="AN752" s="1323"/>
      <c r="AO752" s="1324"/>
      <c r="AP752" s="3"/>
      <c r="AQ752" s="3"/>
      <c r="AR752" s="3"/>
      <c r="AS752" s="3"/>
      <c r="AY752" s="1075"/>
      <c r="AZ752" s="118" t="str">
        <f t="shared" si="10"/>
        <v>N/A</v>
      </c>
      <c r="BA752" s="3"/>
      <c r="BB752" s="3"/>
      <c r="BC752" s="3"/>
      <c r="BD752" s="3"/>
      <c r="BE752" s="3"/>
      <c r="BF752" s="294">
        <f t="shared" si="11"/>
        <v>0</v>
      </c>
      <c r="BG752" s="297">
        <f t="shared" si="12"/>
        <v>0</v>
      </c>
      <c r="BH752" s="298" t="str">
        <f t="shared" si="13"/>
        <v/>
      </c>
      <c r="BI752" s="3"/>
      <c r="BJ752" s="3"/>
      <c r="BK752" s="3"/>
      <c r="BL752" s="3"/>
      <c r="BM752" s="3"/>
      <c r="BN752" s="3"/>
      <c r="BS752" s="294">
        <f t="shared" si="14"/>
        <v>0</v>
      </c>
      <c r="BT752" s="297">
        <f t="shared" si="15"/>
        <v>0</v>
      </c>
      <c r="BU752" s="298" t="str">
        <f t="shared" si="16"/>
        <v/>
      </c>
      <c r="BV752" s="3"/>
      <c r="BW752" s="3"/>
      <c r="BX752" s="3"/>
      <c r="BY752" s="3"/>
      <c r="BZ752" s="3"/>
      <c r="CA752" s="3"/>
      <c r="CB752" s="3"/>
      <c r="CC752" s="3"/>
      <c r="CE752" s="3"/>
      <c r="CF752" s="3"/>
      <c r="CG752" s="1519">
        <f t="shared" si="38"/>
        <v>0</v>
      </c>
      <c r="CH752" s="1521"/>
      <c r="CI752" s="1497">
        <f t="shared" si="39"/>
        <v>0</v>
      </c>
      <c r="CJ752" s="1498"/>
      <c r="CK752" s="1519">
        <f t="shared" si="17"/>
        <v>0</v>
      </c>
      <c r="CL752" s="1521"/>
      <c r="CM752" s="1497">
        <f t="shared" si="18"/>
        <v>0</v>
      </c>
      <c r="CN752" s="1498"/>
      <c r="CO752" s="3"/>
      <c r="CP752" s="1515">
        <f t="shared" si="19"/>
        <v>0</v>
      </c>
      <c r="CQ752" s="1516"/>
      <c r="CR752" s="1516"/>
      <c r="CS752" s="1516"/>
      <c r="CT752" s="1517"/>
      <c r="CU752" s="1513">
        <f t="shared" si="20"/>
        <v>0</v>
      </c>
      <c r="CV752" s="1513"/>
      <c r="CW752" s="1513"/>
      <c r="CX752" s="1513"/>
      <c r="CY752" s="1513"/>
      <c r="CZ752" s="1513">
        <f t="shared" si="21"/>
        <v>0</v>
      </c>
      <c r="DA752" s="1513"/>
      <c r="DB752" s="1513"/>
      <c r="DC752" s="1513"/>
      <c r="DD752" s="1513"/>
      <c r="DE752" s="1513">
        <f t="shared" si="22"/>
        <v>0</v>
      </c>
      <c r="DF752" s="1513"/>
      <c r="DG752" s="1513"/>
      <c r="DH752" s="1513"/>
      <c r="DI752" s="1513"/>
      <c r="DJ752" s="1513">
        <f t="shared" si="23"/>
        <v>0</v>
      </c>
      <c r="DK752" s="1513"/>
      <c r="DL752" s="1513"/>
      <c r="DM752" s="1513"/>
      <c r="DN752" s="1513"/>
      <c r="DO752" s="1513">
        <f t="shared" si="24"/>
        <v>0</v>
      </c>
      <c r="DP752" s="1513"/>
      <c r="DQ752" s="1513"/>
      <c r="DR752" s="1513"/>
      <c r="DS752" s="1513"/>
      <c r="DT752" s="6"/>
      <c r="DU752" s="1503">
        <f t="shared" si="25"/>
        <v>0</v>
      </c>
      <c r="DV752" s="1503"/>
      <c r="DW752" s="1503"/>
      <c r="DX752" s="1503"/>
      <c r="DY752" s="1503"/>
      <c r="DZ752" s="1503">
        <f t="shared" si="26"/>
        <v>0</v>
      </c>
      <c r="EA752" s="1503"/>
      <c r="EB752" s="1503"/>
      <c r="EC752" s="1503"/>
      <c r="ED752" s="1503"/>
      <c r="EE752" s="1503">
        <f t="shared" si="27"/>
        <v>0</v>
      </c>
      <c r="EF752" s="1503"/>
      <c r="EG752" s="1503"/>
      <c r="EH752" s="1503"/>
      <c r="EI752" s="1503"/>
      <c r="EJ752" s="1503">
        <f t="shared" si="28"/>
        <v>0</v>
      </c>
      <c r="EK752" s="1503"/>
      <c r="EL752" s="1503"/>
      <c r="EM752" s="1503"/>
      <c r="EN752" s="1503"/>
      <c r="EO752" s="1503">
        <f t="shared" si="29"/>
        <v>0</v>
      </c>
      <c r="EP752" s="1503"/>
      <c r="EQ752" s="1503"/>
      <c r="ER752" s="1503"/>
      <c r="ES752" s="1503"/>
      <c r="ET752" s="1503">
        <f t="shared" si="30"/>
        <v>0</v>
      </c>
      <c r="EU752" s="1503"/>
      <c r="EV752" s="1503"/>
      <c r="EW752" s="1503"/>
      <c r="EX752" s="1503"/>
      <c r="EZ752" s="1519" t="str">
        <f t="shared" si="31"/>
        <v/>
      </c>
      <c r="FA752" s="1520"/>
      <c r="FB752" s="1520"/>
      <c r="FC752" s="1520"/>
      <c r="FD752" s="1521"/>
      <c r="FE752" s="1519" t="str">
        <f t="shared" si="32"/>
        <v/>
      </c>
      <c r="FF752" s="1520"/>
      <c r="FG752" s="1520"/>
      <c r="FH752" s="1520"/>
      <c r="FI752" s="1521"/>
      <c r="FJ752" s="1519" t="str">
        <f t="shared" si="33"/>
        <v/>
      </c>
      <c r="FK752" s="1520"/>
      <c r="FL752" s="1520"/>
      <c r="FM752" s="1520"/>
      <c r="FN752" s="1521"/>
      <c r="FO752" s="1519" t="str">
        <f t="shared" si="34"/>
        <v/>
      </c>
      <c r="FP752" s="1520"/>
      <c r="FQ752" s="1520"/>
      <c r="FR752" s="1520"/>
      <c r="FS752" s="1521"/>
      <c r="FT752" s="1519" t="str">
        <f t="shared" si="35"/>
        <v/>
      </c>
      <c r="FU752" s="1520"/>
      <c r="FV752" s="1520"/>
      <c r="FW752" s="1520"/>
      <c r="FX752" s="1521"/>
      <c r="FY752" s="1519" t="str">
        <f t="shared" si="36"/>
        <v/>
      </c>
      <c r="FZ752" s="1520"/>
      <c r="GA752" s="1520"/>
      <c r="GB752" s="1520"/>
      <c r="GC752" s="1521"/>
    </row>
    <row r="753" spans="1:185" ht="12.95" customHeight="1">
      <c r="B753" s="1322"/>
      <c r="C753" s="1323"/>
      <c r="D753" s="1323"/>
      <c r="E753" s="1323"/>
      <c r="F753" s="1324"/>
      <c r="G753" s="1316"/>
      <c r="H753" s="1317"/>
      <c r="I753" s="1317"/>
      <c r="J753" s="1318"/>
      <c r="K753" s="1319"/>
      <c r="L753" s="1320"/>
      <c r="M753" s="1320"/>
      <c r="N753" s="1321"/>
      <c r="O753" s="1369"/>
      <c r="P753" s="1370"/>
      <c r="Q753" s="1370"/>
      <c r="R753" s="1370"/>
      <c r="S753" s="1371"/>
      <c r="T753" s="1369"/>
      <c r="U753" s="1370"/>
      <c r="V753" s="1370"/>
      <c r="W753" s="1371"/>
      <c r="X753" s="1398">
        <f t="shared" si="40"/>
        <v>0</v>
      </c>
      <c r="Y753" s="1399"/>
      <c r="Z753" s="1399"/>
      <c r="AA753" s="1399"/>
      <c r="AB753" s="1400"/>
      <c r="AC753" s="1382"/>
      <c r="AD753" s="1383"/>
      <c r="AE753" s="1383"/>
      <c r="AF753" s="1383"/>
      <c r="AG753" s="1384"/>
      <c r="AH753" s="1401" t="str">
        <f t="shared" si="37"/>
        <v/>
      </c>
      <c r="AI753" s="1402"/>
      <c r="AJ753" s="1403"/>
      <c r="AK753" s="1322" t="s">
        <v>589</v>
      </c>
      <c r="AL753" s="1323"/>
      <c r="AM753" s="1323"/>
      <c r="AN753" s="1323"/>
      <c r="AO753" s="1324"/>
      <c r="AP753" s="3"/>
      <c r="AQ753" s="3"/>
      <c r="AR753" s="3"/>
      <c r="AS753" s="3"/>
      <c r="AY753" s="1075"/>
      <c r="AZ753" s="118" t="str">
        <f t="shared" si="10"/>
        <v>N/A</v>
      </c>
      <c r="BA753" s="3"/>
      <c r="BB753" s="3"/>
      <c r="BC753" s="3"/>
      <c r="BD753" s="3"/>
      <c r="BE753" s="3"/>
      <c r="BF753" s="294">
        <f t="shared" si="11"/>
        <v>0</v>
      </c>
      <c r="BG753" s="297">
        <f t="shared" si="12"/>
        <v>0</v>
      </c>
      <c r="BH753" s="298" t="str">
        <f t="shared" si="13"/>
        <v/>
      </c>
      <c r="BI753" s="3"/>
      <c r="BJ753" s="3"/>
      <c r="BK753" s="3"/>
      <c r="BL753" s="3"/>
      <c r="BM753" s="3"/>
      <c r="BN753" s="3"/>
      <c r="BS753" s="294">
        <f t="shared" si="14"/>
        <v>0</v>
      </c>
      <c r="BT753" s="297">
        <f t="shared" si="15"/>
        <v>0</v>
      </c>
      <c r="BU753" s="298" t="str">
        <f t="shared" si="16"/>
        <v/>
      </c>
      <c r="BV753" s="3"/>
      <c r="BW753" s="3"/>
      <c r="BX753" s="3"/>
      <c r="BY753" s="3"/>
      <c r="BZ753" s="3"/>
      <c r="CA753" s="3"/>
      <c r="CB753" s="3"/>
      <c r="CC753" s="3"/>
      <c r="CE753" s="3"/>
      <c r="CF753" s="3"/>
      <c r="CG753" s="1519">
        <f t="shared" si="38"/>
        <v>0</v>
      </c>
      <c r="CH753" s="1521"/>
      <c r="CI753" s="1497">
        <f t="shared" si="39"/>
        <v>0</v>
      </c>
      <c r="CJ753" s="1498"/>
      <c r="CK753" s="1519">
        <f t="shared" si="17"/>
        <v>0</v>
      </c>
      <c r="CL753" s="1521"/>
      <c r="CM753" s="1497">
        <f t="shared" si="18"/>
        <v>0</v>
      </c>
      <c r="CN753" s="1498"/>
      <c r="CO753" s="3"/>
      <c r="CP753" s="1515">
        <f t="shared" si="19"/>
        <v>0</v>
      </c>
      <c r="CQ753" s="1516"/>
      <c r="CR753" s="1516"/>
      <c r="CS753" s="1516"/>
      <c r="CT753" s="1517"/>
      <c r="CU753" s="1513">
        <f t="shared" si="20"/>
        <v>0</v>
      </c>
      <c r="CV753" s="1513"/>
      <c r="CW753" s="1513"/>
      <c r="CX753" s="1513"/>
      <c r="CY753" s="1513"/>
      <c r="CZ753" s="1513">
        <f t="shared" si="21"/>
        <v>0</v>
      </c>
      <c r="DA753" s="1513"/>
      <c r="DB753" s="1513"/>
      <c r="DC753" s="1513"/>
      <c r="DD753" s="1513"/>
      <c r="DE753" s="1513">
        <f t="shared" si="22"/>
        <v>0</v>
      </c>
      <c r="DF753" s="1513"/>
      <c r="DG753" s="1513"/>
      <c r="DH753" s="1513"/>
      <c r="DI753" s="1513"/>
      <c r="DJ753" s="1513">
        <f t="shared" si="23"/>
        <v>0</v>
      </c>
      <c r="DK753" s="1513"/>
      <c r="DL753" s="1513"/>
      <c r="DM753" s="1513"/>
      <c r="DN753" s="1513"/>
      <c r="DO753" s="1513">
        <f t="shared" si="24"/>
        <v>0</v>
      </c>
      <c r="DP753" s="1513"/>
      <c r="DQ753" s="1513"/>
      <c r="DR753" s="1513"/>
      <c r="DS753" s="1513"/>
      <c r="DT753" s="6"/>
      <c r="DU753" s="1503">
        <f t="shared" si="25"/>
        <v>0</v>
      </c>
      <c r="DV753" s="1503"/>
      <c r="DW753" s="1503"/>
      <c r="DX753" s="1503"/>
      <c r="DY753" s="1503"/>
      <c r="DZ753" s="1503">
        <f t="shared" si="26"/>
        <v>0</v>
      </c>
      <c r="EA753" s="1503"/>
      <c r="EB753" s="1503"/>
      <c r="EC753" s="1503"/>
      <c r="ED753" s="1503"/>
      <c r="EE753" s="1503">
        <f t="shared" si="27"/>
        <v>0</v>
      </c>
      <c r="EF753" s="1503"/>
      <c r="EG753" s="1503"/>
      <c r="EH753" s="1503"/>
      <c r="EI753" s="1503"/>
      <c r="EJ753" s="1503">
        <f t="shared" si="28"/>
        <v>0</v>
      </c>
      <c r="EK753" s="1503"/>
      <c r="EL753" s="1503"/>
      <c r="EM753" s="1503"/>
      <c r="EN753" s="1503"/>
      <c r="EO753" s="1503">
        <f t="shared" si="29"/>
        <v>0</v>
      </c>
      <c r="EP753" s="1503"/>
      <c r="EQ753" s="1503"/>
      <c r="ER753" s="1503"/>
      <c r="ES753" s="1503"/>
      <c r="ET753" s="1503">
        <f t="shared" si="30"/>
        <v>0</v>
      </c>
      <c r="EU753" s="1503"/>
      <c r="EV753" s="1503"/>
      <c r="EW753" s="1503"/>
      <c r="EX753" s="1503"/>
      <c r="EZ753" s="1519" t="str">
        <f t="shared" si="31"/>
        <v/>
      </c>
      <c r="FA753" s="1520"/>
      <c r="FB753" s="1520"/>
      <c r="FC753" s="1520"/>
      <c r="FD753" s="1521"/>
      <c r="FE753" s="1519" t="str">
        <f t="shared" si="32"/>
        <v/>
      </c>
      <c r="FF753" s="1520"/>
      <c r="FG753" s="1520"/>
      <c r="FH753" s="1520"/>
      <c r="FI753" s="1521"/>
      <c r="FJ753" s="1519" t="str">
        <f t="shared" si="33"/>
        <v/>
      </c>
      <c r="FK753" s="1520"/>
      <c r="FL753" s="1520"/>
      <c r="FM753" s="1520"/>
      <c r="FN753" s="1521"/>
      <c r="FO753" s="1519" t="str">
        <f t="shared" si="34"/>
        <v/>
      </c>
      <c r="FP753" s="1520"/>
      <c r="FQ753" s="1520"/>
      <c r="FR753" s="1520"/>
      <c r="FS753" s="1521"/>
      <c r="FT753" s="1519" t="str">
        <f t="shared" si="35"/>
        <v/>
      </c>
      <c r="FU753" s="1520"/>
      <c r="FV753" s="1520"/>
      <c r="FW753" s="1520"/>
      <c r="FX753" s="1521"/>
      <c r="FY753" s="1519" t="str">
        <f t="shared" si="36"/>
        <v/>
      </c>
      <c r="FZ753" s="1520"/>
      <c r="GA753" s="1520"/>
      <c r="GB753" s="1520"/>
      <c r="GC753" s="1521"/>
    </row>
    <row r="754" spans="1:185" ht="12.95" customHeight="1">
      <c r="B754" s="1322"/>
      <c r="C754" s="1323"/>
      <c r="D754" s="1323"/>
      <c r="E754" s="1323"/>
      <c r="F754" s="1324"/>
      <c r="G754" s="1316"/>
      <c r="H754" s="1317"/>
      <c r="I754" s="1317"/>
      <c r="J754" s="1318"/>
      <c r="K754" s="1319"/>
      <c r="L754" s="1320"/>
      <c r="M754" s="1320"/>
      <c r="N754" s="1321"/>
      <c r="O754" s="1369"/>
      <c r="P754" s="1370"/>
      <c r="Q754" s="1370"/>
      <c r="R754" s="1370"/>
      <c r="S754" s="1371"/>
      <c r="T754" s="1369"/>
      <c r="U754" s="1370"/>
      <c r="V754" s="1370"/>
      <c r="W754" s="1371"/>
      <c r="X754" s="1398">
        <f t="shared" si="40"/>
        <v>0</v>
      </c>
      <c r="Y754" s="1399"/>
      <c r="Z754" s="1399"/>
      <c r="AA754" s="1399"/>
      <c r="AB754" s="1400"/>
      <c r="AC754" s="1382"/>
      <c r="AD754" s="1383"/>
      <c r="AE754" s="1383"/>
      <c r="AF754" s="1383"/>
      <c r="AG754" s="1384"/>
      <c r="AH754" s="1401" t="str">
        <f t="shared" si="37"/>
        <v/>
      </c>
      <c r="AI754" s="1402"/>
      <c r="AJ754" s="1403"/>
      <c r="AK754" s="1322" t="s">
        <v>589</v>
      </c>
      <c r="AL754" s="1323"/>
      <c r="AM754" s="1323"/>
      <c r="AN754" s="1323"/>
      <c r="AO754" s="1324"/>
      <c r="AP754" s="3"/>
      <c r="AQ754" s="3"/>
      <c r="AR754" s="3"/>
      <c r="AS754" s="3"/>
      <c r="AY754" s="1075"/>
      <c r="AZ754" s="118" t="str">
        <f t="shared" si="10"/>
        <v>N/A</v>
      </c>
      <c r="BA754" s="34"/>
      <c r="BB754" s="34"/>
      <c r="BC754" s="34"/>
      <c r="BD754" s="34"/>
      <c r="BE754" s="34"/>
      <c r="BF754" s="294">
        <f t="shared" si="11"/>
        <v>0</v>
      </c>
      <c r="BG754" s="297">
        <f t="shared" si="12"/>
        <v>0</v>
      </c>
      <c r="BH754" s="298" t="str">
        <f t="shared" si="13"/>
        <v/>
      </c>
      <c r="BI754" s="34"/>
      <c r="BJ754" s="34"/>
      <c r="BK754" s="34"/>
      <c r="BL754" s="34"/>
      <c r="BM754" s="34"/>
      <c r="BN754" s="34"/>
      <c r="BS754" s="294">
        <f t="shared" si="14"/>
        <v>0</v>
      </c>
      <c r="BT754" s="297">
        <f t="shared" si="15"/>
        <v>0</v>
      </c>
      <c r="BU754" s="298" t="str">
        <f t="shared" si="16"/>
        <v/>
      </c>
      <c r="BV754" s="3"/>
      <c r="BW754" s="3"/>
      <c r="BX754" s="3"/>
      <c r="BY754" s="3"/>
      <c r="BZ754" s="3"/>
      <c r="CA754" s="3"/>
      <c r="CB754" s="3"/>
      <c r="CC754" s="3"/>
      <c r="CE754" s="3"/>
      <c r="CF754" s="3"/>
      <c r="CG754" s="1519">
        <f t="shared" si="38"/>
        <v>0</v>
      </c>
      <c r="CH754" s="1521"/>
      <c r="CI754" s="1497">
        <f t="shared" si="39"/>
        <v>0</v>
      </c>
      <c r="CJ754" s="1498"/>
      <c r="CK754" s="1519">
        <f t="shared" si="17"/>
        <v>0</v>
      </c>
      <c r="CL754" s="1521"/>
      <c r="CM754" s="1497">
        <f t="shared" si="18"/>
        <v>0</v>
      </c>
      <c r="CN754" s="1498"/>
      <c r="CO754" s="3"/>
      <c r="CP754" s="1515">
        <f t="shared" si="19"/>
        <v>0</v>
      </c>
      <c r="CQ754" s="1516"/>
      <c r="CR754" s="1516"/>
      <c r="CS754" s="1516"/>
      <c r="CT754" s="1517"/>
      <c r="CU754" s="1513">
        <f t="shared" si="20"/>
        <v>0</v>
      </c>
      <c r="CV754" s="1513"/>
      <c r="CW754" s="1513"/>
      <c r="CX754" s="1513"/>
      <c r="CY754" s="1513"/>
      <c r="CZ754" s="1513">
        <f t="shared" si="21"/>
        <v>0</v>
      </c>
      <c r="DA754" s="1513"/>
      <c r="DB754" s="1513"/>
      <c r="DC754" s="1513"/>
      <c r="DD754" s="1513"/>
      <c r="DE754" s="1513">
        <f t="shared" si="22"/>
        <v>0</v>
      </c>
      <c r="DF754" s="1513"/>
      <c r="DG754" s="1513"/>
      <c r="DH754" s="1513"/>
      <c r="DI754" s="1513"/>
      <c r="DJ754" s="1513">
        <f t="shared" si="23"/>
        <v>0</v>
      </c>
      <c r="DK754" s="1513"/>
      <c r="DL754" s="1513"/>
      <c r="DM754" s="1513"/>
      <c r="DN754" s="1513"/>
      <c r="DO754" s="1513">
        <f t="shared" si="24"/>
        <v>0</v>
      </c>
      <c r="DP754" s="1513"/>
      <c r="DQ754" s="1513"/>
      <c r="DR754" s="1513"/>
      <c r="DS754" s="1513"/>
      <c r="DT754" s="6"/>
      <c r="DU754" s="1503">
        <f t="shared" si="25"/>
        <v>0</v>
      </c>
      <c r="DV754" s="1503"/>
      <c r="DW754" s="1503"/>
      <c r="DX754" s="1503"/>
      <c r="DY754" s="1503"/>
      <c r="DZ754" s="1503">
        <f t="shared" si="26"/>
        <v>0</v>
      </c>
      <c r="EA754" s="1503"/>
      <c r="EB754" s="1503"/>
      <c r="EC754" s="1503"/>
      <c r="ED754" s="1503"/>
      <c r="EE754" s="1503">
        <f t="shared" si="27"/>
        <v>0</v>
      </c>
      <c r="EF754" s="1503"/>
      <c r="EG754" s="1503"/>
      <c r="EH754" s="1503"/>
      <c r="EI754" s="1503"/>
      <c r="EJ754" s="1503">
        <f t="shared" si="28"/>
        <v>0</v>
      </c>
      <c r="EK754" s="1503"/>
      <c r="EL754" s="1503"/>
      <c r="EM754" s="1503"/>
      <c r="EN754" s="1503"/>
      <c r="EO754" s="1503">
        <f t="shared" si="29"/>
        <v>0</v>
      </c>
      <c r="EP754" s="1503"/>
      <c r="EQ754" s="1503"/>
      <c r="ER754" s="1503"/>
      <c r="ES754" s="1503"/>
      <c r="ET754" s="1503">
        <f t="shared" si="30"/>
        <v>0</v>
      </c>
      <c r="EU754" s="1503"/>
      <c r="EV754" s="1503"/>
      <c r="EW754" s="1503"/>
      <c r="EX754" s="1503"/>
      <c r="EZ754" s="1519" t="str">
        <f t="shared" si="31"/>
        <v/>
      </c>
      <c r="FA754" s="1520"/>
      <c r="FB754" s="1520"/>
      <c r="FC754" s="1520"/>
      <c r="FD754" s="1521"/>
      <c r="FE754" s="1519" t="str">
        <f t="shared" si="32"/>
        <v/>
      </c>
      <c r="FF754" s="1520"/>
      <c r="FG754" s="1520"/>
      <c r="FH754" s="1520"/>
      <c r="FI754" s="1521"/>
      <c r="FJ754" s="1519" t="str">
        <f t="shared" si="33"/>
        <v/>
      </c>
      <c r="FK754" s="1520"/>
      <c r="FL754" s="1520"/>
      <c r="FM754" s="1520"/>
      <c r="FN754" s="1521"/>
      <c r="FO754" s="1519" t="str">
        <f t="shared" si="34"/>
        <v/>
      </c>
      <c r="FP754" s="1520"/>
      <c r="FQ754" s="1520"/>
      <c r="FR754" s="1520"/>
      <c r="FS754" s="1521"/>
      <c r="FT754" s="1519" t="str">
        <f t="shared" si="35"/>
        <v/>
      </c>
      <c r="FU754" s="1520"/>
      <c r="FV754" s="1520"/>
      <c r="FW754" s="1520"/>
      <c r="FX754" s="1521"/>
      <c r="FY754" s="1519" t="str">
        <f t="shared" si="36"/>
        <v/>
      </c>
      <c r="FZ754" s="1520"/>
      <c r="GA754" s="1520"/>
      <c r="GB754" s="1520"/>
      <c r="GC754" s="1521"/>
    </row>
    <row r="755" spans="1:185" ht="12.95" customHeight="1">
      <c r="B755" s="1322"/>
      <c r="C755" s="1323"/>
      <c r="D755" s="1323"/>
      <c r="E755" s="1323"/>
      <c r="F755" s="1324"/>
      <c r="G755" s="1316"/>
      <c r="H755" s="1317"/>
      <c r="I755" s="1317"/>
      <c r="J755" s="1318"/>
      <c r="K755" s="1319"/>
      <c r="L755" s="1320"/>
      <c r="M755" s="1320"/>
      <c r="N755" s="1321"/>
      <c r="O755" s="1369"/>
      <c r="P755" s="1370"/>
      <c r="Q755" s="1370"/>
      <c r="R755" s="1370"/>
      <c r="S755" s="1371"/>
      <c r="T755" s="1369"/>
      <c r="U755" s="1370"/>
      <c r="V755" s="1370"/>
      <c r="W755" s="1371"/>
      <c r="X755" s="1398">
        <f t="shared" si="40"/>
        <v>0</v>
      </c>
      <c r="Y755" s="1399"/>
      <c r="Z755" s="1399"/>
      <c r="AA755" s="1399"/>
      <c r="AB755" s="1400"/>
      <c r="AC755" s="1382"/>
      <c r="AD755" s="1383"/>
      <c r="AE755" s="1383"/>
      <c r="AF755" s="1383"/>
      <c r="AG755" s="1384"/>
      <c r="AH755" s="1401" t="str">
        <f t="shared" si="37"/>
        <v/>
      </c>
      <c r="AI755" s="1402"/>
      <c r="AJ755" s="1403"/>
      <c r="AK755" s="1322" t="s">
        <v>589</v>
      </c>
      <c r="AL755" s="1323"/>
      <c r="AM755" s="1323"/>
      <c r="AN755" s="1323"/>
      <c r="AO755" s="1324"/>
      <c r="AP755" s="3"/>
      <c r="AQ755" s="3"/>
      <c r="AR755" s="3"/>
      <c r="AS755" s="3"/>
      <c r="AY755" s="1075"/>
      <c r="AZ755" s="118" t="str">
        <f t="shared" si="10"/>
        <v>N/A</v>
      </c>
      <c r="BA755" s="34"/>
      <c r="BB755" s="34"/>
      <c r="BC755" s="34"/>
      <c r="BD755" s="34"/>
      <c r="BE755" s="34"/>
      <c r="BF755" s="294">
        <f t="shared" si="11"/>
        <v>0</v>
      </c>
      <c r="BG755" s="297">
        <f t="shared" si="12"/>
        <v>0</v>
      </c>
      <c r="BH755" s="298" t="str">
        <f t="shared" si="13"/>
        <v/>
      </c>
      <c r="BI755" s="34"/>
      <c r="BJ755" s="34"/>
      <c r="BK755" s="34"/>
      <c r="BL755" s="34"/>
      <c r="BM755" s="34"/>
      <c r="BN755" s="34"/>
      <c r="BS755" s="294">
        <f t="shared" si="14"/>
        <v>0</v>
      </c>
      <c r="BT755" s="297">
        <f t="shared" si="15"/>
        <v>0</v>
      </c>
      <c r="BU755" s="298" t="str">
        <f t="shared" si="16"/>
        <v/>
      </c>
      <c r="BV755" s="3"/>
      <c r="BW755" s="3"/>
      <c r="BX755" s="3"/>
      <c r="BY755" s="3"/>
      <c r="BZ755" s="3"/>
      <c r="CA755" s="3"/>
      <c r="CB755" s="3"/>
      <c r="CC755" s="3"/>
      <c r="CE755" s="3"/>
      <c r="CF755" s="3"/>
      <c r="CG755" s="1519">
        <f t="shared" si="38"/>
        <v>0</v>
      </c>
      <c r="CH755" s="1521"/>
      <c r="CI755" s="1497">
        <f t="shared" si="39"/>
        <v>0</v>
      </c>
      <c r="CJ755" s="1498"/>
      <c r="CK755" s="1519">
        <f t="shared" si="17"/>
        <v>0</v>
      </c>
      <c r="CL755" s="1521"/>
      <c r="CM755" s="1497">
        <f t="shared" si="18"/>
        <v>0</v>
      </c>
      <c r="CN755" s="1498"/>
      <c r="CO755" s="3"/>
      <c r="CP755" s="1515">
        <f t="shared" si="19"/>
        <v>0</v>
      </c>
      <c r="CQ755" s="1516"/>
      <c r="CR755" s="1516"/>
      <c r="CS755" s="1516"/>
      <c r="CT755" s="1517"/>
      <c r="CU755" s="1513">
        <f t="shared" si="20"/>
        <v>0</v>
      </c>
      <c r="CV755" s="1513"/>
      <c r="CW755" s="1513"/>
      <c r="CX755" s="1513"/>
      <c r="CY755" s="1513"/>
      <c r="CZ755" s="1513">
        <f t="shared" si="21"/>
        <v>0</v>
      </c>
      <c r="DA755" s="1513"/>
      <c r="DB755" s="1513"/>
      <c r="DC755" s="1513"/>
      <c r="DD755" s="1513"/>
      <c r="DE755" s="1513">
        <f t="shared" si="22"/>
        <v>0</v>
      </c>
      <c r="DF755" s="1513"/>
      <c r="DG755" s="1513"/>
      <c r="DH755" s="1513"/>
      <c r="DI755" s="1513"/>
      <c r="DJ755" s="1513">
        <f t="shared" si="23"/>
        <v>0</v>
      </c>
      <c r="DK755" s="1513"/>
      <c r="DL755" s="1513"/>
      <c r="DM755" s="1513"/>
      <c r="DN755" s="1513"/>
      <c r="DO755" s="1513">
        <f t="shared" si="24"/>
        <v>0</v>
      </c>
      <c r="DP755" s="1513"/>
      <c r="DQ755" s="1513"/>
      <c r="DR755" s="1513"/>
      <c r="DS755" s="1513"/>
      <c r="DT755" s="6"/>
      <c r="DU755" s="1503">
        <f t="shared" si="25"/>
        <v>0</v>
      </c>
      <c r="DV755" s="1503"/>
      <c r="DW755" s="1503"/>
      <c r="DX755" s="1503"/>
      <c r="DY755" s="1503"/>
      <c r="DZ755" s="1503">
        <f t="shared" si="26"/>
        <v>0</v>
      </c>
      <c r="EA755" s="1503"/>
      <c r="EB755" s="1503"/>
      <c r="EC755" s="1503"/>
      <c r="ED755" s="1503"/>
      <c r="EE755" s="1503">
        <f t="shared" si="27"/>
        <v>0</v>
      </c>
      <c r="EF755" s="1503"/>
      <c r="EG755" s="1503"/>
      <c r="EH755" s="1503"/>
      <c r="EI755" s="1503"/>
      <c r="EJ755" s="1503">
        <f t="shared" si="28"/>
        <v>0</v>
      </c>
      <c r="EK755" s="1503"/>
      <c r="EL755" s="1503"/>
      <c r="EM755" s="1503"/>
      <c r="EN755" s="1503"/>
      <c r="EO755" s="1503">
        <f t="shared" si="29"/>
        <v>0</v>
      </c>
      <c r="EP755" s="1503"/>
      <c r="EQ755" s="1503"/>
      <c r="ER755" s="1503"/>
      <c r="ES755" s="1503"/>
      <c r="ET755" s="1503">
        <f t="shared" si="30"/>
        <v>0</v>
      </c>
      <c r="EU755" s="1503"/>
      <c r="EV755" s="1503"/>
      <c r="EW755" s="1503"/>
      <c r="EX755" s="1503"/>
      <c r="EZ755" s="1519" t="str">
        <f t="shared" si="31"/>
        <v/>
      </c>
      <c r="FA755" s="1520"/>
      <c r="FB755" s="1520"/>
      <c r="FC755" s="1520"/>
      <c r="FD755" s="1521"/>
      <c r="FE755" s="1519" t="str">
        <f t="shared" si="32"/>
        <v/>
      </c>
      <c r="FF755" s="1520"/>
      <c r="FG755" s="1520"/>
      <c r="FH755" s="1520"/>
      <c r="FI755" s="1521"/>
      <c r="FJ755" s="1519" t="str">
        <f t="shared" si="33"/>
        <v/>
      </c>
      <c r="FK755" s="1520"/>
      <c r="FL755" s="1520"/>
      <c r="FM755" s="1520"/>
      <c r="FN755" s="1521"/>
      <c r="FO755" s="1519" t="str">
        <f t="shared" si="34"/>
        <v/>
      </c>
      <c r="FP755" s="1520"/>
      <c r="FQ755" s="1520"/>
      <c r="FR755" s="1520"/>
      <c r="FS755" s="1521"/>
      <c r="FT755" s="1519" t="str">
        <f t="shared" si="35"/>
        <v/>
      </c>
      <c r="FU755" s="1520"/>
      <c r="FV755" s="1520"/>
      <c r="FW755" s="1520"/>
      <c r="FX755" s="1521"/>
      <c r="FY755" s="1519" t="str">
        <f t="shared" si="36"/>
        <v/>
      </c>
      <c r="FZ755" s="1520"/>
      <c r="GA755" s="1520"/>
      <c r="GB755" s="1520"/>
      <c r="GC755" s="1521"/>
    </row>
    <row r="756" spans="1:185" s="3" customFormat="1" ht="12.95" customHeight="1">
      <c r="A756"/>
      <c r="B756" s="1322"/>
      <c r="C756" s="1323"/>
      <c r="D756" s="1323"/>
      <c r="E756" s="1323"/>
      <c r="F756" s="1324"/>
      <c r="G756" s="1316"/>
      <c r="H756" s="1317"/>
      <c r="I756" s="1317"/>
      <c r="J756" s="1318"/>
      <c r="K756" s="1319"/>
      <c r="L756" s="1320"/>
      <c r="M756" s="1320"/>
      <c r="N756" s="1321"/>
      <c r="O756" s="1369"/>
      <c r="P756" s="1370"/>
      <c r="Q756" s="1370"/>
      <c r="R756" s="1370"/>
      <c r="S756" s="1371"/>
      <c r="T756" s="1369"/>
      <c r="U756" s="1370"/>
      <c r="V756" s="1370"/>
      <c r="W756" s="1371"/>
      <c r="X756" s="1398">
        <f t="shared" si="40"/>
        <v>0</v>
      </c>
      <c r="Y756" s="1399"/>
      <c r="Z756" s="1399"/>
      <c r="AA756" s="1399"/>
      <c r="AB756" s="1400"/>
      <c r="AC756" s="1382"/>
      <c r="AD756" s="1383"/>
      <c r="AE756" s="1383"/>
      <c r="AF756" s="1383"/>
      <c r="AG756" s="1384"/>
      <c r="AH756" s="1401" t="str">
        <f t="shared" si="37"/>
        <v/>
      </c>
      <c r="AI756" s="1402"/>
      <c r="AJ756" s="1403"/>
      <c r="AK756" s="1322" t="s">
        <v>589</v>
      </c>
      <c r="AL756" s="1323"/>
      <c r="AM756" s="1323"/>
      <c r="AN756" s="1323"/>
      <c r="AO756" s="1324"/>
      <c r="AT756"/>
      <c r="AU756"/>
      <c r="AV756"/>
      <c r="AW756"/>
      <c r="AX756"/>
      <c r="AY756" s="1075"/>
      <c r="AZ756" s="118" t="str">
        <f t="shared" si="10"/>
        <v>N/A</v>
      </c>
      <c r="BA756" s="34"/>
      <c r="BB756" s="34"/>
      <c r="BC756" s="34"/>
      <c r="BD756" s="34"/>
      <c r="BE756" s="34"/>
      <c r="BF756" s="294">
        <f t="shared" si="11"/>
        <v>0</v>
      </c>
      <c r="BG756" s="297">
        <f t="shared" si="12"/>
        <v>0</v>
      </c>
      <c r="BH756" s="298" t="str">
        <f t="shared" si="13"/>
        <v/>
      </c>
      <c r="BJ756" s="34"/>
      <c r="BK756" s="34"/>
      <c r="BL756" s="34"/>
      <c r="BM756" s="34"/>
      <c r="BN756" s="34"/>
      <c r="BO756"/>
      <c r="BP756"/>
      <c r="BQ756"/>
      <c r="BR756"/>
      <c r="BS756" s="294">
        <f t="shared" si="14"/>
        <v>0</v>
      </c>
      <c r="BT756" s="297">
        <f t="shared" si="15"/>
        <v>0</v>
      </c>
      <c r="BU756" s="298" t="str">
        <f t="shared" si="16"/>
        <v/>
      </c>
      <c r="CD756"/>
      <c r="CG756" s="1519">
        <f t="shared" si="38"/>
        <v>0</v>
      </c>
      <c r="CH756" s="1521"/>
      <c r="CI756" s="1497">
        <f t="shared" si="39"/>
        <v>0</v>
      </c>
      <c r="CJ756" s="1498"/>
      <c r="CK756" s="1519">
        <f t="shared" si="17"/>
        <v>0</v>
      </c>
      <c r="CL756" s="1521"/>
      <c r="CM756" s="1497">
        <f t="shared" si="18"/>
        <v>0</v>
      </c>
      <c r="CN756" s="1498"/>
      <c r="CP756" s="1515">
        <f t="shared" si="19"/>
        <v>0</v>
      </c>
      <c r="CQ756" s="1516"/>
      <c r="CR756" s="1516"/>
      <c r="CS756" s="1516"/>
      <c r="CT756" s="1517"/>
      <c r="CU756" s="1513">
        <f t="shared" si="20"/>
        <v>0</v>
      </c>
      <c r="CV756" s="1513"/>
      <c r="CW756" s="1513"/>
      <c r="CX756" s="1513"/>
      <c r="CY756" s="1513"/>
      <c r="CZ756" s="1513">
        <f t="shared" si="21"/>
        <v>0</v>
      </c>
      <c r="DA756" s="1513"/>
      <c r="DB756" s="1513"/>
      <c r="DC756" s="1513"/>
      <c r="DD756" s="1513"/>
      <c r="DE756" s="1513">
        <f t="shared" si="22"/>
        <v>0</v>
      </c>
      <c r="DF756" s="1513"/>
      <c r="DG756" s="1513"/>
      <c r="DH756" s="1513"/>
      <c r="DI756" s="1513"/>
      <c r="DJ756" s="1513">
        <f t="shared" si="23"/>
        <v>0</v>
      </c>
      <c r="DK756" s="1513"/>
      <c r="DL756" s="1513"/>
      <c r="DM756" s="1513"/>
      <c r="DN756" s="1513"/>
      <c r="DO756" s="1513">
        <f t="shared" si="24"/>
        <v>0</v>
      </c>
      <c r="DP756" s="1513"/>
      <c r="DQ756" s="1513"/>
      <c r="DR756" s="1513"/>
      <c r="DS756" s="1513"/>
      <c r="DT756" s="6"/>
      <c r="DU756" s="1503">
        <f t="shared" si="25"/>
        <v>0</v>
      </c>
      <c r="DV756" s="1503"/>
      <c r="DW756" s="1503"/>
      <c r="DX756" s="1503"/>
      <c r="DY756" s="1503"/>
      <c r="DZ756" s="1503">
        <f t="shared" si="26"/>
        <v>0</v>
      </c>
      <c r="EA756" s="1503"/>
      <c r="EB756" s="1503"/>
      <c r="EC756" s="1503"/>
      <c r="ED756" s="1503"/>
      <c r="EE756" s="1503">
        <f t="shared" si="27"/>
        <v>0</v>
      </c>
      <c r="EF756" s="1503"/>
      <c r="EG756" s="1503"/>
      <c r="EH756" s="1503"/>
      <c r="EI756" s="1503"/>
      <c r="EJ756" s="1503">
        <f t="shared" si="28"/>
        <v>0</v>
      </c>
      <c r="EK756" s="1503"/>
      <c r="EL756" s="1503"/>
      <c r="EM756" s="1503"/>
      <c r="EN756" s="1503"/>
      <c r="EO756" s="1503">
        <f t="shared" si="29"/>
        <v>0</v>
      </c>
      <c r="EP756" s="1503"/>
      <c r="EQ756" s="1503"/>
      <c r="ER756" s="1503"/>
      <c r="ES756" s="1503"/>
      <c r="ET756" s="1503">
        <f t="shared" si="30"/>
        <v>0</v>
      </c>
      <c r="EU756" s="1503"/>
      <c r="EV756" s="1503"/>
      <c r="EW756" s="1503"/>
      <c r="EX756" s="1503"/>
      <c r="EY756"/>
      <c r="EZ756" s="1519" t="str">
        <f t="shared" si="31"/>
        <v/>
      </c>
      <c r="FA756" s="1520"/>
      <c r="FB756" s="1520"/>
      <c r="FC756" s="1520"/>
      <c r="FD756" s="1521"/>
      <c r="FE756" s="1519" t="str">
        <f t="shared" si="32"/>
        <v/>
      </c>
      <c r="FF756" s="1520"/>
      <c r="FG756" s="1520"/>
      <c r="FH756" s="1520"/>
      <c r="FI756" s="1521"/>
      <c r="FJ756" s="1519" t="str">
        <f t="shared" si="33"/>
        <v/>
      </c>
      <c r="FK756" s="1520"/>
      <c r="FL756" s="1520"/>
      <c r="FM756" s="1520"/>
      <c r="FN756" s="1521"/>
      <c r="FO756" s="1519" t="str">
        <f t="shared" si="34"/>
        <v/>
      </c>
      <c r="FP756" s="1520"/>
      <c r="FQ756" s="1520"/>
      <c r="FR756" s="1520"/>
      <c r="FS756" s="1521"/>
      <c r="FT756" s="1519" t="str">
        <f t="shared" si="35"/>
        <v/>
      </c>
      <c r="FU756" s="1520"/>
      <c r="FV756" s="1520"/>
      <c r="FW756" s="1520"/>
      <c r="FX756" s="1521"/>
      <c r="FY756" s="1519" t="str">
        <f t="shared" si="36"/>
        <v/>
      </c>
      <c r="FZ756" s="1520"/>
      <c r="GA756" s="1520"/>
      <c r="GB756" s="1520"/>
      <c r="GC756" s="1521"/>
    </row>
    <row r="757" spans="1:185" s="3" customFormat="1" ht="12.95" customHeight="1">
      <c r="A757"/>
      <c r="B757" s="1322"/>
      <c r="C757" s="1323"/>
      <c r="D757" s="1323"/>
      <c r="E757" s="1323"/>
      <c r="F757" s="1324"/>
      <c r="G757" s="1316"/>
      <c r="H757" s="1317"/>
      <c r="I757" s="1317"/>
      <c r="J757" s="1318"/>
      <c r="K757" s="1319"/>
      <c r="L757" s="1320"/>
      <c r="M757" s="1320"/>
      <c r="N757" s="1321"/>
      <c r="O757" s="1369"/>
      <c r="P757" s="1370"/>
      <c r="Q757" s="1370"/>
      <c r="R757" s="1370"/>
      <c r="S757" s="1371"/>
      <c r="T757" s="1369"/>
      <c r="U757" s="1370"/>
      <c r="V757" s="1370"/>
      <c r="W757" s="1371"/>
      <c r="X757" s="1398">
        <f t="shared" si="40"/>
        <v>0</v>
      </c>
      <c r="Y757" s="1399"/>
      <c r="Z757" s="1399"/>
      <c r="AA757" s="1399"/>
      <c r="AB757" s="1400"/>
      <c r="AC757" s="1382"/>
      <c r="AD757" s="1383"/>
      <c r="AE757" s="1383"/>
      <c r="AF757" s="1383"/>
      <c r="AG757" s="1384"/>
      <c r="AH757" s="1401" t="str">
        <f t="shared" si="37"/>
        <v/>
      </c>
      <c r="AI757" s="1402"/>
      <c r="AJ757" s="1403"/>
      <c r="AK757" s="1322" t="s">
        <v>589</v>
      </c>
      <c r="AL757" s="1323"/>
      <c r="AM757" s="1323"/>
      <c r="AN757" s="1323"/>
      <c r="AO757" s="1324"/>
      <c r="AT757"/>
      <c r="AU757"/>
      <c r="AV757"/>
      <c r="AW757"/>
      <c r="AX757"/>
      <c r="AY757" s="1075"/>
      <c r="AZ757" s="118" t="str">
        <f t="shared" si="10"/>
        <v>N/A</v>
      </c>
      <c r="BA757" s="34"/>
      <c r="BB757" s="34"/>
      <c r="BC757" s="34"/>
      <c r="BD757" s="34"/>
      <c r="BE757" s="34"/>
      <c r="BF757" s="294">
        <f t="shared" si="11"/>
        <v>0</v>
      </c>
      <c r="BG757" s="297">
        <f t="shared" si="12"/>
        <v>0</v>
      </c>
      <c r="BH757" s="298" t="str">
        <f t="shared" si="13"/>
        <v/>
      </c>
      <c r="BJ757" s="34"/>
      <c r="BK757" s="34"/>
      <c r="BL757" s="34"/>
      <c r="BM757" s="34"/>
      <c r="BN757" s="34"/>
      <c r="BO757"/>
      <c r="BP757"/>
      <c r="BQ757"/>
      <c r="BR757"/>
      <c r="BS757" s="294">
        <f t="shared" si="14"/>
        <v>0</v>
      </c>
      <c r="BT757" s="297">
        <f t="shared" si="15"/>
        <v>0</v>
      </c>
      <c r="BU757" s="298" t="str">
        <f t="shared" si="16"/>
        <v/>
      </c>
      <c r="CD757"/>
      <c r="CG757" s="1519">
        <f t="shared" si="38"/>
        <v>0</v>
      </c>
      <c r="CH757" s="1521"/>
      <c r="CI757" s="1497">
        <f t="shared" si="39"/>
        <v>0</v>
      </c>
      <c r="CJ757" s="1498"/>
      <c r="CK757" s="1519">
        <f t="shared" si="17"/>
        <v>0</v>
      </c>
      <c r="CL757" s="1521"/>
      <c r="CM757" s="1497">
        <f t="shared" si="18"/>
        <v>0</v>
      </c>
      <c r="CN757" s="1498"/>
      <c r="CP757" s="1515">
        <f t="shared" si="19"/>
        <v>0</v>
      </c>
      <c r="CQ757" s="1516"/>
      <c r="CR757" s="1516"/>
      <c r="CS757" s="1516"/>
      <c r="CT757" s="1517"/>
      <c r="CU757" s="1513">
        <f t="shared" si="20"/>
        <v>0</v>
      </c>
      <c r="CV757" s="1513"/>
      <c r="CW757" s="1513"/>
      <c r="CX757" s="1513"/>
      <c r="CY757" s="1513"/>
      <c r="CZ757" s="1513">
        <f t="shared" si="21"/>
        <v>0</v>
      </c>
      <c r="DA757" s="1513"/>
      <c r="DB757" s="1513"/>
      <c r="DC757" s="1513"/>
      <c r="DD757" s="1513"/>
      <c r="DE757" s="1513">
        <f t="shared" si="22"/>
        <v>0</v>
      </c>
      <c r="DF757" s="1513"/>
      <c r="DG757" s="1513"/>
      <c r="DH757" s="1513"/>
      <c r="DI757" s="1513"/>
      <c r="DJ757" s="1513">
        <f t="shared" si="23"/>
        <v>0</v>
      </c>
      <c r="DK757" s="1513"/>
      <c r="DL757" s="1513"/>
      <c r="DM757" s="1513"/>
      <c r="DN757" s="1513"/>
      <c r="DO757" s="1513">
        <f t="shared" si="24"/>
        <v>0</v>
      </c>
      <c r="DP757" s="1513"/>
      <c r="DQ757" s="1513"/>
      <c r="DR757" s="1513"/>
      <c r="DS757" s="1513"/>
      <c r="DT757" s="6"/>
      <c r="DU757" s="1503">
        <f t="shared" si="25"/>
        <v>0</v>
      </c>
      <c r="DV757" s="1503"/>
      <c r="DW757" s="1503"/>
      <c r="DX757" s="1503"/>
      <c r="DY757" s="1503"/>
      <c r="DZ757" s="1503">
        <f t="shared" si="26"/>
        <v>0</v>
      </c>
      <c r="EA757" s="1503"/>
      <c r="EB757" s="1503"/>
      <c r="EC757" s="1503"/>
      <c r="ED757" s="1503"/>
      <c r="EE757" s="1503">
        <f t="shared" si="27"/>
        <v>0</v>
      </c>
      <c r="EF757" s="1503"/>
      <c r="EG757" s="1503"/>
      <c r="EH757" s="1503"/>
      <c r="EI757" s="1503"/>
      <c r="EJ757" s="1503">
        <f t="shared" si="28"/>
        <v>0</v>
      </c>
      <c r="EK757" s="1503"/>
      <c r="EL757" s="1503"/>
      <c r="EM757" s="1503"/>
      <c r="EN757" s="1503"/>
      <c r="EO757" s="1503">
        <f t="shared" si="29"/>
        <v>0</v>
      </c>
      <c r="EP757" s="1503"/>
      <c r="EQ757" s="1503"/>
      <c r="ER757" s="1503"/>
      <c r="ES757" s="1503"/>
      <c r="ET757" s="1503">
        <f t="shared" si="30"/>
        <v>0</v>
      </c>
      <c r="EU757" s="1503"/>
      <c r="EV757" s="1503"/>
      <c r="EW757" s="1503"/>
      <c r="EX757" s="1503"/>
      <c r="EY757"/>
      <c r="EZ757" s="1519" t="str">
        <f t="shared" si="31"/>
        <v/>
      </c>
      <c r="FA757" s="1520"/>
      <c r="FB757" s="1520"/>
      <c r="FC757" s="1520"/>
      <c r="FD757" s="1521"/>
      <c r="FE757" s="1519" t="str">
        <f t="shared" si="32"/>
        <v/>
      </c>
      <c r="FF757" s="1520"/>
      <c r="FG757" s="1520"/>
      <c r="FH757" s="1520"/>
      <c r="FI757" s="1521"/>
      <c r="FJ757" s="1519" t="str">
        <f t="shared" si="33"/>
        <v/>
      </c>
      <c r="FK757" s="1520"/>
      <c r="FL757" s="1520"/>
      <c r="FM757" s="1520"/>
      <c r="FN757" s="1521"/>
      <c r="FO757" s="1519" t="str">
        <f t="shared" si="34"/>
        <v/>
      </c>
      <c r="FP757" s="1520"/>
      <c r="FQ757" s="1520"/>
      <c r="FR757" s="1520"/>
      <c r="FS757" s="1521"/>
      <c r="FT757" s="1519" t="str">
        <f t="shared" si="35"/>
        <v/>
      </c>
      <c r="FU757" s="1520"/>
      <c r="FV757" s="1520"/>
      <c r="FW757" s="1520"/>
      <c r="FX757" s="1521"/>
      <c r="FY757" s="1519" t="str">
        <f t="shared" si="36"/>
        <v/>
      </c>
      <c r="FZ757" s="1520"/>
      <c r="GA757" s="1520"/>
      <c r="GB757" s="1520"/>
      <c r="GC757" s="1521"/>
    </row>
    <row r="758" spans="1:185" s="3" customFormat="1" ht="12.95" customHeight="1">
      <c r="A758"/>
      <c r="B758" s="1322"/>
      <c r="C758" s="1323"/>
      <c r="D758" s="1323"/>
      <c r="E758" s="1323"/>
      <c r="F758" s="1324"/>
      <c r="G758" s="1316"/>
      <c r="H758" s="1317"/>
      <c r="I758" s="1317"/>
      <c r="J758" s="1318"/>
      <c r="K758" s="1319"/>
      <c r="L758" s="1320"/>
      <c r="M758" s="1320"/>
      <c r="N758" s="1321"/>
      <c r="O758" s="1369"/>
      <c r="P758" s="1370"/>
      <c r="Q758" s="1370"/>
      <c r="R758" s="1370"/>
      <c r="S758" s="1371"/>
      <c r="T758" s="1369"/>
      <c r="U758" s="1370"/>
      <c r="V758" s="1370"/>
      <c r="W758" s="1371"/>
      <c r="X758" s="1398">
        <f t="shared" si="40"/>
        <v>0</v>
      </c>
      <c r="Y758" s="1399"/>
      <c r="Z758" s="1399"/>
      <c r="AA758" s="1399"/>
      <c r="AB758" s="1400"/>
      <c r="AC758" s="1382"/>
      <c r="AD758" s="1383"/>
      <c r="AE758" s="1383"/>
      <c r="AF758" s="1383"/>
      <c r="AG758" s="1384"/>
      <c r="AH758" s="1401" t="str">
        <f t="shared" si="37"/>
        <v/>
      </c>
      <c r="AI758" s="1402"/>
      <c r="AJ758" s="1403"/>
      <c r="AK758" s="1322" t="s">
        <v>589</v>
      </c>
      <c r="AL758" s="1323"/>
      <c r="AM758" s="1323"/>
      <c r="AN758" s="1323"/>
      <c r="AO758" s="1324"/>
      <c r="AT758"/>
      <c r="AU758"/>
      <c r="AV758"/>
      <c r="AW758"/>
      <c r="AX758"/>
      <c r="AY758"/>
      <c r="AZ758" s="118" t="str">
        <f t="shared" si="10"/>
        <v>N/A</v>
      </c>
      <c r="BA758" s="34"/>
      <c r="BB758" s="34"/>
      <c r="BC758" s="34"/>
      <c r="BD758" s="34"/>
      <c r="BE758" s="34"/>
      <c r="BF758" s="294">
        <f t="shared" si="11"/>
        <v>0</v>
      </c>
      <c r="BG758" s="297">
        <f t="shared" si="12"/>
        <v>0</v>
      </c>
      <c r="BH758" s="298" t="str">
        <f t="shared" si="13"/>
        <v/>
      </c>
      <c r="BJ758" s="34"/>
      <c r="BK758" s="34"/>
      <c r="BL758" s="34"/>
      <c r="BM758" s="34"/>
      <c r="BN758" s="34"/>
      <c r="BO758"/>
      <c r="BP758"/>
      <c r="BQ758"/>
      <c r="BR758"/>
      <c r="BS758" s="294">
        <f t="shared" si="14"/>
        <v>0</v>
      </c>
      <c r="BT758" s="297">
        <f t="shared" si="15"/>
        <v>0</v>
      </c>
      <c r="BU758" s="298" t="str">
        <f t="shared" si="16"/>
        <v/>
      </c>
      <c r="CD758"/>
      <c r="CG758" s="1519">
        <f t="shared" si="38"/>
        <v>0</v>
      </c>
      <c r="CH758" s="1521"/>
      <c r="CI758" s="1497">
        <f t="shared" si="39"/>
        <v>0</v>
      </c>
      <c r="CJ758" s="1498"/>
      <c r="CK758" s="1519">
        <f t="shared" si="17"/>
        <v>0</v>
      </c>
      <c r="CL758" s="1521"/>
      <c r="CM758" s="1497">
        <f t="shared" si="18"/>
        <v>0</v>
      </c>
      <c r="CN758" s="1498"/>
      <c r="CP758" s="1515">
        <f t="shared" si="19"/>
        <v>0</v>
      </c>
      <c r="CQ758" s="1516"/>
      <c r="CR758" s="1516"/>
      <c r="CS758" s="1516"/>
      <c r="CT758" s="1517"/>
      <c r="CU758" s="1513">
        <f t="shared" si="20"/>
        <v>0</v>
      </c>
      <c r="CV758" s="1513"/>
      <c r="CW758" s="1513"/>
      <c r="CX758" s="1513"/>
      <c r="CY758" s="1513"/>
      <c r="CZ758" s="1513">
        <f t="shared" si="21"/>
        <v>0</v>
      </c>
      <c r="DA758" s="1513"/>
      <c r="DB758" s="1513"/>
      <c r="DC758" s="1513"/>
      <c r="DD758" s="1513"/>
      <c r="DE758" s="1513">
        <f t="shared" si="22"/>
        <v>0</v>
      </c>
      <c r="DF758" s="1513"/>
      <c r="DG758" s="1513"/>
      <c r="DH758" s="1513"/>
      <c r="DI758" s="1513"/>
      <c r="DJ758" s="1513">
        <f t="shared" si="23"/>
        <v>0</v>
      </c>
      <c r="DK758" s="1513"/>
      <c r="DL758" s="1513"/>
      <c r="DM758" s="1513"/>
      <c r="DN758" s="1513"/>
      <c r="DO758" s="1513">
        <f t="shared" si="24"/>
        <v>0</v>
      </c>
      <c r="DP758" s="1513"/>
      <c r="DQ758" s="1513"/>
      <c r="DR758" s="1513"/>
      <c r="DS758" s="1513"/>
      <c r="DT758" s="6"/>
      <c r="DU758" s="1503">
        <f t="shared" si="25"/>
        <v>0</v>
      </c>
      <c r="DV758" s="1503"/>
      <c r="DW758" s="1503"/>
      <c r="DX758" s="1503"/>
      <c r="DY758" s="1503"/>
      <c r="DZ758" s="1503">
        <f t="shared" si="26"/>
        <v>0</v>
      </c>
      <c r="EA758" s="1503"/>
      <c r="EB758" s="1503"/>
      <c r="EC758" s="1503"/>
      <c r="ED758" s="1503"/>
      <c r="EE758" s="1503">
        <f t="shared" si="27"/>
        <v>0</v>
      </c>
      <c r="EF758" s="1503"/>
      <c r="EG758" s="1503"/>
      <c r="EH758" s="1503"/>
      <c r="EI758" s="1503"/>
      <c r="EJ758" s="1503">
        <f t="shared" si="28"/>
        <v>0</v>
      </c>
      <c r="EK758" s="1503"/>
      <c r="EL758" s="1503"/>
      <c r="EM758" s="1503"/>
      <c r="EN758" s="1503"/>
      <c r="EO758" s="1503">
        <f t="shared" si="29"/>
        <v>0</v>
      </c>
      <c r="EP758" s="1503"/>
      <c r="EQ758" s="1503"/>
      <c r="ER758" s="1503"/>
      <c r="ES758" s="1503"/>
      <c r="ET758" s="1503">
        <f t="shared" si="30"/>
        <v>0</v>
      </c>
      <c r="EU758" s="1503"/>
      <c r="EV758" s="1503"/>
      <c r="EW758" s="1503"/>
      <c r="EX758" s="1503"/>
      <c r="EY758"/>
      <c r="EZ758" s="1519" t="str">
        <f t="shared" si="31"/>
        <v/>
      </c>
      <c r="FA758" s="1520"/>
      <c r="FB758" s="1520"/>
      <c r="FC758" s="1520"/>
      <c r="FD758" s="1521"/>
      <c r="FE758" s="1519" t="str">
        <f t="shared" si="32"/>
        <v/>
      </c>
      <c r="FF758" s="1520"/>
      <c r="FG758" s="1520"/>
      <c r="FH758" s="1520"/>
      <c r="FI758" s="1521"/>
      <c r="FJ758" s="1519" t="str">
        <f t="shared" si="33"/>
        <v/>
      </c>
      <c r="FK758" s="1520"/>
      <c r="FL758" s="1520"/>
      <c r="FM758" s="1520"/>
      <c r="FN758" s="1521"/>
      <c r="FO758" s="1519" t="str">
        <f t="shared" si="34"/>
        <v/>
      </c>
      <c r="FP758" s="1520"/>
      <c r="FQ758" s="1520"/>
      <c r="FR758" s="1520"/>
      <c r="FS758" s="1521"/>
      <c r="FT758" s="1519" t="str">
        <f t="shared" si="35"/>
        <v/>
      </c>
      <c r="FU758" s="1520"/>
      <c r="FV758" s="1520"/>
      <c r="FW758" s="1520"/>
      <c r="FX758" s="1521"/>
      <c r="FY758" s="1519" t="str">
        <f t="shared" si="36"/>
        <v/>
      </c>
      <c r="FZ758" s="1520"/>
      <c r="GA758" s="1520"/>
      <c r="GB758" s="1520"/>
      <c r="GC758" s="1521"/>
    </row>
    <row r="759" spans="1:185" s="3" customFormat="1" ht="12.95" customHeight="1">
      <c r="A759"/>
      <c r="B759" s="1322"/>
      <c r="C759" s="1323"/>
      <c r="D759" s="1323"/>
      <c r="E759" s="1323"/>
      <c r="F759" s="1324"/>
      <c r="G759" s="1316"/>
      <c r="H759" s="1317"/>
      <c r="I759" s="1317"/>
      <c r="J759" s="1318"/>
      <c r="K759" s="1319"/>
      <c r="L759" s="1320"/>
      <c r="M759" s="1320"/>
      <c r="N759" s="1321"/>
      <c r="O759" s="1369"/>
      <c r="P759" s="1370"/>
      <c r="Q759" s="1370"/>
      <c r="R759" s="1370"/>
      <c r="S759" s="1371"/>
      <c r="T759" s="1369"/>
      <c r="U759" s="1370"/>
      <c r="V759" s="1370"/>
      <c r="W759" s="1371"/>
      <c r="X759" s="1398">
        <f t="shared" si="40"/>
        <v>0</v>
      </c>
      <c r="Y759" s="1399"/>
      <c r="Z759" s="1399"/>
      <c r="AA759" s="1399"/>
      <c r="AB759" s="1400"/>
      <c r="AC759" s="1382"/>
      <c r="AD759" s="1383"/>
      <c r="AE759" s="1383"/>
      <c r="AF759" s="1383"/>
      <c r="AG759" s="1384"/>
      <c r="AH759" s="1401" t="str">
        <f t="shared" si="37"/>
        <v/>
      </c>
      <c r="AI759" s="1402"/>
      <c r="AJ759" s="1403"/>
      <c r="AK759" s="1322" t="s">
        <v>589</v>
      </c>
      <c r="AL759" s="1323"/>
      <c r="AM759" s="1323"/>
      <c r="AN759" s="1323"/>
      <c r="AO759" s="1324"/>
      <c r="AT759"/>
      <c r="AU759"/>
      <c r="AV759"/>
      <c r="AW759"/>
      <c r="AX759"/>
      <c r="AY759"/>
      <c r="AZ759" s="118" t="str">
        <f t="shared" si="10"/>
        <v>N/A</v>
      </c>
      <c r="BA759" s="34"/>
      <c r="BB759" s="34"/>
      <c r="BC759" s="34"/>
      <c r="BD759" s="34"/>
      <c r="BE759" s="34"/>
      <c r="BF759" s="294">
        <f t="shared" si="11"/>
        <v>0</v>
      </c>
      <c r="BG759" s="297">
        <f t="shared" si="12"/>
        <v>0</v>
      </c>
      <c r="BH759" s="298" t="str">
        <f t="shared" si="13"/>
        <v/>
      </c>
      <c r="BJ759" s="34"/>
      <c r="BK759" s="34"/>
      <c r="BL759" s="34"/>
      <c r="BM759" s="34"/>
      <c r="BN759" s="34"/>
      <c r="BO759"/>
      <c r="BP759"/>
      <c r="BQ759"/>
      <c r="BR759"/>
      <c r="BS759" s="294">
        <f t="shared" si="14"/>
        <v>0</v>
      </c>
      <c r="BT759" s="297">
        <f t="shared" si="15"/>
        <v>0</v>
      </c>
      <c r="BU759" s="298" t="str">
        <f t="shared" si="16"/>
        <v/>
      </c>
      <c r="CD759"/>
      <c r="CG759" s="1519">
        <f t="shared" si="38"/>
        <v>0</v>
      </c>
      <c r="CH759" s="1521"/>
      <c r="CI759" s="1497">
        <f t="shared" si="39"/>
        <v>0</v>
      </c>
      <c r="CJ759" s="1498"/>
      <c r="CK759" s="1519">
        <f t="shared" si="17"/>
        <v>0</v>
      </c>
      <c r="CL759" s="1521"/>
      <c r="CM759" s="1497">
        <f t="shared" si="18"/>
        <v>0</v>
      </c>
      <c r="CN759" s="1498"/>
      <c r="CP759" s="1515">
        <f t="shared" si="19"/>
        <v>0</v>
      </c>
      <c r="CQ759" s="1516"/>
      <c r="CR759" s="1516"/>
      <c r="CS759" s="1516"/>
      <c r="CT759" s="1517"/>
      <c r="CU759" s="1513">
        <f t="shared" si="20"/>
        <v>0</v>
      </c>
      <c r="CV759" s="1513"/>
      <c r="CW759" s="1513"/>
      <c r="CX759" s="1513"/>
      <c r="CY759" s="1513"/>
      <c r="CZ759" s="1513">
        <f t="shared" si="21"/>
        <v>0</v>
      </c>
      <c r="DA759" s="1513"/>
      <c r="DB759" s="1513"/>
      <c r="DC759" s="1513"/>
      <c r="DD759" s="1513"/>
      <c r="DE759" s="1513">
        <f t="shared" si="22"/>
        <v>0</v>
      </c>
      <c r="DF759" s="1513"/>
      <c r="DG759" s="1513"/>
      <c r="DH759" s="1513"/>
      <c r="DI759" s="1513"/>
      <c r="DJ759" s="1513">
        <f t="shared" si="23"/>
        <v>0</v>
      </c>
      <c r="DK759" s="1513"/>
      <c r="DL759" s="1513"/>
      <c r="DM759" s="1513"/>
      <c r="DN759" s="1513"/>
      <c r="DO759" s="1513">
        <f t="shared" si="24"/>
        <v>0</v>
      </c>
      <c r="DP759" s="1513"/>
      <c r="DQ759" s="1513"/>
      <c r="DR759" s="1513"/>
      <c r="DS759" s="1513"/>
      <c r="DT759" s="6"/>
      <c r="DU759" s="1503">
        <f t="shared" si="25"/>
        <v>0</v>
      </c>
      <c r="DV759" s="1503"/>
      <c r="DW759" s="1503"/>
      <c r="DX759" s="1503"/>
      <c r="DY759" s="1503"/>
      <c r="DZ759" s="1503">
        <f t="shared" si="26"/>
        <v>0</v>
      </c>
      <c r="EA759" s="1503"/>
      <c r="EB759" s="1503"/>
      <c r="EC759" s="1503"/>
      <c r="ED759" s="1503"/>
      <c r="EE759" s="1503">
        <f t="shared" si="27"/>
        <v>0</v>
      </c>
      <c r="EF759" s="1503"/>
      <c r="EG759" s="1503"/>
      <c r="EH759" s="1503"/>
      <c r="EI759" s="1503"/>
      <c r="EJ759" s="1503">
        <f t="shared" si="28"/>
        <v>0</v>
      </c>
      <c r="EK759" s="1503"/>
      <c r="EL759" s="1503"/>
      <c r="EM759" s="1503"/>
      <c r="EN759" s="1503"/>
      <c r="EO759" s="1503">
        <f t="shared" si="29"/>
        <v>0</v>
      </c>
      <c r="EP759" s="1503"/>
      <c r="EQ759" s="1503"/>
      <c r="ER759" s="1503"/>
      <c r="ES759" s="1503"/>
      <c r="ET759" s="1503">
        <f t="shared" si="30"/>
        <v>0</v>
      </c>
      <c r="EU759" s="1503"/>
      <c r="EV759" s="1503"/>
      <c r="EW759" s="1503"/>
      <c r="EX759" s="1503"/>
      <c r="EY759"/>
      <c r="EZ759" s="1519" t="str">
        <f t="shared" si="31"/>
        <v/>
      </c>
      <c r="FA759" s="1520"/>
      <c r="FB759" s="1520"/>
      <c r="FC759" s="1520"/>
      <c r="FD759" s="1521"/>
      <c r="FE759" s="1519" t="str">
        <f t="shared" si="32"/>
        <v/>
      </c>
      <c r="FF759" s="1520"/>
      <c r="FG759" s="1520"/>
      <c r="FH759" s="1520"/>
      <c r="FI759" s="1521"/>
      <c r="FJ759" s="1519" t="str">
        <f t="shared" si="33"/>
        <v/>
      </c>
      <c r="FK759" s="1520"/>
      <c r="FL759" s="1520"/>
      <c r="FM759" s="1520"/>
      <c r="FN759" s="1521"/>
      <c r="FO759" s="1519" t="str">
        <f t="shared" si="34"/>
        <v/>
      </c>
      <c r="FP759" s="1520"/>
      <c r="FQ759" s="1520"/>
      <c r="FR759" s="1520"/>
      <c r="FS759" s="1521"/>
      <c r="FT759" s="1519" t="str">
        <f t="shared" si="35"/>
        <v/>
      </c>
      <c r="FU759" s="1520"/>
      <c r="FV759" s="1520"/>
      <c r="FW759" s="1520"/>
      <c r="FX759" s="1521"/>
      <c r="FY759" s="1519" t="str">
        <f t="shared" si="36"/>
        <v/>
      </c>
      <c r="FZ759" s="1520"/>
      <c r="GA759" s="1520"/>
      <c r="GB759" s="1520"/>
      <c r="GC759" s="1521"/>
    </row>
    <row r="760" spans="1:185" s="3" customFormat="1" ht="12.95" customHeight="1">
      <c r="A760"/>
      <c r="B760" s="1322"/>
      <c r="C760" s="1323"/>
      <c r="D760" s="1323"/>
      <c r="E760" s="1323"/>
      <c r="F760" s="1324"/>
      <c r="G760" s="1316"/>
      <c r="H760" s="1317"/>
      <c r="I760" s="1317"/>
      <c r="J760" s="1318"/>
      <c r="K760" s="1319"/>
      <c r="L760" s="1320"/>
      <c r="M760" s="1320"/>
      <c r="N760" s="1321"/>
      <c r="O760" s="1369"/>
      <c r="P760" s="1370"/>
      <c r="Q760" s="1370"/>
      <c r="R760" s="1370"/>
      <c r="S760" s="1371"/>
      <c r="T760" s="1369"/>
      <c r="U760" s="1370"/>
      <c r="V760" s="1370"/>
      <c r="W760" s="1371"/>
      <c r="X760" s="1398">
        <f>O760+T760</f>
        <v>0</v>
      </c>
      <c r="Y760" s="1399"/>
      <c r="Z760" s="1399"/>
      <c r="AA760" s="1399"/>
      <c r="AB760" s="1400"/>
      <c r="AC760" s="1382"/>
      <c r="AD760" s="1383"/>
      <c r="AE760" s="1383"/>
      <c r="AF760" s="1383"/>
      <c r="AG760" s="1384"/>
      <c r="AH760" s="1401" t="str">
        <f t="shared" si="37"/>
        <v/>
      </c>
      <c r="AI760" s="1402"/>
      <c r="AJ760" s="1403"/>
      <c r="AK760" s="1322" t="s">
        <v>589</v>
      </c>
      <c r="AL760" s="1323"/>
      <c r="AM760" s="1323"/>
      <c r="AN760" s="1323"/>
      <c r="AO760" s="1324"/>
      <c r="AT760"/>
      <c r="AU760"/>
      <c r="AV760"/>
      <c r="AW760"/>
      <c r="AX760"/>
      <c r="AY760"/>
      <c r="AZ760" s="118" t="str">
        <f t="shared" si="10"/>
        <v>N/A</v>
      </c>
      <c r="BA760" s="34"/>
      <c r="BB760" s="34"/>
      <c r="BC760" s="34"/>
      <c r="BE760"/>
      <c r="BF760" s="294">
        <f t="shared" si="11"/>
        <v>0</v>
      </c>
      <c r="BG760" s="297">
        <f t="shared" si="12"/>
        <v>0</v>
      </c>
      <c r="BH760" s="298" t="str">
        <f t="shared" si="13"/>
        <v/>
      </c>
      <c r="BJ760" s="34"/>
      <c r="BK760" s="34"/>
      <c r="BL760" s="34"/>
      <c r="BM760" s="34"/>
      <c r="BN760" s="34"/>
      <c r="BO760"/>
      <c r="BP760"/>
      <c r="BQ760"/>
      <c r="BR760"/>
      <c r="BS760" s="851">
        <f t="shared" si="14"/>
        <v>0</v>
      </c>
      <c r="BT760" s="297">
        <f t="shared" si="15"/>
        <v>0</v>
      </c>
      <c r="BU760" s="298" t="str">
        <f t="shared" si="16"/>
        <v/>
      </c>
      <c r="CD760"/>
      <c r="CG760" s="1519">
        <f t="shared" si="38"/>
        <v>0</v>
      </c>
      <c r="CH760" s="1521"/>
      <c r="CI760" s="1497">
        <f t="shared" si="39"/>
        <v>0</v>
      </c>
      <c r="CJ760" s="1498"/>
      <c r="CK760" s="1519">
        <f t="shared" si="17"/>
        <v>0</v>
      </c>
      <c r="CL760" s="1521"/>
      <c r="CM760" s="1497">
        <f t="shared" si="18"/>
        <v>0</v>
      </c>
      <c r="CN760" s="1498"/>
      <c r="CP760" s="1515">
        <f t="shared" si="19"/>
        <v>0</v>
      </c>
      <c r="CQ760" s="1516"/>
      <c r="CR760" s="1516"/>
      <c r="CS760" s="1516"/>
      <c r="CT760" s="1517"/>
      <c r="CU760" s="1513">
        <f t="shared" si="20"/>
        <v>0</v>
      </c>
      <c r="CV760" s="1513"/>
      <c r="CW760" s="1513"/>
      <c r="CX760" s="1513"/>
      <c r="CY760" s="1513"/>
      <c r="CZ760" s="1513">
        <f t="shared" si="21"/>
        <v>0</v>
      </c>
      <c r="DA760" s="1513"/>
      <c r="DB760" s="1513"/>
      <c r="DC760" s="1513"/>
      <c r="DD760" s="1513"/>
      <c r="DE760" s="1513">
        <f t="shared" si="22"/>
        <v>0</v>
      </c>
      <c r="DF760" s="1513"/>
      <c r="DG760" s="1513"/>
      <c r="DH760" s="1513"/>
      <c r="DI760" s="1513"/>
      <c r="DJ760" s="1513">
        <f t="shared" si="23"/>
        <v>0</v>
      </c>
      <c r="DK760" s="1513"/>
      <c r="DL760" s="1513"/>
      <c r="DM760" s="1513"/>
      <c r="DN760" s="1513"/>
      <c r="DO760" s="1513">
        <f t="shared" si="24"/>
        <v>0</v>
      </c>
      <c r="DP760" s="1513"/>
      <c r="DQ760" s="1513"/>
      <c r="DR760" s="1513"/>
      <c r="DS760" s="1513"/>
      <c r="DT760" s="6"/>
      <c r="DU760" s="1503">
        <f t="shared" si="25"/>
        <v>0</v>
      </c>
      <c r="DV760" s="1503"/>
      <c r="DW760" s="1503"/>
      <c r="DX760" s="1503"/>
      <c r="DY760" s="1503"/>
      <c r="DZ760" s="1503">
        <f t="shared" si="26"/>
        <v>0</v>
      </c>
      <c r="EA760" s="1503"/>
      <c r="EB760" s="1503"/>
      <c r="EC760" s="1503"/>
      <c r="ED760" s="1503"/>
      <c r="EE760" s="1503">
        <f t="shared" si="27"/>
        <v>0</v>
      </c>
      <c r="EF760" s="1503"/>
      <c r="EG760" s="1503"/>
      <c r="EH760" s="1503"/>
      <c r="EI760" s="1503"/>
      <c r="EJ760" s="1503">
        <f t="shared" si="28"/>
        <v>0</v>
      </c>
      <c r="EK760" s="1503"/>
      <c r="EL760" s="1503"/>
      <c r="EM760" s="1503"/>
      <c r="EN760" s="1503"/>
      <c r="EO760" s="1503">
        <f t="shared" si="29"/>
        <v>0</v>
      </c>
      <c r="EP760" s="1503"/>
      <c r="EQ760" s="1503"/>
      <c r="ER760" s="1503"/>
      <c r="ES760" s="1503"/>
      <c r="ET760" s="1503">
        <f t="shared" si="30"/>
        <v>0</v>
      </c>
      <c r="EU760" s="1503"/>
      <c r="EV760" s="1503"/>
      <c r="EW760" s="1503"/>
      <c r="EX760" s="1503"/>
      <c r="EY760"/>
      <c r="EZ760" s="1519" t="str">
        <f t="shared" si="31"/>
        <v/>
      </c>
      <c r="FA760" s="1520"/>
      <c r="FB760" s="1520"/>
      <c r="FC760" s="1520"/>
      <c r="FD760" s="1521"/>
      <c r="FE760" s="1519" t="str">
        <f t="shared" si="32"/>
        <v/>
      </c>
      <c r="FF760" s="1520"/>
      <c r="FG760" s="1520"/>
      <c r="FH760" s="1520"/>
      <c r="FI760" s="1521"/>
      <c r="FJ760" s="1519" t="str">
        <f t="shared" si="33"/>
        <v/>
      </c>
      <c r="FK760" s="1520"/>
      <c r="FL760" s="1520"/>
      <c r="FM760" s="1520"/>
      <c r="FN760" s="1521"/>
      <c r="FO760" s="1519" t="str">
        <f t="shared" si="34"/>
        <v/>
      </c>
      <c r="FP760" s="1520"/>
      <c r="FQ760" s="1520"/>
      <c r="FR760" s="1520"/>
      <c r="FS760" s="1521"/>
      <c r="FT760" s="1519" t="str">
        <f t="shared" si="35"/>
        <v/>
      </c>
      <c r="FU760" s="1520"/>
      <c r="FV760" s="1520"/>
      <c r="FW760" s="1520"/>
      <c r="FX760" s="1521"/>
      <c r="FY760" s="1519" t="str">
        <f t="shared" si="36"/>
        <v/>
      </c>
      <c r="FZ760" s="1520"/>
      <c r="GA760" s="1520"/>
      <c r="GB760" s="1520"/>
      <c r="GC760" s="1521"/>
    </row>
    <row r="761" spans="1:185" s="3" customFormat="1" ht="12.95" customHeight="1">
      <c r="A761"/>
      <c r="B761" s="1500" t="s">
        <v>125</v>
      </c>
      <c r="C761" s="1501"/>
      <c r="D761" s="1501"/>
      <c r="E761" s="1501"/>
      <c r="F761" s="1502"/>
      <c r="G761" s="1372">
        <f>SUM(G726:G760)</f>
        <v>108</v>
      </c>
      <c r="H761" s="1373"/>
      <c r="I761" s="1373"/>
      <c r="J761" s="1374"/>
      <c r="K761" s="893" t="s">
        <v>124</v>
      </c>
      <c r="L761" s="5"/>
      <c r="M761" s="5"/>
      <c r="N761" s="46"/>
      <c r="O761" s="1398">
        <f>SUMPRODUCT(G726:G760,O726:O760)</f>
        <v>187568</v>
      </c>
      <c r="P761" s="1399"/>
      <c r="Q761" s="1399"/>
      <c r="R761" s="1399"/>
      <c r="S761" s="1400"/>
      <c r="T761"/>
      <c r="U761"/>
      <c r="V761"/>
      <c r="W761"/>
      <c r="X761" s="895" t="s">
        <v>898</v>
      </c>
      <c r="Y761" s="894"/>
      <c r="Z761" s="894"/>
      <c r="AA761" s="894"/>
      <c r="AB761" s="896"/>
      <c r="AC761" s="1608">
        <f>BH761</f>
        <v>0.49999999999999994</v>
      </c>
      <c r="AD761" s="1609"/>
      <c r="AE761" s="1609"/>
      <c r="AF761" s="1609"/>
      <c r="AG761" s="1610"/>
      <c r="AH761" s="1608">
        <f>IFERROR(BU761,"")</f>
        <v>0.50008878247996535</v>
      </c>
      <c r="AI761" s="1609"/>
      <c r="AJ761" s="1610"/>
      <c r="AK761"/>
      <c r="AL761"/>
      <c r="AM761"/>
      <c r="AN761"/>
      <c r="AO761"/>
      <c r="AP761" s="205"/>
      <c r="AQ761" s="205"/>
      <c r="AR761" s="205"/>
      <c r="AS761" s="205"/>
      <c r="AT761"/>
      <c r="AU761"/>
      <c r="AV761"/>
      <c r="AW761"/>
      <c r="AX761"/>
      <c r="AY761"/>
      <c r="AZ761" s="34"/>
      <c r="BA761" s="34"/>
      <c r="BB761" s="34"/>
      <c r="BC761" s="34"/>
      <c r="BE761" s="290" t="s">
        <v>897</v>
      </c>
      <c r="BF761" s="299">
        <f>SUM(BF726:BF760)</f>
        <v>108</v>
      </c>
      <c r="BG761" s="300">
        <f>SUM(BG726:BG760)</f>
        <v>0.99999999999999989</v>
      </c>
      <c r="BH761" s="300">
        <f>SUM(BH726:BH760)</f>
        <v>0.49999999999999994</v>
      </c>
      <c r="BI761"/>
      <c r="BJ761"/>
      <c r="BK761"/>
      <c r="BL761"/>
      <c r="BO761"/>
      <c r="BP761"/>
      <c r="BQ761"/>
      <c r="BR761"/>
      <c r="BS761" s="850">
        <f>SUM(BS726:BS760)</f>
        <v>108</v>
      </c>
      <c r="BT761" s="300">
        <f>SUM(BT726:BT760)</f>
        <v>0.99999999999999989</v>
      </c>
      <c r="BU761" s="300">
        <f>SUM(BU726:BU760)</f>
        <v>0.50008878247996535</v>
      </c>
      <c r="CI761" s="1519">
        <f>SUM(CI726:CJ760)</f>
        <v>2</v>
      </c>
      <c r="CJ761" s="1521"/>
      <c r="CM761" s="1519">
        <f>SUM(CM726:CN760)</f>
        <v>53</v>
      </c>
      <c r="CN761" s="1521"/>
      <c r="CP761" s="1519">
        <f>SUM(CP726:CT760)</f>
        <v>14</v>
      </c>
      <c r="CQ761" s="1520"/>
      <c r="CR761" s="1520"/>
      <c r="CS761" s="1520"/>
      <c r="CT761" s="1521"/>
      <c r="CU761" s="1518">
        <f>SUM(CU726:CY760)</f>
        <v>39</v>
      </c>
      <c r="CV761" s="1518"/>
      <c r="CW761" s="1518"/>
      <c r="CX761" s="1518"/>
      <c r="CY761" s="1518"/>
      <c r="CZ761" s="1518">
        <f>SUM(CZ726:DD760)</f>
        <v>28</v>
      </c>
      <c r="DA761" s="1518"/>
      <c r="DB761" s="1518"/>
      <c r="DC761" s="1518"/>
      <c r="DD761" s="1518"/>
      <c r="DE761" s="1518">
        <f>SUM(DE726:DI760)</f>
        <v>27</v>
      </c>
      <c r="DF761" s="1518"/>
      <c r="DG761" s="1518"/>
      <c r="DH761" s="1518"/>
      <c r="DI761" s="1518"/>
      <c r="DJ761" s="1518">
        <f>SUM(DJ726:DN760)</f>
        <v>0</v>
      </c>
      <c r="DK761" s="1518"/>
      <c r="DL761" s="1518"/>
      <c r="DM761" s="1518"/>
      <c r="DN761" s="1518"/>
      <c r="DO761" s="1518">
        <f>SUM(DO726:DS760)</f>
        <v>0</v>
      </c>
      <c r="DP761" s="1518"/>
      <c r="DQ761" s="1518"/>
      <c r="DR761" s="1518"/>
      <c r="DS761" s="1518"/>
      <c r="DT761" s="350"/>
      <c r="DU761" s="1518">
        <f>SUM(DU726:DY760)</f>
        <v>14</v>
      </c>
      <c r="DV761" s="1518"/>
      <c r="DW761" s="1518"/>
      <c r="DX761" s="1518"/>
      <c r="DY761" s="1518"/>
      <c r="DZ761" s="1518">
        <f>SUM(DZ726:ED760)</f>
        <v>39</v>
      </c>
      <c r="EA761" s="1518"/>
      <c r="EB761" s="1518"/>
      <c r="EC761" s="1518"/>
      <c r="ED761" s="1518"/>
      <c r="EE761" s="1518">
        <f>SUM(EE726:EI760)</f>
        <v>0</v>
      </c>
      <c r="EF761" s="1518"/>
      <c r="EG761" s="1518"/>
      <c r="EH761" s="1518"/>
      <c r="EI761" s="1518"/>
      <c r="EJ761" s="1518">
        <f>SUM(EJ726:EN760)</f>
        <v>0</v>
      </c>
      <c r="EK761" s="1518"/>
      <c r="EL761" s="1518"/>
      <c r="EM761" s="1518"/>
      <c r="EN761" s="1518"/>
      <c r="EO761" s="1518">
        <f>SUM(EO726:ES760)</f>
        <v>0</v>
      </c>
      <c r="EP761" s="1518"/>
      <c r="EQ761" s="1518"/>
      <c r="ER761" s="1518"/>
      <c r="ES761" s="1518"/>
      <c r="ET761" s="1518">
        <f>SUM(ET726:EX760)</f>
        <v>0</v>
      </c>
      <c r="EU761" s="1518"/>
      <c r="EV761" s="1518"/>
      <c r="EW761" s="1518"/>
      <c r="EX761" s="1518"/>
      <c r="EY761"/>
      <c r="EZ761" s="1518">
        <f>SUM(EZ726:FD760)</f>
        <v>781</v>
      </c>
      <c r="FA761" s="1518"/>
      <c r="FB761" s="1518"/>
      <c r="FC761" s="1518"/>
      <c r="FD761" s="1518"/>
      <c r="FE761" s="1518">
        <f>SUM(FE726:FI760)</f>
        <v>828</v>
      </c>
      <c r="FF761" s="1518"/>
      <c r="FG761" s="1518"/>
      <c r="FH761" s="1518"/>
      <c r="FI761" s="1518"/>
      <c r="FJ761" s="1518">
        <f>SUM(FJ726:FN760)</f>
        <v>4194</v>
      </c>
      <c r="FK761" s="1518"/>
      <c r="FL761" s="1518"/>
      <c r="FM761" s="1518"/>
      <c r="FN761" s="1518"/>
      <c r="FO761" s="1518">
        <f>SUM(FO726:FS760)</f>
        <v>2838</v>
      </c>
      <c r="FP761" s="1518"/>
      <c r="FQ761" s="1518"/>
      <c r="FR761" s="1518"/>
      <c r="FS761" s="1518"/>
      <c r="FT761" s="1518">
        <f>SUM(FT726:FX760)</f>
        <v>0</v>
      </c>
      <c r="FU761" s="1518"/>
      <c r="FV761" s="1518"/>
      <c r="FW761" s="1518"/>
      <c r="FX761" s="1518"/>
      <c r="FY761" s="1518">
        <f>SUM(FY726:GC760)</f>
        <v>0</v>
      </c>
      <c r="FZ761" s="1518"/>
      <c r="GA761" s="1518"/>
      <c r="GB761" s="1518"/>
      <c r="GC761" s="1518"/>
    </row>
    <row r="762" spans="1:185" s="3" customFormat="1" ht="12.95" customHeight="1">
      <c r="A762"/>
      <c r="B762" s="1695" t="s">
        <v>1859</v>
      </c>
      <c r="C762" s="1695"/>
      <c r="D762" s="1695"/>
      <c r="E762" s="1695"/>
      <c r="F762" s="1695"/>
      <c r="G762" s="1695"/>
      <c r="H762" s="1695"/>
      <c r="I762" s="1695"/>
      <c r="J762" s="1695"/>
      <c r="K762" s="1695"/>
      <c r="L762" s="1695"/>
      <c r="M762" s="1695"/>
      <c r="N762" s="1695"/>
      <c r="O762" s="1695"/>
      <c r="P762" s="1695"/>
      <c r="Q762" s="1695"/>
      <c r="R762" s="1695"/>
      <c r="S762" s="1695"/>
      <c r="T762" s="1695"/>
      <c r="U762" s="1695"/>
      <c r="V762" s="1695"/>
      <c r="W762" s="1695"/>
      <c r="X762" s="1695"/>
      <c r="Y762" s="1695"/>
      <c r="Z762" s="1695"/>
      <c r="AA762" s="1695"/>
      <c r="AB762" s="1695"/>
      <c r="AC762" s="1695"/>
      <c r="AD762" s="1695"/>
      <c r="AE762" s="1695"/>
      <c r="AF762" s="1695"/>
      <c r="AG762" s="1695"/>
      <c r="AH762" s="1695"/>
      <c r="AI762"/>
      <c r="AJ762"/>
      <c r="AK762"/>
      <c r="AT762"/>
      <c r="AU762"/>
      <c r="AV762"/>
      <c r="AW762"/>
      <c r="AX762"/>
      <c r="AY762"/>
      <c r="CD762"/>
      <c r="DN762" s="56" t="s">
        <v>1827</v>
      </c>
      <c r="DO762" s="1519">
        <f>CP761+CU761+CZ761+DE761+DJ761+DO761</f>
        <v>108</v>
      </c>
      <c r="DP762" s="1520"/>
      <c r="DQ762" s="1520"/>
      <c r="DR762" s="1520"/>
      <c r="DS762" s="1521"/>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5" customHeight="1">
      <c r="B763" s="1695"/>
      <c r="C763" s="1695"/>
      <c r="D763" s="1695"/>
      <c r="E763" s="1695"/>
      <c r="F763" s="1695"/>
      <c r="G763" s="1695"/>
      <c r="H763" s="1695"/>
      <c r="I763" s="1695"/>
      <c r="J763" s="1695"/>
      <c r="K763" s="1695"/>
      <c r="L763" s="1695"/>
      <c r="M763" s="1695"/>
      <c r="N763" s="1695"/>
      <c r="O763" s="1695"/>
      <c r="P763" s="1695"/>
      <c r="Q763" s="1695"/>
      <c r="R763" s="1695"/>
      <c r="S763" s="1695"/>
      <c r="T763" s="1695"/>
      <c r="U763" s="1695"/>
      <c r="V763" s="1695"/>
      <c r="W763" s="1695"/>
      <c r="X763" s="1695"/>
      <c r="Y763" s="1695"/>
      <c r="Z763" s="1695"/>
      <c r="AA763" s="1695"/>
      <c r="AB763" s="1695"/>
      <c r="AC763" s="1695"/>
      <c r="AD763" s="1695"/>
      <c r="AE763" s="1695"/>
      <c r="AF763" s="1695"/>
      <c r="AG763" s="1695"/>
      <c r="AH763" s="1695"/>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14</v>
      </c>
      <c r="CU763" s="3"/>
      <c r="CV763" s="3"/>
      <c r="CW763" s="3"/>
      <c r="CX763" s="3"/>
      <c r="CY763" s="852">
        <f>CU761*1</f>
        <v>39</v>
      </c>
      <c r="CZ763" s="3"/>
      <c r="DA763" s="3"/>
      <c r="DB763" s="3"/>
      <c r="DC763" s="3"/>
      <c r="DD763" s="852">
        <f>CZ761*2</f>
        <v>56</v>
      </c>
      <c r="DE763" s="3"/>
      <c r="DF763" s="3"/>
      <c r="DG763" s="3"/>
      <c r="DH763" s="3"/>
      <c r="DI763" s="852">
        <f>DE761*3</f>
        <v>81</v>
      </c>
      <c r="DJ763" s="3"/>
      <c r="DK763" s="3"/>
      <c r="DL763" s="3"/>
      <c r="DM763" s="3"/>
      <c r="DN763" s="852">
        <f>DJ761*4</f>
        <v>0</v>
      </c>
      <c r="DO763" s="3"/>
      <c r="DP763" s="3"/>
      <c r="DQ763" s="3"/>
      <c r="DR763" s="3"/>
      <c r="DS763" s="852">
        <f>DO761*5</f>
        <v>0</v>
      </c>
      <c r="DU763" s="852">
        <f>CT763+CY763+DD763+DI763+DN763+DS763</f>
        <v>190</v>
      </c>
      <c r="DV763" s="57" t="s">
        <v>1829</v>
      </c>
      <c r="DW763" s="3"/>
      <c r="DX763" s="3"/>
      <c r="DY763" s="3"/>
      <c r="DZ763" s="3"/>
      <c r="EA763" s="3"/>
      <c r="EB763" s="3"/>
      <c r="EC763" s="3"/>
      <c r="ED763" s="3"/>
      <c r="EE763" s="3"/>
      <c r="EF763" s="3"/>
      <c r="EG763" s="3"/>
      <c r="EH763" s="3"/>
    </row>
    <row r="764" spans="1:185" ht="12.95" customHeight="1">
      <c r="A764" s="3"/>
      <c r="B764" s="3"/>
      <c r="C764" s="118" t="s">
        <v>1857</v>
      </c>
      <c r="D764" s="1022"/>
      <c r="E764" s="1022"/>
      <c r="F764" s="1022"/>
      <c r="G764" s="1023"/>
      <c r="H764" s="1023"/>
      <c r="I764" s="1023"/>
      <c r="J764" s="1023"/>
      <c r="K764" s="1022"/>
      <c r="L764" s="1022"/>
      <c r="M764" s="1022"/>
      <c r="N764" s="1022"/>
      <c r="O764" s="1518">
        <f>DU763</f>
        <v>190</v>
      </c>
      <c r="P764" s="1518"/>
      <c r="Q764" s="1518"/>
      <c r="R764" s="1518"/>
      <c r="S764" s="960"/>
      <c r="T764" s="960"/>
      <c r="U764" s="118" t="s">
        <v>1858</v>
      </c>
      <c r="V764" s="1022"/>
      <c r="W764" s="1022"/>
      <c r="X764" s="1022"/>
      <c r="Y764" s="1023"/>
      <c r="Z764" s="1023"/>
      <c r="AA764" s="1023"/>
      <c r="AB764" s="1023"/>
      <c r="AC764" s="1022"/>
      <c r="AD764" s="1022"/>
      <c r="AE764" s="1022"/>
      <c r="AF764" s="1022"/>
      <c r="AG764" s="1404">
        <v>0</v>
      </c>
      <c r="AH764" s="1404"/>
      <c r="AI764" s="1404"/>
      <c r="AJ764" s="1404"/>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2.95" customHeight="1">
      <c r="B765" s="57"/>
      <c r="C765" s="1315" t="str">
        <f>IF(G761&lt;&gt;AG449,"! Total Low-Income Units in the Unit Mix Table above does not match the number of Total Low-Income Units on row #"&amp;TEXT(ROW(D449),"#"),"")</f>
        <v/>
      </c>
      <c r="D765" s="1315"/>
      <c r="E765" s="1315"/>
      <c r="F765" s="1315"/>
      <c r="G765" s="1315"/>
      <c r="H765" s="1315"/>
      <c r="I765" s="1315"/>
      <c r="J765" s="1315"/>
      <c r="K765" s="1315"/>
      <c r="L765" s="1315"/>
      <c r="M765" s="1315"/>
      <c r="N765" s="1315"/>
      <c r="O765" s="1315"/>
      <c r="P765" s="1315"/>
      <c r="Q765" s="1315"/>
      <c r="R765" s="1315"/>
      <c r="S765" s="1315"/>
      <c r="T765" s="1315"/>
      <c r="U765" s="1315"/>
      <c r="V765" s="1315"/>
      <c r="W765" s="1315"/>
      <c r="X765" s="1315"/>
      <c r="Y765" s="1315"/>
      <c r="Z765" s="1315"/>
      <c r="AA765" s="1315"/>
      <c r="AB765" s="1315"/>
      <c r="AC765" s="1315"/>
      <c r="AD765" s="1315"/>
      <c r="AE765" s="1315"/>
      <c r="AF765" s="1315"/>
      <c r="AG765" s="1315"/>
      <c r="AH765" s="1315"/>
      <c r="AI765" s="1315"/>
      <c r="AJ765" s="1315"/>
      <c r="AK765" s="1315"/>
      <c r="AL765" s="1315"/>
      <c r="AM765" s="1315"/>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5" customHeight="1">
      <c r="B766" s="57"/>
      <c r="C766" s="1315"/>
      <c r="D766" s="1315"/>
      <c r="E766" s="1315"/>
      <c r="F766" s="1315"/>
      <c r="G766" s="1315"/>
      <c r="H766" s="1315"/>
      <c r="I766" s="1315"/>
      <c r="J766" s="1315"/>
      <c r="K766" s="1315"/>
      <c r="L766" s="1315"/>
      <c r="M766" s="1315"/>
      <c r="N766" s="1315"/>
      <c r="O766" s="1315"/>
      <c r="P766" s="1315"/>
      <c r="Q766" s="1315"/>
      <c r="R766" s="1315"/>
      <c r="S766" s="1315"/>
      <c r="T766" s="1315"/>
      <c r="U766" s="1315"/>
      <c r="V766" s="1315"/>
      <c r="W766" s="1315"/>
      <c r="X766" s="1315"/>
      <c r="Y766" s="1315"/>
      <c r="Z766" s="1315"/>
      <c r="AA766" s="1315"/>
      <c r="AB766" s="1315"/>
      <c r="AC766" s="1315"/>
      <c r="AD766" s="1315"/>
      <c r="AE766" s="1315"/>
      <c r="AF766" s="1315"/>
      <c r="AG766" s="1315"/>
      <c r="AH766" s="1315"/>
      <c r="AI766" s="1315"/>
      <c r="AJ766" s="1315"/>
      <c r="AK766" s="1315"/>
      <c r="AL766" s="1315"/>
      <c r="AM766" s="1315"/>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5" customHeight="1">
      <c r="B767" s="3"/>
      <c r="C767" s="118" t="s">
        <v>1856</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375" t="s">
        <v>589</v>
      </c>
      <c r="AE767" s="1375"/>
      <c r="AF767" s="1375"/>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5" customHeight="1">
      <c r="C768" s="1025" t="s">
        <v>2036</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5" customHeight="1">
      <c r="A769" s="2" t="s">
        <v>574</v>
      </c>
      <c r="B769" s="56"/>
      <c r="C769" s="57" t="s">
        <v>423</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5" customHeight="1">
      <c r="A770" s="3"/>
      <c r="B770" s="1022"/>
      <c r="C770" s="118" t="s">
        <v>176</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5" customHeight="1">
      <c r="A771" s="3"/>
      <c r="B771" s="1022"/>
      <c r="C771" s="1362" t="s">
        <v>2037</v>
      </c>
      <c r="D771" s="1362"/>
      <c r="E771" s="1362"/>
      <c r="F771" s="1362"/>
      <c r="G771" s="1362"/>
      <c r="H771" s="1362"/>
      <c r="I771" s="1362"/>
      <c r="J771" s="1362"/>
      <c r="K771" s="1362"/>
      <c r="L771" s="1362"/>
      <c r="M771" s="1362"/>
      <c r="N771" s="1362"/>
      <c r="O771" s="1362"/>
      <c r="P771" s="1362"/>
      <c r="Q771" s="1362"/>
      <c r="R771" s="1362"/>
      <c r="S771" s="1362"/>
      <c r="T771" s="1362"/>
      <c r="U771" s="1362"/>
      <c r="V771" s="1362"/>
      <c r="W771" s="1362"/>
      <c r="X771" s="1362"/>
      <c r="Y771" s="1362"/>
      <c r="Z771" s="1362"/>
      <c r="AA771" s="1362"/>
      <c r="AB771" s="1362"/>
      <c r="AC771" s="1362"/>
      <c r="AD771" s="1362"/>
      <c r="AE771" s="1362"/>
      <c r="AF771" s="1362"/>
      <c r="AG771" s="1362"/>
      <c r="AH771" s="1362"/>
      <c r="AI771" s="1362"/>
      <c r="AJ771" s="1362"/>
      <c r="AK771" s="1362"/>
      <c r="AL771" s="1362"/>
      <c r="AM771" s="1362"/>
      <c r="AN771" s="1362"/>
      <c r="AO771" s="1362"/>
      <c r="AP771" s="1362"/>
      <c r="AQ771" s="1362"/>
      <c r="AR771" s="1362"/>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5" customHeight="1">
      <c r="A772" s="3"/>
      <c r="B772" s="1022"/>
      <c r="C772" s="1362"/>
      <c r="D772" s="1362"/>
      <c r="E772" s="1362"/>
      <c r="F772" s="1362"/>
      <c r="G772" s="1362"/>
      <c r="H772" s="1362"/>
      <c r="I772" s="1362"/>
      <c r="J772" s="1362"/>
      <c r="K772" s="1362"/>
      <c r="L772" s="1362"/>
      <c r="M772" s="1362"/>
      <c r="N772" s="1362"/>
      <c r="O772" s="1362"/>
      <c r="P772" s="1362"/>
      <c r="Q772" s="1362"/>
      <c r="R772" s="1362"/>
      <c r="S772" s="1362"/>
      <c r="T772" s="1362"/>
      <c r="U772" s="1362"/>
      <c r="V772" s="1362"/>
      <c r="W772" s="1362"/>
      <c r="X772" s="1362"/>
      <c r="Y772" s="1362"/>
      <c r="Z772" s="1362"/>
      <c r="AA772" s="1362"/>
      <c r="AB772" s="1362"/>
      <c r="AC772" s="1362"/>
      <c r="AD772" s="1362"/>
      <c r="AE772" s="1362"/>
      <c r="AF772" s="1362"/>
      <c r="AG772" s="1362"/>
      <c r="AH772" s="1362"/>
      <c r="AI772" s="1362"/>
      <c r="AJ772" s="1362"/>
      <c r="AK772" s="1362"/>
      <c r="AL772" s="1362"/>
      <c r="AM772" s="1362"/>
      <c r="AN772" s="1362"/>
      <c r="AO772" s="1362"/>
      <c r="AP772" s="1362"/>
      <c r="AQ772" s="1362"/>
      <c r="AR772" s="1362"/>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5" customHeight="1">
      <c r="A773" s="3"/>
      <c r="B773" s="1022"/>
      <c r="C773" s="1362"/>
      <c r="D773" s="1362"/>
      <c r="E773" s="1362"/>
      <c r="F773" s="1362"/>
      <c r="G773" s="1362"/>
      <c r="H773" s="1362"/>
      <c r="I773" s="1362"/>
      <c r="J773" s="1362"/>
      <c r="K773" s="1362"/>
      <c r="L773" s="1362"/>
      <c r="M773" s="1362"/>
      <c r="N773" s="1362"/>
      <c r="O773" s="1362"/>
      <c r="P773" s="1362"/>
      <c r="Q773" s="1362"/>
      <c r="R773" s="1362"/>
      <c r="S773" s="1362"/>
      <c r="T773" s="1362"/>
      <c r="U773" s="1362"/>
      <c r="V773" s="1362"/>
      <c r="W773" s="1362"/>
      <c r="X773" s="1362"/>
      <c r="Y773" s="1362"/>
      <c r="Z773" s="1362"/>
      <c r="AA773" s="1362"/>
      <c r="AB773" s="1362"/>
      <c r="AC773" s="1362"/>
      <c r="AD773" s="1362"/>
      <c r="AE773" s="1362"/>
      <c r="AF773" s="1362"/>
      <c r="AG773" s="1362"/>
      <c r="AH773" s="1362"/>
      <c r="AI773" s="1362"/>
      <c r="AJ773" s="1362"/>
      <c r="AK773" s="1362"/>
      <c r="AL773" s="1362"/>
      <c r="AM773" s="1362"/>
      <c r="AN773" s="1362"/>
      <c r="AO773" s="1362"/>
      <c r="AP773" s="1362"/>
      <c r="AQ773" s="1362"/>
      <c r="AR773" s="1362"/>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5" customHeight="1">
      <c r="A774" s="3"/>
      <c r="B774" s="1022"/>
      <c r="C774" s="1362" t="s">
        <v>2038</v>
      </c>
      <c r="D774" s="1362"/>
      <c r="E774" s="1362"/>
      <c r="F774" s="1362"/>
      <c r="G774" s="1362"/>
      <c r="H774" s="1362"/>
      <c r="I774" s="1362"/>
      <c r="J774" s="1362"/>
      <c r="K774" s="1362"/>
      <c r="L774" s="1362"/>
      <c r="M774" s="1362"/>
      <c r="N774" s="1362"/>
      <c r="O774" s="1362"/>
      <c r="P774" s="1362"/>
      <c r="Q774" s="1362"/>
      <c r="R774" s="1362"/>
      <c r="S774" s="1362"/>
      <c r="T774" s="1362"/>
      <c r="U774" s="1362"/>
      <c r="V774" s="1362"/>
      <c r="W774" s="1362"/>
      <c r="X774" s="1362"/>
      <c r="Y774" s="1362"/>
      <c r="Z774" s="1362"/>
      <c r="AA774" s="1362"/>
      <c r="AB774" s="1362"/>
      <c r="AC774" s="1362"/>
      <c r="AD774" s="1362"/>
      <c r="AE774" s="1362"/>
      <c r="AF774" s="1362"/>
      <c r="AG774" s="1362"/>
      <c r="AH774" s="1362"/>
      <c r="AI774" s="1362"/>
      <c r="AJ774" s="1362"/>
      <c r="AK774" s="1362"/>
      <c r="AL774" s="1362"/>
      <c r="AM774" s="1362"/>
      <c r="AN774" s="1362"/>
      <c r="AO774" s="1362"/>
      <c r="AP774" s="1362"/>
      <c r="AQ774" s="1362"/>
      <c r="AR774" s="1362"/>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2.95" customHeight="1">
      <c r="A775" s="3"/>
      <c r="B775" s="1022"/>
      <c r="C775" s="1362"/>
      <c r="D775" s="1362"/>
      <c r="E775" s="1362"/>
      <c r="F775" s="1362"/>
      <c r="G775" s="1362"/>
      <c r="H775" s="1362"/>
      <c r="I775" s="1362"/>
      <c r="J775" s="1362"/>
      <c r="K775" s="1362"/>
      <c r="L775" s="1362"/>
      <c r="M775" s="1362"/>
      <c r="N775" s="1362"/>
      <c r="O775" s="1362"/>
      <c r="P775" s="1362"/>
      <c r="Q775" s="1362"/>
      <c r="R775" s="1362"/>
      <c r="S775" s="1362"/>
      <c r="T775" s="1362"/>
      <c r="U775" s="1362"/>
      <c r="V775" s="1362"/>
      <c r="W775" s="1362"/>
      <c r="X775" s="1362"/>
      <c r="Y775" s="1362"/>
      <c r="Z775" s="1362"/>
      <c r="AA775" s="1362"/>
      <c r="AB775" s="1362"/>
      <c r="AC775" s="1362"/>
      <c r="AD775" s="1362"/>
      <c r="AE775" s="1362"/>
      <c r="AF775" s="1362"/>
      <c r="AG775" s="1362"/>
      <c r="AH775" s="1362"/>
      <c r="AI775" s="1362"/>
      <c r="AJ775" s="1362"/>
      <c r="AK775" s="1362"/>
      <c r="AL775" s="1362"/>
      <c r="AM775" s="1362"/>
      <c r="AN775" s="1362"/>
      <c r="AO775" s="1362"/>
      <c r="AP775" s="1362"/>
      <c r="AQ775" s="1362"/>
      <c r="AR775" s="1362"/>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5" customHeight="1">
      <c r="A776" s="3"/>
      <c r="B776" s="1022"/>
      <c r="C776" s="1362"/>
      <c r="D776" s="1362"/>
      <c r="E776" s="1362"/>
      <c r="F776" s="1362"/>
      <c r="G776" s="1362"/>
      <c r="H776" s="1362"/>
      <c r="I776" s="1362"/>
      <c r="J776" s="1362"/>
      <c r="K776" s="1362"/>
      <c r="L776" s="1362"/>
      <c r="M776" s="1362"/>
      <c r="N776" s="1362"/>
      <c r="O776" s="1362"/>
      <c r="P776" s="1362"/>
      <c r="Q776" s="1362"/>
      <c r="R776" s="1362"/>
      <c r="S776" s="1362"/>
      <c r="T776" s="1362"/>
      <c r="U776" s="1362"/>
      <c r="V776" s="1362"/>
      <c r="W776" s="1362"/>
      <c r="X776" s="1362"/>
      <c r="Y776" s="1362"/>
      <c r="Z776" s="1362"/>
      <c r="AA776" s="1362"/>
      <c r="AB776" s="1362"/>
      <c r="AC776" s="1362"/>
      <c r="AD776" s="1362"/>
      <c r="AE776" s="1362"/>
      <c r="AF776" s="1362"/>
      <c r="AG776" s="1362"/>
      <c r="AH776" s="1362"/>
      <c r="AI776" s="1362"/>
      <c r="AJ776" s="1362"/>
      <c r="AK776" s="1362"/>
      <c r="AL776" s="1362"/>
      <c r="AM776" s="1362"/>
      <c r="AN776" s="1362"/>
      <c r="AO776" s="1362"/>
      <c r="AP776" s="1362"/>
      <c r="AQ776" s="1362"/>
      <c r="AR776" s="1362"/>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5" customHeight="1">
      <c r="J777" s="1504" t="s">
        <v>388</v>
      </c>
      <c r="K777" s="1505"/>
      <c r="L777" s="1505"/>
      <c r="M777" s="1505"/>
      <c r="N777" s="1506"/>
      <c r="O777" s="1410" t="s">
        <v>284</v>
      </c>
      <c r="P777" s="1410"/>
      <c r="Q777" s="1410"/>
      <c r="R777" s="1410"/>
      <c r="S777" s="1410"/>
      <c r="T777" s="1698" t="s">
        <v>1665</v>
      </c>
      <c r="U777" s="1699"/>
      <c r="V777" s="1699"/>
      <c r="W777" s="1700"/>
      <c r="X777" s="1504" t="s">
        <v>445</v>
      </c>
      <c r="Y777" s="1505"/>
      <c r="Z777" s="1505"/>
      <c r="AA777" s="1505"/>
      <c r="AB777" s="1506"/>
      <c r="AC777" s="1504" t="s">
        <v>285</v>
      </c>
      <c r="AD777" s="1505"/>
      <c r="AE777" s="1505"/>
      <c r="AF777" s="1505"/>
      <c r="AG777" s="1506"/>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5" customHeight="1">
      <c r="J778" s="1507"/>
      <c r="K778" s="1508"/>
      <c r="L778" s="1508"/>
      <c r="M778" s="1508"/>
      <c r="N778" s="1509"/>
      <c r="O778" s="1410"/>
      <c r="P778" s="1410"/>
      <c r="Q778" s="1410"/>
      <c r="R778" s="1410"/>
      <c r="S778" s="1410"/>
      <c r="T778" s="1701"/>
      <c r="U778" s="1702"/>
      <c r="V778" s="1702"/>
      <c r="W778" s="1703"/>
      <c r="X778" s="1507"/>
      <c r="Y778" s="1508"/>
      <c r="Z778" s="1508"/>
      <c r="AA778" s="1508"/>
      <c r="AB778" s="1509"/>
      <c r="AC778" s="1507"/>
      <c r="AD778" s="1508"/>
      <c r="AE778" s="1508"/>
      <c r="AF778" s="1508"/>
      <c r="AG778" s="1509"/>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5" customHeight="1">
      <c r="J779" s="1507"/>
      <c r="K779" s="1508"/>
      <c r="L779" s="1508"/>
      <c r="M779" s="1508"/>
      <c r="N779" s="1509"/>
      <c r="O779" s="1410"/>
      <c r="P779" s="1410"/>
      <c r="Q779" s="1410"/>
      <c r="R779" s="1410"/>
      <c r="S779" s="1410"/>
      <c r="T779" s="1701"/>
      <c r="U779" s="1702"/>
      <c r="V779" s="1702"/>
      <c r="W779" s="1703"/>
      <c r="X779" s="1507"/>
      <c r="Y779" s="1508"/>
      <c r="Z779" s="1508"/>
      <c r="AA779" s="1508"/>
      <c r="AB779" s="1509"/>
      <c r="AC779" s="1507"/>
      <c r="AD779" s="1508"/>
      <c r="AE779" s="1508"/>
      <c r="AF779" s="1508"/>
      <c r="AG779" s="1509"/>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5" customHeight="1">
      <c r="J780" s="1510"/>
      <c r="K780" s="1511"/>
      <c r="L780" s="1511"/>
      <c r="M780" s="1511"/>
      <c r="N780" s="1512"/>
      <c r="O780" s="1410"/>
      <c r="P780" s="1410"/>
      <c r="Q780" s="1410"/>
      <c r="R780" s="1410"/>
      <c r="S780" s="1410"/>
      <c r="T780" s="1704"/>
      <c r="U780" s="1705"/>
      <c r="V780" s="1705"/>
      <c r="W780" s="1706"/>
      <c r="X780" s="1510"/>
      <c r="Y780" s="1511"/>
      <c r="Z780" s="1511"/>
      <c r="AA780" s="1511"/>
      <c r="AB780" s="1512"/>
      <c r="AC780" s="1510"/>
      <c r="AD780" s="1511"/>
      <c r="AE780" s="1511"/>
      <c r="AF780" s="1511"/>
      <c r="AG780" s="1512"/>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2.95" customHeight="1">
      <c r="J781" s="1322" t="s">
        <v>164</v>
      </c>
      <c r="K781" s="1323"/>
      <c r="L781" s="1323"/>
      <c r="M781" s="1323"/>
      <c r="N781" s="1324"/>
      <c r="O781" s="1409">
        <v>1</v>
      </c>
      <c r="P781" s="1409"/>
      <c r="Q781" s="1409"/>
      <c r="R781" s="1409"/>
      <c r="S781" s="1409"/>
      <c r="T781" s="1319">
        <v>1080</v>
      </c>
      <c r="U781" s="1320"/>
      <c r="V781" s="1320"/>
      <c r="W781" s="1321"/>
      <c r="X781" s="1369">
        <v>0</v>
      </c>
      <c r="Y781" s="1370"/>
      <c r="Z781" s="1370"/>
      <c r="AA781" s="1370"/>
      <c r="AB781" s="1371"/>
      <c r="AC781" s="1398">
        <f>X781*O781</f>
        <v>0</v>
      </c>
      <c r="AD781" s="1399"/>
      <c r="AE781" s="1399"/>
      <c r="AF781" s="1399"/>
      <c r="AG781" s="1400"/>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515">
        <f>IF(J781="SRO/Studio",O781,0)</f>
        <v>0</v>
      </c>
      <c r="CQ781" s="1516"/>
      <c r="CR781" s="1516"/>
      <c r="CS781" s="1516"/>
      <c r="CT781" s="1517"/>
      <c r="CU781" s="1513">
        <f>IF(J781="1 Bedroom",O781,0)</f>
        <v>0</v>
      </c>
      <c r="CV781" s="1513"/>
      <c r="CW781" s="1513"/>
      <c r="CX781" s="1513"/>
      <c r="CY781" s="1513"/>
      <c r="CZ781" s="1513">
        <f>IF(J781="2 Bedrooms",O781,0)</f>
        <v>0</v>
      </c>
      <c r="DA781" s="1513"/>
      <c r="DB781" s="1513"/>
      <c r="DC781" s="1513"/>
      <c r="DD781" s="1513"/>
      <c r="DE781" s="1513">
        <f>IF(J781="3 Bedrooms",O781,0)</f>
        <v>1</v>
      </c>
      <c r="DF781" s="1513"/>
      <c r="DG781" s="1513"/>
      <c r="DH781" s="1513"/>
      <c r="DI781" s="1513"/>
      <c r="DJ781" s="1513">
        <f>IF(J781="4 Bedrooms",O781,0)</f>
        <v>0</v>
      </c>
      <c r="DK781" s="1513"/>
      <c r="DL781" s="1513"/>
      <c r="DM781" s="1513"/>
      <c r="DN781" s="1513"/>
      <c r="DO781" s="1513">
        <f>IF(J781="5 Bedrooms",O781,0)</f>
        <v>0</v>
      </c>
      <c r="DP781" s="1513"/>
      <c r="DQ781" s="1513"/>
      <c r="DR781" s="1513"/>
      <c r="DS781" s="1513"/>
      <c r="DT781" s="6"/>
      <c r="DU781" s="3"/>
      <c r="DV781" s="3"/>
    </row>
    <row r="782" spans="1:159" ht="12.95" customHeight="1">
      <c r="J782" s="1322"/>
      <c r="K782" s="1323"/>
      <c r="L782" s="1323"/>
      <c r="M782" s="1323"/>
      <c r="N782" s="1324"/>
      <c r="O782" s="1409"/>
      <c r="P782" s="1409"/>
      <c r="Q782" s="1409"/>
      <c r="R782" s="1409"/>
      <c r="S782" s="1409"/>
      <c r="T782" s="1319"/>
      <c r="U782" s="1320"/>
      <c r="V782" s="1320"/>
      <c r="W782" s="1321"/>
      <c r="X782" s="1369"/>
      <c r="Y782" s="1370"/>
      <c r="Z782" s="1370"/>
      <c r="AA782" s="1370"/>
      <c r="AB782" s="1371"/>
      <c r="AC782" s="1398">
        <f>X782*O782</f>
        <v>0</v>
      </c>
      <c r="AD782" s="1399"/>
      <c r="AE782" s="1399"/>
      <c r="AF782" s="1399"/>
      <c r="AG782" s="1400"/>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515">
        <f>IF(J782="SRO/Studio",O782,0)</f>
        <v>0</v>
      </c>
      <c r="CQ782" s="1516"/>
      <c r="CR782" s="1516"/>
      <c r="CS782" s="1516"/>
      <c r="CT782" s="1517"/>
      <c r="CU782" s="1513">
        <f>IF(J782="1 Bedroom",O782,0)</f>
        <v>0</v>
      </c>
      <c r="CV782" s="1513"/>
      <c r="CW782" s="1513"/>
      <c r="CX782" s="1513"/>
      <c r="CY782" s="1513"/>
      <c r="CZ782" s="1513">
        <f>IF(J782="2 Bedrooms",O782,0)</f>
        <v>0</v>
      </c>
      <c r="DA782" s="1513"/>
      <c r="DB782" s="1513"/>
      <c r="DC782" s="1513"/>
      <c r="DD782" s="1513"/>
      <c r="DE782" s="1513">
        <f>IF(J782="3 Bedrooms",O782,0)</f>
        <v>0</v>
      </c>
      <c r="DF782" s="1513"/>
      <c r="DG782" s="1513"/>
      <c r="DH782" s="1513"/>
      <c r="DI782" s="1513"/>
      <c r="DJ782" s="1513">
        <f>IF(J782="4 Bedrooms",O782,0)</f>
        <v>0</v>
      </c>
      <c r="DK782" s="1513"/>
      <c r="DL782" s="1513"/>
      <c r="DM782" s="1513"/>
      <c r="DN782" s="1513"/>
      <c r="DO782" s="1513">
        <f>IF(J782="5 Bedrooms",O782,0)</f>
        <v>0</v>
      </c>
      <c r="DP782" s="1513"/>
      <c r="DQ782" s="1513"/>
      <c r="DR782" s="1513"/>
      <c r="DS782" s="1513"/>
      <c r="DT782" s="6"/>
      <c r="DU782" s="3"/>
      <c r="DV782" s="3"/>
    </row>
    <row r="783" spans="1:159" ht="12.95" customHeight="1">
      <c r="J783" s="1322"/>
      <c r="K783" s="1323"/>
      <c r="L783" s="1323"/>
      <c r="M783" s="1323"/>
      <c r="N783" s="1324"/>
      <c r="O783" s="1409"/>
      <c r="P783" s="1409"/>
      <c r="Q783" s="1409"/>
      <c r="R783" s="1409"/>
      <c r="S783" s="1409"/>
      <c r="T783" s="1319"/>
      <c r="U783" s="1320"/>
      <c r="V783" s="1320"/>
      <c r="W783" s="1321"/>
      <c r="X783" s="1369"/>
      <c r="Y783" s="1370"/>
      <c r="Z783" s="1370"/>
      <c r="AA783" s="1370"/>
      <c r="AB783" s="1371"/>
      <c r="AC783" s="1398">
        <f>X783*O783</f>
        <v>0</v>
      </c>
      <c r="AD783" s="1399"/>
      <c r="AE783" s="1399"/>
      <c r="AF783" s="1399"/>
      <c r="AG783" s="1400"/>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515">
        <f>IF(J783="SRO/Studio",O783,0)</f>
        <v>0</v>
      </c>
      <c r="CQ783" s="1516"/>
      <c r="CR783" s="1516"/>
      <c r="CS783" s="1516"/>
      <c r="CT783" s="1517"/>
      <c r="CU783" s="1513">
        <f>IF(J783="1 Bedroom",O783,0)</f>
        <v>0</v>
      </c>
      <c r="CV783" s="1513"/>
      <c r="CW783" s="1513"/>
      <c r="CX783" s="1513"/>
      <c r="CY783" s="1513"/>
      <c r="CZ783" s="1513">
        <f>IF(J783="2 Bedrooms",O783,0)</f>
        <v>0</v>
      </c>
      <c r="DA783" s="1513"/>
      <c r="DB783" s="1513"/>
      <c r="DC783" s="1513"/>
      <c r="DD783" s="1513"/>
      <c r="DE783" s="1513">
        <f>IF(J783="3 Bedrooms",O783,0)</f>
        <v>0</v>
      </c>
      <c r="DF783" s="1513"/>
      <c r="DG783" s="1513"/>
      <c r="DH783" s="1513"/>
      <c r="DI783" s="1513"/>
      <c r="DJ783" s="1513">
        <f>IF(J783="4 Bedrooms",O783,0)</f>
        <v>0</v>
      </c>
      <c r="DK783" s="1513"/>
      <c r="DL783" s="1513"/>
      <c r="DM783" s="1513"/>
      <c r="DN783" s="1513"/>
      <c r="DO783" s="1513">
        <f>IF(J783="5 Bedrooms",O783,0)</f>
        <v>0</v>
      </c>
      <c r="DP783" s="1513"/>
      <c r="DQ783" s="1513"/>
      <c r="DR783" s="1513"/>
      <c r="DS783" s="1513"/>
      <c r="DT783" s="1002"/>
    </row>
    <row r="784" spans="1:159" ht="12.95" customHeight="1">
      <c r="J784" s="1322"/>
      <c r="K784" s="1323"/>
      <c r="L784" s="1323"/>
      <c r="M784" s="1323"/>
      <c r="N784" s="1324"/>
      <c r="O784" s="1409"/>
      <c r="P784" s="1409"/>
      <c r="Q784" s="1409"/>
      <c r="R784" s="1409"/>
      <c r="S784" s="1409"/>
      <c r="T784" s="1319"/>
      <c r="U784" s="1320"/>
      <c r="V784" s="1320"/>
      <c r="W784" s="1321"/>
      <c r="X784" s="1369"/>
      <c r="Y784" s="1370"/>
      <c r="Z784" s="1370"/>
      <c r="AA784" s="1370"/>
      <c r="AB784" s="1371"/>
      <c r="AC784" s="1398">
        <f>X784*O784</f>
        <v>0</v>
      </c>
      <c r="AD784" s="1399"/>
      <c r="AE784" s="1399"/>
      <c r="AF784" s="1399"/>
      <c r="AG784" s="1400"/>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515">
        <f>IF(J784="SRO/Studio",O784,0)</f>
        <v>0</v>
      </c>
      <c r="CQ784" s="1516"/>
      <c r="CR784" s="1516"/>
      <c r="CS784" s="1516"/>
      <c r="CT784" s="1517"/>
      <c r="CU784" s="1513">
        <f>IF(J784="1 Bedroom",O784,0)</f>
        <v>0</v>
      </c>
      <c r="CV784" s="1513"/>
      <c r="CW784" s="1513"/>
      <c r="CX784" s="1513"/>
      <c r="CY784" s="1513"/>
      <c r="CZ784" s="1513">
        <f>IF(J784="2 Bedrooms",O784,0)</f>
        <v>0</v>
      </c>
      <c r="DA784" s="1513"/>
      <c r="DB784" s="1513"/>
      <c r="DC784" s="1513"/>
      <c r="DD784" s="1513"/>
      <c r="DE784" s="1513">
        <f>IF(J784="3 Bedrooms",O784,0)</f>
        <v>0</v>
      </c>
      <c r="DF784" s="1513"/>
      <c r="DG784" s="1513"/>
      <c r="DH784" s="1513"/>
      <c r="DI784" s="1513"/>
      <c r="DJ784" s="1513">
        <f>IF(J784="4 Bedrooms",O784,0)</f>
        <v>0</v>
      </c>
      <c r="DK784" s="1513"/>
      <c r="DL784" s="1513"/>
      <c r="DM784" s="1513"/>
      <c r="DN784" s="1513"/>
      <c r="DO784" s="1513">
        <f>IF(J784="5 Bedrooms",O784,0)</f>
        <v>0</v>
      </c>
      <c r="DP784" s="1513"/>
      <c r="DQ784" s="1513"/>
      <c r="DR784" s="1513"/>
      <c r="DS784" s="1513"/>
    </row>
    <row r="785" spans="1:154" ht="12.95" customHeight="1">
      <c r="J785" s="1500" t="s">
        <v>125</v>
      </c>
      <c r="K785" s="1501"/>
      <c r="L785" s="1501"/>
      <c r="M785" s="1501"/>
      <c r="N785" s="1502"/>
      <c r="O785" s="1497">
        <f>SUM(O781:S784)</f>
        <v>1</v>
      </c>
      <c r="P785" s="1708"/>
      <c r="Q785" s="1708"/>
      <c r="R785" s="1708"/>
      <c r="S785" s="1498"/>
      <c r="X785" s="1500" t="s">
        <v>124</v>
      </c>
      <c r="Y785" s="1501"/>
      <c r="Z785" s="1501"/>
      <c r="AA785" s="1501"/>
      <c r="AB785" s="1502"/>
      <c r="AC785" s="1398">
        <f>SUM(AC781:AG784)</f>
        <v>0</v>
      </c>
      <c r="AD785" s="1399"/>
      <c r="AE785" s="1399"/>
      <c r="AF785" s="1399"/>
      <c r="AG785" s="1400"/>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497">
        <f>SUM(CP781:CT784)</f>
        <v>0</v>
      </c>
      <c r="CQ785" s="1708"/>
      <c r="CR785" s="1708"/>
      <c r="CS785" s="1708"/>
      <c r="CT785" s="1498"/>
      <c r="CU785" s="1522">
        <f>SUM(CU781:CY784)</f>
        <v>0</v>
      </c>
      <c r="CV785" s="1523"/>
      <c r="CW785" s="1523"/>
      <c r="CX785" s="1523"/>
      <c r="CY785" s="1524"/>
      <c r="CZ785" s="1522">
        <f>SUM(CZ781:DD784)</f>
        <v>0</v>
      </c>
      <c r="DA785" s="1523"/>
      <c r="DB785" s="1523"/>
      <c r="DC785" s="1523"/>
      <c r="DD785" s="1524"/>
      <c r="DE785" s="1522">
        <f>SUM(DE781:DI784)</f>
        <v>1</v>
      </c>
      <c r="DF785" s="1523"/>
      <c r="DG785" s="1523"/>
      <c r="DH785" s="1523"/>
      <c r="DI785" s="1524"/>
      <c r="DJ785" s="1522">
        <f>SUM(DJ781:DN784)</f>
        <v>0</v>
      </c>
      <c r="DK785" s="1523"/>
      <c r="DL785" s="1523"/>
      <c r="DM785" s="1523"/>
      <c r="DN785" s="1524"/>
      <c r="DO785" s="1522">
        <f>SUM(DO781:DS784)</f>
        <v>0</v>
      </c>
      <c r="DP785" s="1523"/>
      <c r="DQ785" s="1523"/>
      <c r="DR785" s="1523"/>
      <c r="DS785" s="1524"/>
      <c r="DU785" s="852">
        <f>CP785+CU785+CZ785+DE785+DJ785+DO785</f>
        <v>1</v>
      </c>
      <c r="DV785" s="57" t="s">
        <v>1826</v>
      </c>
    </row>
    <row r="786" spans="1:154" ht="12.95"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0</v>
      </c>
      <c r="DE786" s="3"/>
      <c r="DF786" s="3"/>
      <c r="DG786" s="3"/>
      <c r="DH786" s="3"/>
      <c r="DI786" s="852">
        <f>DE785*3</f>
        <v>3</v>
      </c>
      <c r="DJ786" s="3"/>
      <c r="DK786" s="3"/>
      <c r="DL786" s="3"/>
      <c r="DM786" s="3"/>
      <c r="DN786" s="852">
        <f>DJ785*4</f>
        <v>0</v>
      </c>
      <c r="DO786" s="3"/>
      <c r="DP786" s="3"/>
      <c r="DQ786" s="3"/>
      <c r="DR786" s="3"/>
      <c r="DS786" s="852">
        <f>DO785*5</f>
        <v>0</v>
      </c>
      <c r="DU786" s="852">
        <f>CT786+CY786+DD786+DI786+DN786+DS786</f>
        <v>3</v>
      </c>
      <c r="DV786" s="57" t="s">
        <v>1828</v>
      </c>
    </row>
    <row r="787" spans="1:154" ht="12.95" customHeight="1">
      <c r="B787" s="56"/>
      <c r="C787" s="56"/>
      <c r="D787" s="56"/>
      <c r="E787" s="56"/>
      <c r="F787" s="56"/>
      <c r="G787" s="6"/>
      <c r="H787" s="6"/>
      <c r="I787" s="6"/>
      <c r="J787" s="1467" t="s">
        <v>667</v>
      </c>
      <c r="K787" s="1467"/>
      <c r="L787" s="56"/>
      <c r="M787" s="35" t="s">
        <v>975</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5" customHeight="1">
      <c r="B788" s="56"/>
      <c r="C788" s="56"/>
      <c r="D788" s="56"/>
      <c r="E788" s="56"/>
      <c r="F788" s="56"/>
      <c r="G788" s="6"/>
      <c r="H788" s="6"/>
      <c r="I788" s="6"/>
      <c r="J788" s="6"/>
      <c r="K788" s="6"/>
      <c r="L788" s="56"/>
      <c r="M788" s="35" t="s">
        <v>2039</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5" customHeight="1">
      <c r="A789" s="2" t="s">
        <v>584</v>
      </c>
      <c r="B789" s="57"/>
      <c r="C789" s="57" t="s">
        <v>286</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5"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5" customHeight="1">
      <c r="J791" s="1504" t="s">
        <v>388</v>
      </c>
      <c r="K791" s="1505"/>
      <c r="L791" s="1505"/>
      <c r="M791" s="1505"/>
      <c r="N791" s="1506"/>
      <c r="O791" s="1410" t="s">
        <v>284</v>
      </c>
      <c r="P791" s="1410"/>
      <c r="Q791" s="1410"/>
      <c r="R791" s="1410"/>
      <c r="S791" s="1410"/>
      <c r="T791" s="1698" t="s">
        <v>1665</v>
      </c>
      <c r="U791" s="1699"/>
      <c r="V791" s="1699"/>
      <c r="W791" s="1700"/>
      <c r="X791" s="1504" t="s">
        <v>445</v>
      </c>
      <c r="Y791" s="1505"/>
      <c r="Z791" s="1505"/>
      <c r="AA791" s="1505"/>
      <c r="AB791" s="1506"/>
      <c r="AC791" s="1504" t="s">
        <v>285</v>
      </c>
      <c r="AD791" s="1505"/>
      <c r="AE791" s="1505"/>
      <c r="AF791" s="1505"/>
      <c r="AG791" s="1506"/>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5" customHeight="1">
      <c r="J792" s="1507"/>
      <c r="K792" s="1508"/>
      <c r="L792" s="1508"/>
      <c r="M792" s="1508"/>
      <c r="N792" s="1509"/>
      <c r="O792" s="1410"/>
      <c r="P792" s="1410"/>
      <c r="Q792" s="1410"/>
      <c r="R792" s="1410"/>
      <c r="S792" s="1410"/>
      <c r="T792" s="1701"/>
      <c r="U792" s="1702"/>
      <c r="V792" s="1702"/>
      <c r="W792" s="1703"/>
      <c r="X792" s="1507"/>
      <c r="Y792" s="1508"/>
      <c r="Z792" s="1508"/>
      <c r="AA792" s="1508"/>
      <c r="AB792" s="1509"/>
      <c r="AC792" s="1507"/>
      <c r="AD792" s="1508"/>
      <c r="AE792" s="1508"/>
      <c r="AF792" s="1508"/>
      <c r="AG792" s="1509"/>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5" customHeight="1">
      <c r="J793" s="1507"/>
      <c r="K793" s="1508"/>
      <c r="L793" s="1508"/>
      <c r="M793" s="1508"/>
      <c r="N793" s="1509"/>
      <c r="O793" s="1410"/>
      <c r="P793" s="1410"/>
      <c r="Q793" s="1410"/>
      <c r="R793" s="1410"/>
      <c r="S793" s="1410"/>
      <c r="T793" s="1701"/>
      <c r="U793" s="1702"/>
      <c r="V793" s="1702"/>
      <c r="W793" s="1703"/>
      <c r="X793" s="1507"/>
      <c r="Y793" s="1508"/>
      <c r="Z793" s="1508"/>
      <c r="AA793" s="1508"/>
      <c r="AB793" s="1509"/>
      <c r="AC793" s="1507"/>
      <c r="AD793" s="1508"/>
      <c r="AE793" s="1508"/>
      <c r="AF793" s="1508"/>
      <c r="AG793" s="1509"/>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5" customHeight="1">
      <c r="J794" s="1510"/>
      <c r="K794" s="1511"/>
      <c r="L794" s="1511"/>
      <c r="M794" s="1511"/>
      <c r="N794" s="1512"/>
      <c r="O794" s="1410"/>
      <c r="P794" s="1410"/>
      <c r="Q794" s="1410"/>
      <c r="R794" s="1410"/>
      <c r="S794" s="1410"/>
      <c r="T794" s="1704"/>
      <c r="U794" s="1705"/>
      <c r="V794" s="1705"/>
      <c r="W794" s="1706"/>
      <c r="X794" s="1510"/>
      <c r="Y794" s="1511"/>
      <c r="Z794" s="1511"/>
      <c r="AA794" s="1511"/>
      <c r="AB794" s="1512"/>
      <c r="AC794" s="1510"/>
      <c r="AD794" s="1511"/>
      <c r="AE794" s="1511"/>
      <c r="AF794" s="1511"/>
      <c r="AG794" s="1512"/>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1833</v>
      </c>
      <c r="DV794" s="3"/>
      <c r="DW794" s="3"/>
      <c r="DX794" s="3"/>
      <c r="DY794" s="3"/>
      <c r="DZ794" s="3"/>
      <c r="EA794" s="3"/>
      <c r="EB794" s="3"/>
      <c r="EC794" s="3"/>
      <c r="ED794" s="3"/>
      <c r="EE794" s="3"/>
      <c r="EF794" s="3"/>
      <c r="EG794" s="3"/>
      <c r="EH794" s="3"/>
    </row>
    <row r="795" spans="1:154" ht="12.95" customHeight="1">
      <c r="J795" s="1322"/>
      <c r="K795" s="1323"/>
      <c r="L795" s="1323"/>
      <c r="M795" s="1323"/>
      <c r="N795" s="1324"/>
      <c r="O795" s="1409"/>
      <c r="P795" s="1409"/>
      <c r="Q795" s="1409"/>
      <c r="R795" s="1409"/>
      <c r="S795" s="1409"/>
      <c r="T795" s="1319"/>
      <c r="U795" s="1320"/>
      <c r="V795" s="1320"/>
      <c r="W795" s="1321"/>
      <c r="X795" s="1369"/>
      <c r="Y795" s="1370"/>
      <c r="Z795" s="1370"/>
      <c r="AA795" s="1370"/>
      <c r="AB795" s="1371"/>
      <c r="AC795" s="1398">
        <f t="shared" ref="AC795:AC804" si="41">X795*O795</f>
        <v>0</v>
      </c>
      <c r="AD795" s="1399"/>
      <c r="AE795" s="1399"/>
      <c r="AF795" s="1399"/>
      <c r="AG795" s="1400"/>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515">
        <f t="shared" ref="CP795:CP804" si="42">IF(J795="SRO/Studio",O795,0)</f>
        <v>0</v>
      </c>
      <c r="CQ795" s="1516"/>
      <c r="CR795" s="1516"/>
      <c r="CS795" s="1516"/>
      <c r="CT795" s="1517"/>
      <c r="CU795" s="1515">
        <f t="shared" ref="CU795:CU804" si="43">IF(J795="1 Bedroom",O795,0)</f>
        <v>0</v>
      </c>
      <c r="CV795" s="1516"/>
      <c r="CW795" s="1516"/>
      <c r="CX795" s="1516"/>
      <c r="CY795" s="1517"/>
      <c r="CZ795" s="1515">
        <f t="shared" ref="CZ795:CZ804" si="44">IF(J795="2 Bedrooms",O795,0)</f>
        <v>0</v>
      </c>
      <c r="DA795" s="1516"/>
      <c r="DB795" s="1516"/>
      <c r="DC795" s="1516"/>
      <c r="DD795" s="1517"/>
      <c r="DE795" s="1515">
        <f t="shared" ref="DE795:DE804" si="45">IF(J795="3 Bedrooms",O795,0)</f>
        <v>0</v>
      </c>
      <c r="DF795" s="1516"/>
      <c r="DG795" s="1516"/>
      <c r="DH795" s="1516"/>
      <c r="DI795" s="1517"/>
      <c r="DJ795" s="1515">
        <f t="shared" ref="DJ795:DJ804" si="46">IF(J795="4 Bedrooms",O795,0)</f>
        <v>0</v>
      </c>
      <c r="DK795" s="1516"/>
      <c r="DL795" s="1516"/>
      <c r="DM795" s="1516"/>
      <c r="DN795" s="1517"/>
      <c r="DO795" s="1515">
        <f t="shared" ref="DO795:DO804" si="47">IF(J795="5 Bedrooms",O795,0)</f>
        <v>0</v>
      </c>
      <c r="DP795" s="1516"/>
      <c r="DQ795" s="1516"/>
      <c r="DR795" s="1516"/>
      <c r="DS795" s="1517"/>
      <c r="DT795" s="6"/>
      <c r="DU795" s="1515">
        <f t="shared" ref="DU795:DU804" si="48">IF(AND(CP795&gt;=1,AH795&gt;=0.1,AH795&lt;=1),O795,0)</f>
        <v>0</v>
      </c>
      <c r="DV795" s="1516"/>
      <c r="DW795" s="1516"/>
      <c r="DX795" s="1516"/>
      <c r="DY795" s="1517"/>
      <c r="DZ795" s="1515">
        <f t="shared" ref="DZ795:DZ804" si="49">IF(AND(CU795&gt;=1,AH795&gt;=0.1,AH795&lt;=1),O795,0)</f>
        <v>0</v>
      </c>
      <c r="EA795" s="1516"/>
      <c r="EB795" s="1516"/>
      <c r="EC795" s="1516"/>
      <c r="ED795" s="1517"/>
      <c r="EE795" s="1515">
        <f t="shared" ref="EE795:EE804" si="50">IF(AND(CZ795&gt;=1,AH795&gt;=0.1,AH795&lt;=1),O795,0)</f>
        <v>0</v>
      </c>
      <c r="EF795" s="1516"/>
      <c r="EG795" s="1516"/>
      <c r="EH795" s="1516"/>
      <c r="EI795" s="1517"/>
      <c r="EJ795" s="1515">
        <f t="shared" ref="EJ795:EJ804" si="51">IF(AND(DE795&gt;=1,AH795&gt;=0.1,AH795&lt;=1),O795,0)</f>
        <v>0</v>
      </c>
      <c r="EK795" s="1516"/>
      <c r="EL795" s="1516"/>
      <c r="EM795" s="1516"/>
      <c r="EN795" s="1517"/>
      <c r="EO795" s="1515">
        <f t="shared" ref="EO795:EO804" si="52">IF(AND(DJ795&gt;=1,AH795&gt;=0.1,AH795&lt;=1),O795,0)</f>
        <v>0</v>
      </c>
      <c r="EP795" s="1516"/>
      <c r="EQ795" s="1516"/>
      <c r="ER795" s="1516"/>
      <c r="ES795" s="1517"/>
      <c r="ET795" s="1515">
        <f t="shared" ref="ET795:ET804" si="53">IF(AND(DO795&gt;=1,AH795&gt;=0.1,AH795&lt;=1),O795,0)</f>
        <v>0</v>
      </c>
      <c r="EU795" s="1516"/>
      <c r="EV795" s="1516"/>
      <c r="EW795" s="1516"/>
      <c r="EX795" s="1517"/>
    </row>
    <row r="796" spans="1:154" s="14" customFormat="1" ht="12.95" customHeight="1">
      <c r="A796"/>
      <c r="B796"/>
      <c r="C796"/>
      <c r="D796"/>
      <c r="E796"/>
      <c r="F796"/>
      <c r="G796"/>
      <c r="H796"/>
      <c r="I796"/>
      <c r="J796" s="1322"/>
      <c r="K796" s="1323"/>
      <c r="L796" s="1323"/>
      <c r="M796" s="1323"/>
      <c r="N796" s="1324"/>
      <c r="O796" s="1409"/>
      <c r="P796" s="1409"/>
      <c r="Q796" s="1409"/>
      <c r="R796" s="1409"/>
      <c r="S796" s="1409"/>
      <c r="T796" s="1319"/>
      <c r="U796" s="1320"/>
      <c r="V796" s="1320"/>
      <c r="W796" s="1321"/>
      <c r="X796" s="1369"/>
      <c r="Y796" s="1370"/>
      <c r="Z796" s="1370"/>
      <c r="AA796" s="1370"/>
      <c r="AB796" s="1371"/>
      <c r="AC796" s="1398">
        <f t="shared" si="41"/>
        <v>0</v>
      </c>
      <c r="AD796" s="1399"/>
      <c r="AE796" s="1399"/>
      <c r="AF796" s="1399"/>
      <c r="AG796" s="1400"/>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515">
        <f t="shared" si="42"/>
        <v>0</v>
      </c>
      <c r="CQ796" s="1516"/>
      <c r="CR796" s="1516"/>
      <c r="CS796" s="1516"/>
      <c r="CT796" s="1517"/>
      <c r="CU796" s="1515">
        <f t="shared" si="43"/>
        <v>0</v>
      </c>
      <c r="CV796" s="1516"/>
      <c r="CW796" s="1516"/>
      <c r="CX796" s="1516"/>
      <c r="CY796" s="1517"/>
      <c r="CZ796" s="1515">
        <f t="shared" si="44"/>
        <v>0</v>
      </c>
      <c r="DA796" s="1516"/>
      <c r="DB796" s="1516"/>
      <c r="DC796" s="1516"/>
      <c r="DD796" s="1517"/>
      <c r="DE796" s="1515">
        <f t="shared" si="45"/>
        <v>0</v>
      </c>
      <c r="DF796" s="1516"/>
      <c r="DG796" s="1516"/>
      <c r="DH796" s="1516"/>
      <c r="DI796" s="1517"/>
      <c r="DJ796" s="1515">
        <f t="shared" si="46"/>
        <v>0</v>
      </c>
      <c r="DK796" s="1516"/>
      <c r="DL796" s="1516"/>
      <c r="DM796" s="1516"/>
      <c r="DN796" s="1517"/>
      <c r="DO796" s="1515">
        <f t="shared" si="47"/>
        <v>0</v>
      </c>
      <c r="DP796" s="1516"/>
      <c r="DQ796" s="1516"/>
      <c r="DR796" s="1516"/>
      <c r="DS796" s="1517"/>
      <c r="DT796" s="6"/>
      <c r="DU796" s="1515">
        <f t="shared" si="48"/>
        <v>0</v>
      </c>
      <c r="DV796" s="1516"/>
      <c r="DW796" s="1516"/>
      <c r="DX796" s="1516"/>
      <c r="DY796" s="1517"/>
      <c r="DZ796" s="1515">
        <f t="shared" si="49"/>
        <v>0</v>
      </c>
      <c r="EA796" s="1516"/>
      <c r="EB796" s="1516"/>
      <c r="EC796" s="1516"/>
      <c r="ED796" s="1517"/>
      <c r="EE796" s="1515">
        <f t="shared" si="50"/>
        <v>0</v>
      </c>
      <c r="EF796" s="1516"/>
      <c r="EG796" s="1516"/>
      <c r="EH796" s="1516"/>
      <c r="EI796" s="1517"/>
      <c r="EJ796" s="1515">
        <f t="shared" si="51"/>
        <v>0</v>
      </c>
      <c r="EK796" s="1516"/>
      <c r="EL796" s="1516"/>
      <c r="EM796" s="1516"/>
      <c r="EN796" s="1517"/>
      <c r="EO796" s="1515">
        <f t="shared" si="52"/>
        <v>0</v>
      </c>
      <c r="EP796" s="1516"/>
      <c r="EQ796" s="1516"/>
      <c r="ER796" s="1516"/>
      <c r="ES796" s="1517"/>
      <c r="ET796" s="1515">
        <f t="shared" si="53"/>
        <v>0</v>
      </c>
      <c r="EU796" s="1516"/>
      <c r="EV796" s="1516"/>
      <c r="EW796" s="1516"/>
      <c r="EX796" s="1517"/>
    </row>
    <row r="797" spans="1:154" s="14" customFormat="1" ht="12.95" customHeight="1">
      <c r="A797"/>
      <c r="B797"/>
      <c r="C797"/>
      <c r="D797"/>
      <c r="E797"/>
      <c r="F797"/>
      <c r="G797"/>
      <c r="H797"/>
      <c r="I797"/>
      <c r="J797" s="1322"/>
      <c r="K797" s="1323"/>
      <c r="L797" s="1323"/>
      <c r="M797" s="1323"/>
      <c r="N797" s="1324"/>
      <c r="O797" s="1409"/>
      <c r="P797" s="1409"/>
      <c r="Q797" s="1409"/>
      <c r="R797" s="1409"/>
      <c r="S797" s="1409"/>
      <c r="T797" s="1319"/>
      <c r="U797" s="1320"/>
      <c r="V797" s="1320"/>
      <c r="W797" s="1321"/>
      <c r="X797" s="1369"/>
      <c r="Y797" s="1370"/>
      <c r="Z797" s="1370"/>
      <c r="AA797" s="1370"/>
      <c r="AB797" s="1371"/>
      <c r="AC797" s="1398">
        <f t="shared" si="41"/>
        <v>0</v>
      </c>
      <c r="AD797" s="1399"/>
      <c r="AE797" s="1399"/>
      <c r="AF797" s="1399"/>
      <c r="AG797" s="1400"/>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515">
        <f t="shared" si="42"/>
        <v>0</v>
      </c>
      <c r="CQ797" s="1516"/>
      <c r="CR797" s="1516"/>
      <c r="CS797" s="1516"/>
      <c r="CT797" s="1517"/>
      <c r="CU797" s="1515">
        <f t="shared" si="43"/>
        <v>0</v>
      </c>
      <c r="CV797" s="1516"/>
      <c r="CW797" s="1516"/>
      <c r="CX797" s="1516"/>
      <c r="CY797" s="1517"/>
      <c r="CZ797" s="1515">
        <f t="shared" si="44"/>
        <v>0</v>
      </c>
      <c r="DA797" s="1516"/>
      <c r="DB797" s="1516"/>
      <c r="DC797" s="1516"/>
      <c r="DD797" s="1517"/>
      <c r="DE797" s="1515">
        <f t="shared" si="45"/>
        <v>0</v>
      </c>
      <c r="DF797" s="1516"/>
      <c r="DG797" s="1516"/>
      <c r="DH797" s="1516"/>
      <c r="DI797" s="1517"/>
      <c r="DJ797" s="1515">
        <f t="shared" si="46"/>
        <v>0</v>
      </c>
      <c r="DK797" s="1516"/>
      <c r="DL797" s="1516"/>
      <c r="DM797" s="1516"/>
      <c r="DN797" s="1517"/>
      <c r="DO797" s="1515">
        <f t="shared" si="47"/>
        <v>0</v>
      </c>
      <c r="DP797" s="1516"/>
      <c r="DQ797" s="1516"/>
      <c r="DR797" s="1516"/>
      <c r="DS797" s="1517"/>
      <c r="DT797" s="6"/>
      <c r="DU797" s="1515">
        <f t="shared" si="48"/>
        <v>0</v>
      </c>
      <c r="DV797" s="1516"/>
      <c r="DW797" s="1516"/>
      <c r="DX797" s="1516"/>
      <c r="DY797" s="1517"/>
      <c r="DZ797" s="1515">
        <f t="shared" si="49"/>
        <v>0</v>
      </c>
      <c r="EA797" s="1516"/>
      <c r="EB797" s="1516"/>
      <c r="EC797" s="1516"/>
      <c r="ED797" s="1517"/>
      <c r="EE797" s="1515">
        <f t="shared" si="50"/>
        <v>0</v>
      </c>
      <c r="EF797" s="1516"/>
      <c r="EG797" s="1516"/>
      <c r="EH797" s="1516"/>
      <c r="EI797" s="1517"/>
      <c r="EJ797" s="1515">
        <f t="shared" si="51"/>
        <v>0</v>
      </c>
      <c r="EK797" s="1516"/>
      <c r="EL797" s="1516"/>
      <c r="EM797" s="1516"/>
      <c r="EN797" s="1517"/>
      <c r="EO797" s="1515">
        <f t="shared" si="52"/>
        <v>0</v>
      </c>
      <c r="EP797" s="1516"/>
      <c r="EQ797" s="1516"/>
      <c r="ER797" s="1516"/>
      <c r="ES797" s="1517"/>
      <c r="ET797" s="1515">
        <f t="shared" si="53"/>
        <v>0</v>
      </c>
      <c r="EU797" s="1516"/>
      <c r="EV797" s="1516"/>
      <c r="EW797" s="1516"/>
      <c r="EX797" s="1517"/>
    </row>
    <row r="798" spans="1:154" s="14" customFormat="1" ht="12.95" customHeight="1">
      <c r="A798"/>
      <c r="B798"/>
      <c r="C798"/>
      <c r="D798"/>
      <c r="E798"/>
      <c r="F798"/>
      <c r="G798"/>
      <c r="H798"/>
      <c r="I798"/>
      <c r="J798" s="1322"/>
      <c r="K798" s="1323"/>
      <c r="L798" s="1323"/>
      <c r="M798" s="1323"/>
      <c r="N798" s="1324"/>
      <c r="O798" s="1409"/>
      <c r="P798" s="1409"/>
      <c r="Q798" s="1409"/>
      <c r="R798" s="1409"/>
      <c r="S798" s="1409"/>
      <c r="T798" s="1319"/>
      <c r="U798" s="1320"/>
      <c r="V798" s="1320"/>
      <c r="W798" s="1321"/>
      <c r="X798" s="1369"/>
      <c r="Y798" s="1370"/>
      <c r="Z798" s="1370"/>
      <c r="AA798" s="1370"/>
      <c r="AB798" s="1371"/>
      <c r="AC798" s="1398">
        <f t="shared" si="41"/>
        <v>0</v>
      </c>
      <c r="AD798" s="1399"/>
      <c r="AE798" s="1399"/>
      <c r="AF798" s="1399"/>
      <c r="AG798" s="1400"/>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515">
        <f t="shared" si="42"/>
        <v>0</v>
      </c>
      <c r="CQ798" s="1516"/>
      <c r="CR798" s="1516"/>
      <c r="CS798" s="1516"/>
      <c r="CT798" s="1517"/>
      <c r="CU798" s="1515">
        <f t="shared" si="43"/>
        <v>0</v>
      </c>
      <c r="CV798" s="1516"/>
      <c r="CW798" s="1516"/>
      <c r="CX798" s="1516"/>
      <c r="CY798" s="1517"/>
      <c r="CZ798" s="1515">
        <f t="shared" si="44"/>
        <v>0</v>
      </c>
      <c r="DA798" s="1516"/>
      <c r="DB798" s="1516"/>
      <c r="DC798" s="1516"/>
      <c r="DD798" s="1517"/>
      <c r="DE798" s="1515">
        <f t="shared" si="45"/>
        <v>0</v>
      </c>
      <c r="DF798" s="1516"/>
      <c r="DG798" s="1516"/>
      <c r="DH798" s="1516"/>
      <c r="DI798" s="1517"/>
      <c r="DJ798" s="1515">
        <f t="shared" si="46"/>
        <v>0</v>
      </c>
      <c r="DK798" s="1516"/>
      <c r="DL798" s="1516"/>
      <c r="DM798" s="1516"/>
      <c r="DN798" s="1517"/>
      <c r="DO798" s="1515">
        <f t="shared" si="47"/>
        <v>0</v>
      </c>
      <c r="DP798" s="1516"/>
      <c r="DQ798" s="1516"/>
      <c r="DR798" s="1516"/>
      <c r="DS798" s="1517"/>
      <c r="DT798" s="6"/>
      <c r="DU798" s="1515">
        <f t="shared" si="48"/>
        <v>0</v>
      </c>
      <c r="DV798" s="1516"/>
      <c r="DW798" s="1516"/>
      <c r="DX798" s="1516"/>
      <c r="DY798" s="1517"/>
      <c r="DZ798" s="1515">
        <f t="shared" si="49"/>
        <v>0</v>
      </c>
      <c r="EA798" s="1516"/>
      <c r="EB798" s="1516"/>
      <c r="EC798" s="1516"/>
      <c r="ED798" s="1517"/>
      <c r="EE798" s="1515">
        <f t="shared" si="50"/>
        <v>0</v>
      </c>
      <c r="EF798" s="1516"/>
      <c r="EG798" s="1516"/>
      <c r="EH798" s="1516"/>
      <c r="EI798" s="1517"/>
      <c r="EJ798" s="1515">
        <f t="shared" si="51"/>
        <v>0</v>
      </c>
      <c r="EK798" s="1516"/>
      <c r="EL798" s="1516"/>
      <c r="EM798" s="1516"/>
      <c r="EN798" s="1517"/>
      <c r="EO798" s="1515">
        <f t="shared" si="52"/>
        <v>0</v>
      </c>
      <c r="EP798" s="1516"/>
      <c r="EQ798" s="1516"/>
      <c r="ER798" s="1516"/>
      <c r="ES798" s="1517"/>
      <c r="ET798" s="1515">
        <f t="shared" si="53"/>
        <v>0</v>
      </c>
      <c r="EU798" s="1516"/>
      <c r="EV798" s="1516"/>
      <c r="EW798" s="1516"/>
      <c r="EX798" s="1517"/>
    </row>
    <row r="799" spans="1:154" s="14" customFormat="1" ht="12.95" customHeight="1">
      <c r="A799"/>
      <c r="B799"/>
      <c r="C799"/>
      <c r="D799"/>
      <c r="E799"/>
      <c r="F799"/>
      <c r="G799"/>
      <c r="H799"/>
      <c r="I799"/>
      <c r="J799" s="1322"/>
      <c r="K799" s="1323"/>
      <c r="L799" s="1323"/>
      <c r="M799" s="1323"/>
      <c r="N799" s="1324"/>
      <c r="O799" s="1409"/>
      <c r="P799" s="1409"/>
      <c r="Q799" s="1409"/>
      <c r="R799" s="1409"/>
      <c r="S799" s="1409"/>
      <c r="T799" s="1319"/>
      <c r="U799" s="1320"/>
      <c r="V799" s="1320"/>
      <c r="W799" s="1321"/>
      <c r="X799" s="1369"/>
      <c r="Y799" s="1370"/>
      <c r="Z799" s="1370"/>
      <c r="AA799" s="1370"/>
      <c r="AB799" s="1371"/>
      <c r="AC799" s="1398">
        <f t="shared" si="41"/>
        <v>0</v>
      </c>
      <c r="AD799" s="1399"/>
      <c r="AE799" s="1399"/>
      <c r="AF799" s="1399"/>
      <c r="AG799" s="1400"/>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515">
        <f t="shared" si="42"/>
        <v>0</v>
      </c>
      <c r="CQ799" s="1516"/>
      <c r="CR799" s="1516"/>
      <c r="CS799" s="1516"/>
      <c r="CT799" s="1517"/>
      <c r="CU799" s="1515">
        <f t="shared" si="43"/>
        <v>0</v>
      </c>
      <c r="CV799" s="1516"/>
      <c r="CW799" s="1516"/>
      <c r="CX799" s="1516"/>
      <c r="CY799" s="1517"/>
      <c r="CZ799" s="1515">
        <f t="shared" si="44"/>
        <v>0</v>
      </c>
      <c r="DA799" s="1516"/>
      <c r="DB799" s="1516"/>
      <c r="DC799" s="1516"/>
      <c r="DD799" s="1517"/>
      <c r="DE799" s="1515">
        <f t="shared" si="45"/>
        <v>0</v>
      </c>
      <c r="DF799" s="1516"/>
      <c r="DG799" s="1516"/>
      <c r="DH799" s="1516"/>
      <c r="DI799" s="1517"/>
      <c r="DJ799" s="1515">
        <f t="shared" si="46"/>
        <v>0</v>
      </c>
      <c r="DK799" s="1516"/>
      <c r="DL799" s="1516"/>
      <c r="DM799" s="1516"/>
      <c r="DN799" s="1517"/>
      <c r="DO799" s="1515">
        <f t="shared" si="47"/>
        <v>0</v>
      </c>
      <c r="DP799" s="1516"/>
      <c r="DQ799" s="1516"/>
      <c r="DR799" s="1516"/>
      <c r="DS799" s="1517"/>
      <c r="DT799" s="6"/>
      <c r="DU799" s="1515">
        <f t="shared" si="48"/>
        <v>0</v>
      </c>
      <c r="DV799" s="1516"/>
      <c r="DW799" s="1516"/>
      <c r="DX799" s="1516"/>
      <c r="DY799" s="1517"/>
      <c r="DZ799" s="1515">
        <f t="shared" si="49"/>
        <v>0</v>
      </c>
      <c r="EA799" s="1516"/>
      <c r="EB799" s="1516"/>
      <c r="EC799" s="1516"/>
      <c r="ED799" s="1517"/>
      <c r="EE799" s="1515">
        <f t="shared" si="50"/>
        <v>0</v>
      </c>
      <c r="EF799" s="1516"/>
      <c r="EG799" s="1516"/>
      <c r="EH799" s="1516"/>
      <c r="EI799" s="1517"/>
      <c r="EJ799" s="1515">
        <f t="shared" si="51"/>
        <v>0</v>
      </c>
      <c r="EK799" s="1516"/>
      <c r="EL799" s="1516"/>
      <c r="EM799" s="1516"/>
      <c r="EN799" s="1517"/>
      <c r="EO799" s="1515">
        <f t="shared" si="52"/>
        <v>0</v>
      </c>
      <c r="EP799" s="1516"/>
      <c r="EQ799" s="1516"/>
      <c r="ER799" s="1516"/>
      <c r="ES799" s="1517"/>
      <c r="ET799" s="1515">
        <f t="shared" si="53"/>
        <v>0</v>
      </c>
      <c r="EU799" s="1516"/>
      <c r="EV799" s="1516"/>
      <c r="EW799" s="1516"/>
      <c r="EX799" s="1517"/>
    </row>
    <row r="800" spans="1:154" s="14" customFormat="1" ht="12.95" customHeight="1">
      <c r="A800"/>
      <c r="B800"/>
      <c r="C800"/>
      <c r="D800"/>
      <c r="E800"/>
      <c r="F800"/>
      <c r="G800"/>
      <c r="H800"/>
      <c r="I800"/>
      <c r="J800" s="1322"/>
      <c r="K800" s="1323"/>
      <c r="L800" s="1323"/>
      <c r="M800" s="1323"/>
      <c r="N800" s="1324"/>
      <c r="O800" s="1409"/>
      <c r="P800" s="1409"/>
      <c r="Q800" s="1409"/>
      <c r="R800" s="1409"/>
      <c r="S800" s="1409"/>
      <c r="T800" s="1319"/>
      <c r="U800" s="1320"/>
      <c r="V800" s="1320"/>
      <c r="W800" s="1321"/>
      <c r="X800" s="1369"/>
      <c r="Y800" s="1370"/>
      <c r="Z800" s="1370"/>
      <c r="AA800" s="1370"/>
      <c r="AB800" s="1371"/>
      <c r="AC800" s="1398">
        <f t="shared" si="41"/>
        <v>0</v>
      </c>
      <c r="AD800" s="1399"/>
      <c r="AE800" s="1399"/>
      <c r="AF800" s="1399"/>
      <c r="AG800" s="1400"/>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515">
        <f t="shared" si="42"/>
        <v>0</v>
      </c>
      <c r="CQ800" s="1516"/>
      <c r="CR800" s="1516"/>
      <c r="CS800" s="1516"/>
      <c r="CT800" s="1517"/>
      <c r="CU800" s="1515">
        <f t="shared" si="43"/>
        <v>0</v>
      </c>
      <c r="CV800" s="1516"/>
      <c r="CW800" s="1516"/>
      <c r="CX800" s="1516"/>
      <c r="CY800" s="1517"/>
      <c r="CZ800" s="1515">
        <f t="shared" si="44"/>
        <v>0</v>
      </c>
      <c r="DA800" s="1516"/>
      <c r="DB800" s="1516"/>
      <c r="DC800" s="1516"/>
      <c r="DD800" s="1517"/>
      <c r="DE800" s="1515">
        <f t="shared" si="45"/>
        <v>0</v>
      </c>
      <c r="DF800" s="1516"/>
      <c r="DG800" s="1516"/>
      <c r="DH800" s="1516"/>
      <c r="DI800" s="1517"/>
      <c r="DJ800" s="1515">
        <f t="shared" si="46"/>
        <v>0</v>
      </c>
      <c r="DK800" s="1516"/>
      <c r="DL800" s="1516"/>
      <c r="DM800" s="1516"/>
      <c r="DN800" s="1517"/>
      <c r="DO800" s="1515">
        <f t="shared" si="47"/>
        <v>0</v>
      </c>
      <c r="DP800" s="1516"/>
      <c r="DQ800" s="1516"/>
      <c r="DR800" s="1516"/>
      <c r="DS800" s="1517"/>
      <c r="DT800" s="6"/>
      <c r="DU800" s="1515">
        <f t="shared" si="48"/>
        <v>0</v>
      </c>
      <c r="DV800" s="1516"/>
      <c r="DW800" s="1516"/>
      <c r="DX800" s="1516"/>
      <c r="DY800" s="1517"/>
      <c r="DZ800" s="1515">
        <f t="shared" si="49"/>
        <v>0</v>
      </c>
      <c r="EA800" s="1516"/>
      <c r="EB800" s="1516"/>
      <c r="EC800" s="1516"/>
      <c r="ED800" s="1517"/>
      <c r="EE800" s="1515">
        <f t="shared" si="50"/>
        <v>0</v>
      </c>
      <c r="EF800" s="1516"/>
      <c r="EG800" s="1516"/>
      <c r="EH800" s="1516"/>
      <c r="EI800" s="1517"/>
      <c r="EJ800" s="1515">
        <f t="shared" si="51"/>
        <v>0</v>
      </c>
      <c r="EK800" s="1516"/>
      <c r="EL800" s="1516"/>
      <c r="EM800" s="1516"/>
      <c r="EN800" s="1517"/>
      <c r="EO800" s="1515">
        <f t="shared" si="52"/>
        <v>0</v>
      </c>
      <c r="EP800" s="1516"/>
      <c r="EQ800" s="1516"/>
      <c r="ER800" s="1516"/>
      <c r="ES800" s="1517"/>
      <c r="ET800" s="1515">
        <f t="shared" si="53"/>
        <v>0</v>
      </c>
      <c r="EU800" s="1516"/>
      <c r="EV800" s="1516"/>
      <c r="EW800" s="1516"/>
      <c r="EX800" s="1517"/>
    </row>
    <row r="801" spans="1:154" s="14" customFormat="1" ht="12.95" customHeight="1">
      <c r="A801"/>
      <c r="B801"/>
      <c r="C801"/>
      <c r="D801"/>
      <c r="E801"/>
      <c r="F801"/>
      <c r="G801"/>
      <c r="H801"/>
      <c r="I801"/>
      <c r="J801" s="1322"/>
      <c r="K801" s="1323"/>
      <c r="L801" s="1323"/>
      <c r="M801" s="1323"/>
      <c r="N801" s="1324"/>
      <c r="O801" s="1409"/>
      <c r="P801" s="1409"/>
      <c r="Q801" s="1409"/>
      <c r="R801" s="1409"/>
      <c r="S801" s="1409"/>
      <c r="T801" s="1319"/>
      <c r="U801" s="1320"/>
      <c r="V801" s="1320"/>
      <c r="W801" s="1321"/>
      <c r="X801" s="1369"/>
      <c r="Y801" s="1370"/>
      <c r="Z801" s="1370"/>
      <c r="AA801" s="1370"/>
      <c r="AB801" s="1371"/>
      <c r="AC801" s="1398">
        <f t="shared" si="41"/>
        <v>0</v>
      </c>
      <c r="AD801" s="1399"/>
      <c r="AE801" s="1399"/>
      <c r="AF801" s="1399"/>
      <c r="AG801" s="1400"/>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515">
        <f t="shared" si="42"/>
        <v>0</v>
      </c>
      <c r="CQ801" s="1516"/>
      <c r="CR801" s="1516"/>
      <c r="CS801" s="1516"/>
      <c r="CT801" s="1517"/>
      <c r="CU801" s="1515">
        <f t="shared" si="43"/>
        <v>0</v>
      </c>
      <c r="CV801" s="1516"/>
      <c r="CW801" s="1516"/>
      <c r="CX801" s="1516"/>
      <c r="CY801" s="1517"/>
      <c r="CZ801" s="1515">
        <f t="shared" si="44"/>
        <v>0</v>
      </c>
      <c r="DA801" s="1516"/>
      <c r="DB801" s="1516"/>
      <c r="DC801" s="1516"/>
      <c r="DD801" s="1517"/>
      <c r="DE801" s="1515">
        <f t="shared" si="45"/>
        <v>0</v>
      </c>
      <c r="DF801" s="1516"/>
      <c r="DG801" s="1516"/>
      <c r="DH801" s="1516"/>
      <c r="DI801" s="1517"/>
      <c r="DJ801" s="1515">
        <f t="shared" si="46"/>
        <v>0</v>
      </c>
      <c r="DK801" s="1516"/>
      <c r="DL801" s="1516"/>
      <c r="DM801" s="1516"/>
      <c r="DN801" s="1517"/>
      <c r="DO801" s="1515">
        <f t="shared" si="47"/>
        <v>0</v>
      </c>
      <c r="DP801" s="1516"/>
      <c r="DQ801" s="1516"/>
      <c r="DR801" s="1516"/>
      <c r="DS801" s="1517"/>
      <c r="DT801" s="6"/>
      <c r="DU801" s="1515">
        <f t="shared" si="48"/>
        <v>0</v>
      </c>
      <c r="DV801" s="1516"/>
      <c r="DW801" s="1516"/>
      <c r="DX801" s="1516"/>
      <c r="DY801" s="1517"/>
      <c r="DZ801" s="1515">
        <f t="shared" si="49"/>
        <v>0</v>
      </c>
      <c r="EA801" s="1516"/>
      <c r="EB801" s="1516"/>
      <c r="EC801" s="1516"/>
      <c r="ED801" s="1517"/>
      <c r="EE801" s="1515">
        <f t="shared" si="50"/>
        <v>0</v>
      </c>
      <c r="EF801" s="1516"/>
      <c r="EG801" s="1516"/>
      <c r="EH801" s="1516"/>
      <c r="EI801" s="1517"/>
      <c r="EJ801" s="1515">
        <f t="shared" si="51"/>
        <v>0</v>
      </c>
      <c r="EK801" s="1516"/>
      <c r="EL801" s="1516"/>
      <c r="EM801" s="1516"/>
      <c r="EN801" s="1517"/>
      <c r="EO801" s="1515">
        <f t="shared" si="52"/>
        <v>0</v>
      </c>
      <c r="EP801" s="1516"/>
      <c r="EQ801" s="1516"/>
      <c r="ER801" s="1516"/>
      <c r="ES801" s="1517"/>
      <c r="ET801" s="1515">
        <f t="shared" si="53"/>
        <v>0</v>
      </c>
      <c r="EU801" s="1516"/>
      <c r="EV801" s="1516"/>
      <c r="EW801" s="1516"/>
      <c r="EX801" s="1517"/>
    </row>
    <row r="802" spans="1:154" s="14" customFormat="1" ht="12.95" customHeight="1">
      <c r="A802"/>
      <c r="B802"/>
      <c r="C802"/>
      <c r="D802"/>
      <c r="E802"/>
      <c r="F802"/>
      <c r="G802"/>
      <c r="H802"/>
      <c r="I802"/>
      <c r="J802" s="1322"/>
      <c r="K802" s="1323"/>
      <c r="L802" s="1323"/>
      <c r="M802" s="1323"/>
      <c r="N802" s="1324"/>
      <c r="O802" s="1409"/>
      <c r="P802" s="1409"/>
      <c r="Q802" s="1409"/>
      <c r="R802" s="1409"/>
      <c r="S802" s="1409"/>
      <c r="T802" s="1319"/>
      <c r="U802" s="1320"/>
      <c r="V802" s="1320"/>
      <c r="W802" s="1321"/>
      <c r="X802" s="1369"/>
      <c r="Y802" s="1370"/>
      <c r="Z802" s="1370"/>
      <c r="AA802" s="1370"/>
      <c r="AB802" s="1371"/>
      <c r="AC802" s="1398">
        <f t="shared" si="41"/>
        <v>0</v>
      </c>
      <c r="AD802" s="1399"/>
      <c r="AE802" s="1399"/>
      <c r="AF802" s="1399"/>
      <c r="AG802" s="1400"/>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515">
        <f t="shared" si="42"/>
        <v>0</v>
      </c>
      <c r="CQ802" s="1516"/>
      <c r="CR802" s="1516"/>
      <c r="CS802" s="1516"/>
      <c r="CT802" s="1517"/>
      <c r="CU802" s="1515">
        <f t="shared" si="43"/>
        <v>0</v>
      </c>
      <c r="CV802" s="1516"/>
      <c r="CW802" s="1516"/>
      <c r="CX802" s="1516"/>
      <c r="CY802" s="1517"/>
      <c r="CZ802" s="1515">
        <f t="shared" si="44"/>
        <v>0</v>
      </c>
      <c r="DA802" s="1516"/>
      <c r="DB802" s="1516"/>
      <c r="DC802" s="1516"/>
      <c r="DD802" s="1517"/>
      <c r="DE802" s="1515">
        <f t="shared" si="45"/>
        <v>0</v>
      </c>
      <c r="DF802" s="1516"/>
      <c r="DG802" s="1516"/>
      <c r="DH802" s="1516"/>
      <c r="DI802" s="1517"/>
      <c r="DJ802" s="1515">
        <f t="shared" si="46"/>
        <v>0</v>
      </c>
      <c r="DK802" s="1516"/>
      <c r="DL802" s="1516"/>
      <c r="DM802" s="1516"/>
      <c r="DN802" s="1517"/>
      <c r="DO802" s="1515">
        <f t="shared" si="47"/>
        <v>0</v>
      </c>
      <c r="DP802" s="1516"/>
      <c r="DQ802" s="1516"/>
      <c r="DR802" s="1516"/>
      <c r="DS802" s="1517"/>
      <c r="DT802" s="6"/>
      <c r="DU802" s="1515">
        <f t="shared" si="48"/>
        <v>0</v>
      </c>
      <c r="DV802" s="1516"/>
      <c r="DW802" s="1516"/>
      <c r="DX802" s="1516"/>
      <c r="DY802" s="1517"/>
      <c r="DZ802" s="1515">
        <f t="shared" si="49"/>
        <v>0</v>
      </c>
      <c r="EA802" s="1516"/>
      <c r="EB802" s="1516"/>
      <c r="EC802" s="1516"/>
      <c r="ED802" s="1517"/>
      <c r="EE802" s="1515">
        <f t="shared" si="50"/>
        <v>0</v>
      </c>
      <c r="EF802" s="1516"/>
      <c r="EG802" s="1516"/>
      <c r="EH802" s="1516"/>
      <c r="EI802" s="1517"/>
      <c r="EJ802" s="1515">
        <f t="shared" si="51"/>
        <v>0</v>
      </c>
      <c r="EK802" s="1516"/>
      <c r="EL802" s="1516"/>
      <c r="EM802" s="1516"/>
      <c r="EN802" s="1517"/>
      <c r="EO802" s="1515">
        <f t="shared" si="52"/>
        <v>0</v>
      </c>
      <c r="EP802" s="1516"/>
      <c r="EQ802" s="1516"/>
      <c r="ER802" s="1516"/>
      <c r="ES802" s="1517"/>
      <c r="ET802" s="1515">
        <f t="shared" si="53"/>
        <v>0</v>
      </c>
      <c r="EU802" s="1516"/>
      <c r="EV802" s="1516"/>
      <c r="EW802" s="1516"/>
      <c r="EX802" s="1517"/>
    </row>
    <row r="803" spans="1:154" s="14" customFormat="1" ht="12.95" customHeight="1">
      <c r="A803"/>
      <c r="B803"/>
      <c r="C803"/>
      <c r="D803"/>
      <c r="E803"/>
      <c r="F803"/>
      <c r="G803"/>
      <c r="H803"/>
      <c r="I803"/>
      <c r="J803" s="1322"/>
      <c r="K803" s="1323"/>
      <c r="L803" s="1323"/>
      <c r="M803" s="1323"/>
      <c r="N803" s="1324"/>
      <c r="O803" s="1409"/>
      <c r="P803" s="1409"/>
      <c r="Q803" s="1409"/>
      <c r="R803" s="1409"/>
      <c r="S803" s="1409"/>
      <c r="T803" s="1319"/>
      <c r="U803" s="1320"/>
      <c r="V803" s="1320"/>
      <c r="W803" s="1321"/>
      <c r="X803" s="1369"/>
      <c r="Y803" s="1370"/>
      <c r="Z803" s="1370"/>
      <c r="AA803" s="1370"/>
      <c r="AB803" s="1371"/>
      <c r="AC803" s="1398">
        <f t="shared" si="41"/>
        <v>0</v>
      </c>
      <c r="AD803" s="1399"/>
      <c r="AE803" s="1399"/>
      <c r="AF803" s="1399"/>
      <c r="AG803" s="1400"/>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515">
        <f t="shared" si="42"/>
        <v>0</v>
      </c>
      <c r="CQ803" s="1516"/>
      <c r="CR803" s="1516"/>
      <c r="CS803" s="1516"/>
      <c r="CT803" s="1517"/>
      <c r="CU803" s="1515">
        <f t="shared" si="43"/>
        <v>0</v>
      </c>
      <c r="CV803" s="1516"/>
      <c r="CW803" s="1516"/>
      <c r="CX803" s="1516"/>
      <c r="CY803" s="1517"/>
      <c r="CZ803" s="1515">
        <f t="shared" si="44"/>
        <v>0</v>
      </c>
      <c r="DA803" s="1516"/>
      <c r="DB803" s="1516"/>
      <c r="DC803" s="1516"/>
      <c r="DD803" s="1517"/>
      <c r="DE803" s="1515">
        <f t="shared" si="45"/>
        <v>0</v>
      </c>
      <c r="DF803" s="1516"/>
      <c r="DG803" s="1516"/>
      <c r="DH803" s="1516"/>
      <c r="DI803" s="1517"/>
      <c r="DJ803" s="1515">
        <f t="shared" si="46"/>
        <v>0</v>
      </c>
      <c r="DK803" s="1516"/>
      <c r="DL803" s="1516"/>
      <c r="DM803" s="1516"/>
      <c r="DN803" s="1517"/>
      <c r="DO803" s="1515">
        <f t="shared" si="47"/>
        <v>0</v>
      </c>
      <c r="DP803" s="1516"/>
      <c r="DQ803" s="1516"/>
      <c r="DR803" s="1516"/>
      <c r="DS803" s="1517"/>
      <c r="DT803" s="6"/>
      <c r="DU803" s="1515">
        <f t="shared" si="48"/>
        <v>0</v>
      </c>
      <c r="DV803" s="1516"/>
      <c r="DW803" s="1516"/>
      <c r="DX803" s="1516"/>
      <c r="DY803" s="1517"/>
      <c r="DZ803" s="1515">
        <f t="shared" si="49"/>
        <v>0</v>
      </c>
      <c r="EA803" s="1516"/>
      <c r="EB803" s="1516"/>
      <c r="EC803" s="1516"/>
      <c r="ED803" s="1517"/>
      <c r="EE803" s="1515">
        <f t="shared" si="50"/>
        <v>0</v>
      </c>
      <c r="EF803" s="1516"/>
      <c r="EG803" s="1516"/>
      <c r="EH803" s="1516"/>
      <c r="EI803" s="1517"/>
      <c r="EJ803" s="1515">
        <f t="shared" si="51"/>
        <v>0</v>
      </c>
      <c r="EK803" s="1516"/>
      <c r="EL803" s="1516"/>
      <c r="EM803" s="1516"/>
      <c r="EN803" s="1517"/>
      <c r="EO803" s="1515">
        <f t="shared" si="52"/>
        <v>0</v>
      </c>
      <c r="EP803" s="1516"/>
      <c r="EQ803" s="1516"/>
      <c r="ER803" s="1516"/>
      <c r="ES803" s="1517"/>
      <c r="ET803" s="1515">
        <f t="shared" si="53"/>
        <v>0</v>
      </c>
      <c r="EU803" s="1516"/>
      <c r="EV803" s="1516"/>
      <c r="EW803" s="1516"/>
      <c r="EX803" s="1517"/>
    </row>
    <row r="804" spans="1:154" s="4" customFormat="1" ht="12.95" customHeight="1">
      <c r="A804"/>
      <c r="B804"/>
      <c r="C804"/>
      <c r="D804"/>
      <c r="E804"/>
      <c r="F804"/>
      <c r="G804"/>
      <c r="H804"/>
      <c r="I804"/>
      <c r="J804" s="1322"/>
      <c r="K804" s="1323"/>
      <c r="L804" s="1323"/>
      <c r="M804" s="1323"/>
      <c r="N804" s="1324"/>
      <c r="O804" s="1409"/>
      <c r="P804" s="1409"/>
      <c r="Q804" s="1409"/>
      <c r="R804" s="1409"/>
      <c r="S804" s="1409"/>
      <c r="T804" s="1319"/>
      <c r="U804" s="1320"/>
      <c r="V804" s="1320"/>
      <c r="W804" s="1321"/>
      <c r="X804" s="1369"/>
      <c r="Y804" s="1370"/>
      <c r="Z804" s="1370"/>
      <c r="AA804" s="1370"/>
      <c r="AB804" s="1371"/>
      <c r="AC804" s="1398">
        <f t="shared" si="41"/>
        <v>0</v>
      </c>
      <c r="AD804" s="1399"/>
      <c r="AE804" s="1399"/>
      <c r="AF804" s="1399"/>
      <c r="AG804" s="1400"/>
      <c r="AH804"/>
      <c r="AI804"/>
      <c r="AJ804"/>
      <c r="AK804"/>
      <c r="AL804"/>
      <c r="AM804"/>
      <c r="AN804"/>
      <c r="AO804"/>
      <c r="AP804"/>
      <c r="AQ804"/>
      <c r="AR804"/>
      <c r="AS804"/>
      <c r="AT804"/>
      <c r="AU804"/>
      <c r="AV804"/>
      <c r="AW804"/>
      <c r="AX804"/>
      <c r="AY804"/>
      <c r="AZ804" s="3"/>
      <c r="CP804" s="1515">
        <f t="shared" si="42"/>
        <v>0</v>
      </c>
      <c r="CQ804" s="1516"/>
      <c r="CR804" s="1516"/>
      <c r="CS804" s="1516"/>
      <c r="CT804" s="1517"/>
      <c r="CU804" s="1515">
        <f t="shared" si="43"/>
        <v>0</v>
      </c>
      <c r="CV804" s="1516"/>
      <c r="CW804" s="1516"/>
      <c r="CX804" s="1516"/>
      <c r="CY804" s="1517"/>
      <c r="CZ804" s="1515">
        <f t="shared" si="44"/>
        <v>0</v>
      </c>
      <c r="DA804" s="1516"/>
      <c r="DB804" s="1516"/>
      <c r="DC804" s="1516"/>
      <c r="DD804" s="1517"/>
      <c r="DE804" s="1515">
        <f t="shared" si="45"/>
        <v>0</v>
      </c>
      <c r="DF804" s="1516"/>
      <c r="DG804" s="1516"/>
      <c r="DH804" s="1516"/>
      <c r="DI804" s="1517"/>
      <c r="DJ804" s="1515">
        <f t="shared" si="46"/>
        <v>0</v>
      </c>
      <c r="DK804" s="1516"/>
      <c r="DL804" s="1516"/>
      <c r="DM804" s="1516"/>
      <c r="DN804" s="1517"/>
      <c r="DO804" s="1515">
        <f t="shared" si="47"/>
        <v>0</v>
      </c>
      <c r="DP804" s="1516"/>
      <c r="DQ804" s="1516"/>
      <c r="DR804" s="1516"/>
      <c r="DS804" s="1517"/>
      <c r="DT804" s="6"/>
      <c r="DU804" s="1515">
        <f t="shared" si="48"/>
        <v>0</v>
      </c>
      <c r="DV804" s="1516"/>
      <c r="DW804" s="1516"/>
      <c r="DX804" s="1516"/>
      <c r="DY804" s="1517"/>
      <c r="DZ804" s="1515">
        <f t="shared" si="49"/>
        <v>0</v>
      </c>
      <c r="EA804" s="1516"/>
      <c r="EB804" s="1516"/>
      <c r="EC804" s="1516"/>
      <c r="ED804" s="1517"/>
      <c r="EE804" s="1515">
        <f t="shared" si="50"/>
        <v>0</v>
      </c>
      <c r="EF804" s="1516"/>
      <c r="EG804" s="1516"/>
      <c r="EH804" s="1516"/>
      <c r="EI804" s="1517"/>
      <c r="EJ804" s="1515">
        <f t="shared" si="51"/>
        <v>0</v>
      </c>
      <c r="EK804" s="1516"/>
      <c r="EL804" s="1516"/>
      <c r="EM804" s="1516"/>
      <c r="EN804" s="1517"/>
      <c r="EO804" s="1515">
        <f t="shared" si="52"/>
        <v>0</v>
      </c>
      <c r="EP804" s="1516"/>
      <c r="EQ804" s="1516"/>
      <c r="ER804" s="1516"/>
      <c r="ES804" s="1517"/>
      <c r="ET804" s="1515">
        <f t="shared" si="53"/>
        <v>0</v>
      </c>
      <c r="EU804" s="1516"/>
      <c r="EV804" s="1516"/>
      <c r="EW804" s="1516"/>
      <c r="EX804" s="1517"/>
    </row>
    <row r="805" spans="1:154" s="4" customFormat="1" ht="12.95" customHeight="1">
      <c r="A805"/>
      <c r="B805"/>
      <c r="C805"/>
      <c r="D805"/>
      <c r="E805"/>
      <c r="F805"/>
      <c r="G805"/>
      <c r="H805"/>
      <c r="I805"/>
      <c r="J805" s="1500" t="s">
        <v>125</v>
      </c>
      <c r="K805" s="1501"/>
      <c r="L805" s="1501"/>
      <c r="M805" s="1501"/>
      <c r="N805" s="1502"/>
      <c r="O805" s="1696">
        <f>SUM(O795:S804)</f>
        <v>0</v>
      </c>
      <c r="P805" s="1696"/>
      <c r="Q805" s="1696"/>
      <c r="R805" s="1696"/>
      <c r="S805" s="1696"/>
      <c r="T805"/>
      <c r="U805"/>
      <c r="V805"/>
      <c r="W805"/>
      <c r="X805" s="893" t="s">
        <v>124</v>
      </c>
      <c r="Y805" s="11"/>
      <c r="Z805" s="11"/>
      <c r="AA805" s="11"/>
      <c r="AB805" s="900"/>
      <c r="AC805" s="1398">
        <f>SUM(AC795:AG804)</f>
        <v>0</v>
      </c>
      <c r="AD805" s="1399"/>
      <c r="AE805" s="1399"/>
      <c r="AF805" s="1399"/>
      <c r="AG805" s="1400"/>
      <c r="AH805"/>
      <c r="AI805"/>
      <c r="AJ805"/>
      <c r="AK805"/>
      <c r="AL805"/>
      <c r="AM805"/>
      <c r="AN805"/>
      <c r="AO805"/>
      <c r="AP805"/>
      <c r="AQ805"/>
      <c r="AR805"/>
      <c r="AS805"/>
      <c r="AT805"/>
      <c r="AU805"/>
      <c r="AV805"/>
      <c r="AW805"/>
      <c r="AX805"/>
      <c r="AY805"/>
      <c r="AZ805" s="3"/>
      <c r="BA805"/>
      <c r="CP805" s="1497">
        <f>SUM(CP795:CT804)</f>
        <v>0</v>
      </c>
      <c r="CQ805" s="1708"/>
      <c r="CR805" s="1708"/>
      <c r="CS805" s="1708"/>
      <c r="CT805" s="1498"/>
      <c r="CU805" s="1522">
        <f>SUM(CU795:CY804)</f>
        <v>0</v>
      </c>
      <c r="CV805" s="1523"/>
      <c r="CW805" s="1523"/>
      <c r="CX805" s="1523"/>
      <c r="CY805" s="1524"/>
      <c r="CZ805" s="1522">
        <f>SUM(CZ795:DD804)</f>
        <v>0</v>
      </c>
      <c r="DA805" s="1523"/>
      <c r="DB805" s="1523"/>
      <c r="DC805" s="1523"/>
      <c r="DD805" s="1524"/>
      <c r="DE805" s="1522">
        <f>SUM(DE795:DI804)</f>
        <v>0</v>
      </c>
      <c r="DF805" s="1523"/>
      <c r="DG805" s="1523"/>
      <c r="DH805" s="1523"/>
      <c r="DI805" s="1524"/>
      <c r="DJ805" s="1522">
        <f>SUM(DJ795:DN804)</f>
        <v>0</v>
      </c>
      <c r="DK805" s="1523"/>
      <c r="DL805" s="1523"/>
      <c r="DM805" s="1523"/>
      <c r="DN805" s="1524"/>
      <c r="DO805" s="1522">
        <f>SUM(DO795:DS804)</f>
        <v>0</v>
      </c>
      <c r="DP805" s="1523"/>
      <c r="DQ805" s="1523"/>
      <c r="DR805" s="1523"/>
      <c r="DS805" s="1524"/>
      <c r="DT805" s="1002"/>
      <c r="DU805" s="1497">
        <f>SUM(DU795:DY804)</f>
        <v>0</v>
      </c>
      <c r="DV805" s="1708"/>
      <c r="DW805" s="1708"/>
      <c r="DX805" s="1708"/>
      <c r="DY805" s="1498"/>
      <c r="DZ805" s="1497">
        <f>SUM(DZ795:ED804)</f>
        <v>0</v>
      </c>
      <c r="EA805" s="1708"/>
      <c r="EB805" s="1708"/>
      <c r="EC805" s="1708"/>
      <c r="ED805" s="1498"/>
      <c r="EE805" s="1497">
        <f>SUM(EE795:EI804)</f>
        <v>0</v>
      </c>
      <c r="EF805" s="1708"/>
      <c r="EG805" s="1708"/>
      <c r="EH805" s="1708"/>
      <c r="EI805" s="1498"/>
      <c r="EJ805" s="1497">
        <f>SUM(EJ795:EN804)</f>
        <v>0</v>
      </c>
      <c r="EK805" s="1708"/>
      <c r="EL805" s="1708"/>
      <c r="EM805" s="1708"/>
      <c r="EN805" s="1498"/>
      <c r="EO805" s="1497">
        <f>SUM(EO795:ES804)</f>
        <v>0</v>
      </c>
      <c r="EP805" s="1708"/>
      <c r="EQ805" s="1708"/>
      <c r="ER805" s="1708"/>
      <c r="ES805" s="1498"/>
      <c r="ET805" s="1497">
        <f>SUM(ET795:EX804)</f>
        <v>0</v>
      </c>
      <c r="EU805" s="1708"/>
      <c r="EV805" s="1708"/>
      <c r="EW805" s="1708"/>
      <c r="EX805" s="1498"/>
    </row>
    <row r="806" spans="1:154" s="4" customFormat="1" ht="12.95" customHeight="1">
      <c r="A806"/>
      <c r="B806"/>
      <c r="C806" s="1707" t="str">
        <f>IF(O805&lt;&gt;AG447,"! Total market rate units in the Unit Mix Table above does not match the number of  market rate units on row #"&amp;TEXT(ROW(D447),"#"),"")</f>
        <v/>
      </c>
      <c r="D806" s="1707"/>
      <c r="E806" s="1707"/>
      <c r="F806" s="1707"/>
      <c r="G806" s="1707"/>
      <c r="H806" s="1707"/>
      <c r="I806" s="1707"/>
      <c r="J806" s="1707"/>
      <c r="K806" s="1707"/>
      <c r="L806" s="1707"/>
      <c r="M806" s="1707"/>
      <c r="N806" s="1707"/>
      <c r="O806" s="1707"/>
      <c r="P806" s="1707"/>
      <c r="Q806" s="1707"/>
      <c r="R806" s="1707"/>
      <c r="S806" s="1707"/>
      <c r="T806" s="1707"/>
      <c r="U806" s="1707"/>
      <c r="V806" s="1707"/>
      <c r="W806" s="1707"/>
      <c r="X806" s="1707"/>
      <c r="Y806" s="1707"/>
      <c r="Z806" s="1707"/>
      <c r="AA806" s="1707"/>
      <c r="AB806" s="1707"/>
      <c r="AC806" s="1707"/>
      <c r="AD806" s="1707"/>
      <c r="AE806" s="1707"/>
      <c r="AF806" s="1707"/>
      <c r="AG806" s="1707"/>
      <c r="AH806" s="1707"/>
      <c r="AI806" s="1707"/>
      <c r="AJ806" s="1707"/>
      <c r="AK806" s="1707"/>
      <c r="AL806" s="1707"/>
      <c r="AM806" s="1707"/>
      <c r="AN806" s="1707"/>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5" customHeight="1">
      <c r="A807"/>
      <c r="B807"/>
      <c r="C807" s="1707"/>
      <c r="D807" s="1707"/>
      <c r="E807" s="1707"/>
      <c r="F807" s="1707"/>
      <c r="G807" s="1707"/>
      <c r="H807" s="1707"/>
      <c r="I807" s="1707"/>
      <c r="J807" s="1707"/>
      <c r="K807" s="1707"/>
      <c r="L807" s="1707"/>
      <c r="M807" s="1707"/>
      <c r="N807" s="1707"/>
      <c r="O807" s="1707"/>
      <c r="P807" s="1707"/>
      <c r="Q807" s="1707"/>
      <c r="R807" s="1707"/>
      <c r="S807" s="1707"/>
      <c r="T807" s="1707"/>
      <c r="U807" s="1707"/>
      <c r="V807" s="1707"/>
      <c r="W807" s="1707"/>
      <c r="X807" s="1707"/>
      <c r="Y807" s="1707"/>
      <c r="Z807" s="1707"/>
      <c r="AA807" s="1707"/>
      <c r="AB807" s="1707"/>
      <c r="AC807" s="1707"/>
      <c r="AD807" s="1707"/>
      <c r="AE807" s="1707"/>
      <c r="AF807" s="1707"/>
      <c r="AG807" s="1707"/>
      <c r="AH807" s="1707"/>
      <c r="AI807" s="1707"/>
      <c r="AJ807" s="1707"/>
      <c r="AK807" s="1707"/>
      <c r="AL807" s="1707"/>
      <c r="AM807" s="1707"/>
      <c r="AN807" s="1707"/>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1825</v>
      </c>
      <c r="DW807" s="3"/>
      <c r="DX807" s="3"/>
      <c r="DY807" s="3"/>
      <c r="DZ807" s="3"/>
      <c r="EA807" s="3"/>
      <c r="EB807" s="3"/>
      <c r="EC807" s="3"/>
      <c r="ED807" s="3"/>
      <c r="EE807" s="3"/>
      <c r="EF807" s="3"/>
      <c r="EG807" s="3"/>
      <c r="EH807" s="3"/>
      <c r="EI807"/>
      <c r="EJ807"/>
      <c r="EK807"/>
      <c r="EL807"/>
      <c r="EM807"/>
      <c r="EN807"/>
      <c r="EO807"/>
      <c r="EP807"/>
      <c r="EQ807"/>
      <c r="ER807"/>
      <c r="ES807" s="56" t="s">
        <v>1834</v>
      </c>
      <c r="ET807" s="1824">
        <f>SUM(DU805:EX805)</f>
        <v>0</v>
      </c>
      <c r="EU807" s="1825"/>
      <c r="EV807" s="1825"/>
      <c r="EW807" s="1825"/>
      <c r="EX807" s="1826"/>
    </row>
    <row r="808" spans="1:154" s="4" customFormat="1" ht="12.95" customHeight="1">
      <c r="A808"/>
      <c r="B808"/>
      <c r="C808"/>
      <c r="D808"/>
      <c r="E808"/>
      <c r="F808"/>
      <c r="G808"/>
      <c r="H808"/>
      <c r="I808"/>
      <c r="J808" s="45"/>
      <c r="K808" s="5"/>
      <c r="L808" s="5"/>
      <c r="M808" s="5"/>
      <c r="N808" s="5"/>
      <c r="O808" s="5"/>
      <c r="P808" s="5"/>
      <c r="Q808" s="5"/>
      <c r="R808" s="5"/>
      <c r="S808" s="5"/>
      <c r="T808" s="5"/>
      <c r="U808" s="5"/>
      <c r="V808" s="5"/>
      <c r="W808" s="5"/>
      <c r="X808" s="54" t="s">
        <v>161</v>
      </c>
      <c r="Y808" s="1675">
        <f>O761+AC785+AC805</f>
        <v>187568</v>
      </c>
      <c r="Z808" s="1675"/>
      <c r="AA808" s="1675"/>
      <c r="AB808" s="1675"/>
      <c r="AC808" s="1675"/>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1616</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5"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675">
        <f>(O761+AC785+AC805)*12</f>
        <v>2250816</v>
      </c>
      <c r="Z809" s="1675"/>
      <c r="AA809" s="1675"/>
      <c r="AB809" s="1675"/>
      <c r="AC809" s="1675"/>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2.95"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522">
        <f>CP761+CP785+CP805</f>
        <v>14</v>
      </c>
      <c r="CQ810" s="1523"/>
      <c r="CR810" s="1523"/>
      <c r="CS810" s="1523"/>
      <c r="CT810" s="1524"/>
      <c r="CU810" s="1522">
        <f>CU761+CU785+CU805</f>
        <v>39</v>
      </c>
      <c r="CV810" s="1523"/>
      <c r="CW810" s="1523"/>
      <c r="CX810" s="1523"/>
      <c r="CY810" s="1524"/>
      <c r="CZ810" s="1522">
        <f>CZ761+CZ785+CZ805</f>
        <v>28</v>
      </c>
      <c r="DA810" s="1523"/>
      <c r="DB810" s="1523"/>
      <c r="DC810" s="1523"/>
      <c r="DD810" s="1524"/>
      <c r="DE810" s="1522">
        <f>DE761+DE785+DE805</f>
        <v>28</v>
      </c>
      <c r="DF810" s="1523"/>
      <c r="DG810" s="1523"/>
      <c r="DH810" s="1523"/>
      <c r="DI810" s="1524"/>
      <c r="DJ810" s="1522">
        <f>DJ761+DJ785+DJ805</f>
        <v>0</v>
      </c>
      <c r="DK810" s="1523"/>
      <c r="DL810" s="1523"/>
      <c r="DM810" s="1523"/>
      <c r="DN810" s="1524"/>
      <c r="DO810" s="1519">
        <f>DO805+DO785+DO761</f>
        <v>0</v>
      </c>
      <c r="DP810" s="1520"/>
      <c r="DQ810" s="1520"/>
      <c r="DR810" s="1520"/>
      <c r="DS810" s="1521"/>
      <c r="DT810" s="3"/>
      <c r="DU810" s="852">
        <f>DU763+DU808</f>
        <v>190</v>
      </c>
      <c r="DV810" s="57" t="s">
        <v>1830</v>
      </c>
    </row>
    <row r="811" spans="1:154" s="4" customFormat="1" ht="12.95" customHeight="1">
      <c r="A811" s="2" t="s">
        <v>587</v>
      </c>
      <c r="B811" s="2"/>
      <c r="C811" s="2" t="s">
        <v>610</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2.95" customHeight="1">
      <c r="A812" s="2"/>
      <c r="B812" s="2"/>
      <c r="C812" s="2" t="s">
        <v>914</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2.95"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2.95" customHeight="1">
      <c r="A814"/>
      <c r="B814"/>
      <c r="C814"/>
      <c r="D814"/>
      <c r="E814"/>
      <c r="F814"/>
      <c r="G814"/>
      <c r="H814" s="45" t="s">
        <v>356</v>
      </c>
      <c r="I814" s="5"/>
      <c r="J814" s="5"/>
      <c r="K814" s="5"/>
      <c r="L814" s="5"/>
      <c r="M814" s="5"/>
      <c r="N814" s="5"/>
      <c r="O814" s="5"/>
      <c r="P814" s="5"/>
      <c r="Q814" s="5"/>
      <c r="R814" s="5"/>
      <c r="S814" s="5"/>
      <c r="T814" s="5"/>
      <c r="U814" s="5"/>
      <c r="V814" s="5"/>
      <c r="W814" s="5"/>
      <c r="X814" s="5"/>
      <c r="Y814" s="5"/>
      <c r="Z814" s="1618">
        <v>53</v>
      </c>
      <c r="AA814" s="1619"/>
      <c r="AB814" s="1619"/>
      <c r="AC814" s="1619"/>
      <c r="AD814" s="1619"/>
      <c r="AE814" s="1620"/>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2.95" customHeight="1">
      <c r="A815"/>
      <c r="B815"/>
      <c r="C815"/>
      <c r="D815"/>
      <c r="E815"/>
      <c r="F815"/>
      <c r="G815"/>
      <c r="H815" s="45" t="s">
        <v>357</v>
      </c>
      <c r="I815" s="5"/>
      <c r="J815" s="5"/>
      <c r="K815" s="5"/>
      <c r="L815" s="5"/>
      <c r="M815" s="5"/>
      <c r="N815" s="5"/>
      <c r="O815" s="5"/>
      <c r="P815" s="5"/>
      <c r="Q815" s="5"/>
      <c r="R815" s="5"/>
      <c r="S815" s="5"/>
      <c r="T815" s="5"/>
      <c r="U815" s="5"/>
      <c r="V815" s="5"/>
      <c r="W815" s="5"/>
      <c r="X815" s="5"/>
      <c r="Y815" s="5"/>
      <c r="Z815" s="1681">
        <v>20</v>
      </c>
      <c r="AA815" s="1619"/>
      <c r="AB815" s="1619"/>
      <c r="AC815" s="1619"/>
      <c r="AD815" s="1619"/>
      <c r="AE815" s="1620"/>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2.95"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685">
        <v>53462</v>
      </c>
      <c r="AA816" s="1587"/>
      <c r="AB816" s="1587"/>
      <c r="AC816" s="1587"/>
      <c r="AD816" s="1587"/>
      <c r="AE816" s="1588"/>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2.95"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611">
        <f>'Subsidy Contract Calculation'!J40</f>
        <v>687852</v>
      </c>
      <c r="AA817" s="1612"/>
      <c r="AB817" s="1612"/>
      <c r="AC817" s="1612"/>
      <c r="AD817" s="1612"/>
      <c r="AE817" s="1613"/>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2.95"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2.95" customHeight="1">
      <c r="A819" s="2" t="s">
        <v>588</v>
      </c>
      <c r="B819" s="2"/>
      <c r="C819" s="2" t="s">
        <v>287</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2.95"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2.95"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623">
        <v>13080</v>
      </c>
      <c r="AA821" s="1624"/>
      <c r="AB821" s="1624"/>
      <c r="AC821" s="1624"/>
      <c r="AD821" s="1624"/>
      <c r="AE821" s="1625"/>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2.95"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623"/>
      <c r="AA822" s="1624"/>
      <c r="AB822" s="1624"/>
      <c r="AC822" s="1624"/>
      <c r="AD822" s="1624"/>
      <c r="AE822" s="1625"/>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2.95"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623"/>
      <c r="AA823" s="1624"/>
      <c r="AB823" s="1624"/>
      <c r="AC823" s="1624"/>
      <c r="AD823" s="1624"/>
      <c r="AE823" s="1625"/>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2.95" customHeight="1">
      <c r="A824"/>
      <c r="B824"/>
      <c r="C824"/>
      <c r="D824"/>
      <c r="E824"/>
      <c r="F824"/>
      <c r="G824"/>
      <c r="H824" s="45" t="s">
        <v>39</v>
      </c>
      <c r="I824" s="5"/>
      <c r="J824" s="5"/>
      <c r="K824" s="5"/>
      <c r="L824" s="5"/>
      <c r="M824" s="5"/>
      <c r="N824" s="5"/>
      <c r="O824" s="5"/>
      <c r="P824" s="1376" t="s">
        <v>333</v>
      </c>
      <c r="Q824" s="1626"/>
      <c r="R824" s="1626"/>
      <c r="S824" s="1626"/>
      <c r="T824" s="1626"/>
      <c r="U824" s="1626"/>
      <c r="V824" s="1626"/>
      <c r="W824" s="1626"/>
      <c r="X824" s="1626"/>
      <c r="Y824" s="1627"/>
      <c r="Z824" s="1623"/>
      <c r="AA824" s="1624"/>
      <c r="AB824" s="1624"/>
      <c r="AC824" s="1624"/>
      <c r="AD824" s="1624"/>
      <c r="AE824" s="1625"/>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2.95"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611">
        <f>SUM(Z821:AE824)</f>
        <v>13080</v>
      </c>
      <c r="AA825" s="1612"/>
      <c r="AB825" s="1612"/>
      <c r="AC825" s="1612"/>
      <c r="AD825" s="1612"/>
      <c r="AE825" s="1613"/>
      <c r="AF825"/>
      <c r="AG825"/>
      <c r="AH825"/>
      <c r="AI825"/>
      <c r="AJ825"/>
      <c r="AK825"/>
      <c r="AL825"/>
      <c r="AM825"/>
      <c r="AN825"/>
      <c r="AO825"/>
      <c r="AP825"/>
      <c r="AQ825"/>
      <c r="AR825"/>
      <c r="AS825"/>
      <c r="AT825"/>
      <c r="AU825" s="3"/>
      <c r="AV825"/>
      <c r="AW825"/>
      <c r="AX825"/>
      <c r="AY825"/>
      <c r="AZ825" s="30"/>
      <c r="BA825" s="30"/>
      <c r="BB825" s="14"/>
      <c r="BC825" s="14"/>
    </row>
    <row r="826" spans="1:110" s="4" customFormat="1" ht="12.95" customHeight="1">
      <c r="A826"/>
      <c r="B826"/>
      <c r="C826"/>
      <c r="D826"/>
      <c r="E826"/>
      <c r="F826"/>
      <c r="G826"/>
      <c r="H826" s="45"/>
      <c r="I826" s="5"/>
      <c r="J826" s="5"/>
      <c r="K826" s="5"/>
      <c r="L826" s="5"/>
      <c r="M826" s="5"/>
      <c r="N826" s="5"/>
      <c r="O826" s="5"/>
      <c r="P826" s="5"/>
      <c r="Q826" s="5"/>
      <c r="R826" s="5"/>
      <c r="S826" s="5"/>
      <c r="T826" s="5"/>
      <c r="U826" s="5"/>
      <c r="V826" s="5"/>
      <c r="W826" s="5"/>
      <c r="X826" s="5"/>
      <c r="Y826" s="53" t="s">
        <v>642</v>
      </c>
      <c r="Z826" s="1611">
        <f>Z825+Y809+Z817</f>
        <v>2951748</v>
      </c>
      <c r="AA826" s="1612"/>
      <c r="AB826" s="1612"/>
      <c r="AC826" s="1612"/>
      <c r="AD826" s="1612"/>
      <c r="AE826" s="1613"/>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2.95"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2.95" customHeight="1">
      <c r="A828" s="2" t="s">
        <v>590</v>
      </c>
      <c r="B828" s="2"/>
      <c r="C828" s="2" t="s">
        <v>424</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2.95" customHeight="1">
      <c r="A829"/>
      <c r="B829"/>
      <c r="C829" s="22" t="s">
        <v>815</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2.95"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2.95" customHeight="1">
      <c r="A831"/>
      <c r="B831"/>
      <c r="C831" s="41"/>
      <c r="D831" s="42"/>
      <c r="E831" s="42"/>
      <c r="F831" s="42"/>
      <c r="G831" s="42"/>
      <c r="H831" s="42"/>
      <c r="I831" s="42"/>
      <c r="J831" s="42"/>
      <c r="K831" s="42"/>
      <c r="L831" s="58"/>
      <c r="M831" s="1565" t="s">
        <v>126</v>
      </c>
      <c r="N831" s="1565"/>
      <c r="O831" s="1565"/>
      <c r="P831" s="1644"/>
      <c r="Q831" s="1654" t="s">
        <v>289</v>
      </c>
      <c r="R831" s="1654"/>
      <c r="S831" s="1654"/>
      <c r="T831" s="1654"/>
      <c r="U831" s="1654" t="s">
        <v>290</v>
      </c>
      <c r="V831" s="1654"/>
      <c r="W831" s="1654"/>
      <c r="X831" s="1654"/>
      <c r="Y831" s="1654" t="s">
        <v>291</v>
      </c>
      <c r="Z831" s="1654"/>
      <c r="AA831" s="1654"/>
      <c r="AB831" s="1654"/>
      <c r="AC831" s="1654" t="s">
        <v>360</v>
      </c>
      <c r="AD831" s="1654"/>
      <c r="AE831" s="1654"/>
      <c r="AF831" s="1654"/>
      <c r="AG831" s="1697" t="s">
        <v>334</v>
      </c>
      <c r="AH831" s="1697"/>
      <c r="AI831" s="1697"/>
      <c r="AJ831" s="1697"/>
      <c r="AK831"/>
      <c r="AL831" s="3"/>
      <c r="AM831" s="3"/>
      <c r="AN831" s="3"/>
      <c r="AO831" s="3"/>
      <c r="AP831" s="3"/>
      <c r="AQ831" s="3"/>
      <c r="AR831" s="3"/>
      <c r="AS831" s="3"/>
      <c r="AT831" s="3"/>
      <c r="AU831" s="3"/>
      <c r="AV831" s="3"/>
      <c r="AW831" s="3"/>
      <c r="AX831" s="3"/>
      <c r="AY831" s="3"/>
      <c r="AZ831" s="30"/>
      <c r="BA831" s="30"/>
      <c r="BB831" s="14"/>
      <c r="BC831" s="14"/>
    </row>
    <row r="832" spans="1:110" s="14" customFormat="1" ht="12.95" customHeight="1">
      <c r="A832"/>
      <c r="B832"/>
      <c r="C832" s="47"/>
      <c r="D832" s="48"/>
      <c r="E832" s="48"/>
      <c r="F832" s="48"/>
      <c r="G832" s="48"/>
      <c r="H832" s="48"/>
      <c r="I832" s="48"/>
      <c r="J832" s="48"/>
      <c r="K832" s="48"/>
      <c r="L832" s="49"/>
      <c r="M832" s="1360"/>
      <c r="N832" s="1360"/>
      <c r="O832" s="1360"/>
      <c r="P832" s="1361"/>
      <c r="Q832" s="1654"/>
      <c r="R832" s="1654"/>
      <c r="S832" s="1654"/>
      <c r="T832" s="1654"/>
      <c r="U832" s="1654"/>
      <c r="V832" s="1654"/>
      <c r="W832" s="1654"/>
      <c r="X832" s="1654"/>
      <c r="Y832" s="1654"/>
      <c r="Z832" s="1654"/>
      <c r="AA832" s="1654"/>
      <c r="AB832" s="1654"/>
      <c r="AC832" s="1654"/>
      <c r="AD832" s="1654"/>
      <c r="AE832" s="1654"/>
      <c r="AF832" s="1654"/>
      <c r="AG832" s="1697"/>
      <c r="AH832" s="1697"/>
      <c r="AI832" s="1697"/>
      <c r="AJ832" s="1697"/>
      <c r="AK832"/>
      <c r="AL832" s="3"/>
      <c r="AM832" s="3"/>
      <c r="AN832" s="3"/>
      <c r="AO832" s="3"/>
      <c r="AP832" s="3"/>
      <c r="AQ832" s="3"/>
      <c r="AR832" s="3"/>
      <c r="AS832" s="3"/>
      <c r="AT832" s="3"/>
      <c r="AU832"/>
      <c r="AV832" s="3"/>
      <c r="AW832" s="3"/>
      <c r="AX832" s="3"/>
      <c r="AY832" s="3"/>
      <c r="AZ832" s="30"/>
      <c r="BA832" s="30"/>
    </row>
    <row r="833" spans="1:53" s="14" customFormat="1" ht="12.95" customHeight="1">
      <c r="A833"/>
      <c r="B833"/>
      <c r="C833" s="1607" t="s">
        <v>40</v>
      </c>
      <c r="D833" s="1428"/>
      <c r="E833" s="1428"/>
      <c r="F833" s="1428"/>
      <c r="G833" s="1428"/>
      <c r="H833" s="1428"/>
      <c r="I833" s="48"/>
      <c r="J833" s="48"/>
      <c r="K833" s="48"/>
      <c r="L833" s="49"/>
      <c r="M833" s="1621">
        <v>22</v>
      </c>
      <c r="N833" s="1621"/>
      <c r="O833" s="1621"/>
      <c r="P833" s="1621"/>
      <c r="Q833" s="1621">
        <v>25</v>
      </c>
      <c r="R833" s="1621"/>
      <c r="S833" s="1621"/>
      <c r="T833" s="1621"/>
      <c r="U833" s="1621">
        <v>30</v>
      </c>
      <c r="V833" s="1621"/>
      <c r="W833" s="1621"/>
      <c r="X833" s="1621"/>
      <c r="Y833" s="1621">
        <v>35</v>
      </c>
      <c r="Z833" s="1621"/>
      <c r="AA833" s="1621"/>
      <c r="AB833" s="1621"/>
      <c r="AC833" s="1406"/>
      <c r="AD833" s="1407"/>
      <c r="AE833" s="1407"/>
      <c r="AF833" s="1408"/>
      <c r="AG833" s="1406"/>
      <c r="AH833" s="1407"/>
      <c r="AI833" s="1407"/>
      <c r="AJ833" s="1408"/>
      <c r="AK833"/>
      <c r="AL833" s="3"/>
      <c r="AM833" s="3"/>
      <c r="AN833" s="3"/>
      <c r="AO833" s="3"/>
      <c r="AP833" s="3"/>
      <c r="AQ833" s="3"/>
      <c r="AR833" s="3"/>
      <c r="AS833" s="3"/>
      <c r="AT833" s="3"/>
      <c r="AU833"/>
      <c r="AV833" s="3"/>
      <c r="AW833" s="3"/>
      <c r="AX833" s="3"/>
      <c r="AY833" s="3"/>
      <c r="AZ833" s="30"/>
      <c r="BA833" s="30"/>
    </row>
    <row r="834" spans="1:53" s="14" customFormat="1" ht="12.95" customHeight="1">
      <c r="A834"/>
      <c r="B834"/>
      <c r="C834" s="1614" t="s">
        <v>41</v>
      </c>
      <c r="D834" s="1615"/>
      <c r="E834" s="1615"/>
      <c r="F834" s="1615"/>
      <c r="G834" s="1615"/>
      <c r="H834" s="1615"/>
      <c r="I834" s="5"/>
      <c r="J834" s="5"/>
      <c r="K834" s="5"/>
      <c r="L834" s="46"/>
      <c r="M834" s="1621"/>
      <c r="N834" s="1621"/>
      <c r="O834" s="1621"/>
      <c r="P834" s="1621"/>
      <c r="Q834" s="1621"/>
      <c r="R834" s="1621"/>
      <c r="S834" s="1621"/>
      <c r="T834" s="1621"/>
      <c r="U834" s="1621"/>
      <c r="V834" s="1621"/>
      <c r="W834" s="1621"/>
      <c r="X834" s="1621"/>
      <c r="Y834" s="1621"/>
      <c r="Z834" s="1621"/>
      <c r="AA834" s="1621"/>
      <c r="AB834" s="1621"/>
      <c r="AC834" s="1406"/>
      <c r="AD834" s="1407"/>
      <c r="AE834" s="1407"/>
      <c r="AF834" s="1408"/>
      <c r="AG834" s="1406"/>
      <c r="AH834" s="1407"/>
      <c r="AI834" s="1407"/>
      <c r="AJ834" s="1408"/>
      <c r="AK834"/>
      <c r="AL834" s="3"/>
      <c r="AM834" s="3"/>
      <c r="AN834" s="3"/>
      <c r="AO834" s="3"/>
      <c r="AP834" s="3"/>
      <c r="AQ834" s="3"/>
      <c r="AR834" s="3"/>
      <c r="AS834" s="3"/>
      <c r="AT834" s="3"/>
      <c r="AU834"/>
      <c r="AV834" s="3"/>
      <c r="AW834" s="3"/>
      <c r="AX834" s="3"/>
      <c r="AY834" s="3"/>
      <c r="AZ834" s="30"/>
      <c r="BA834" s="30"/>
    </row>
    <row r="835" spans="1:53" s="14" customFormat="1" ht="12.95" customHeight="1">
      <c r="A835"/>
      <c r="B835"/>
      <c r="C835" s="1614" t="s">
        <v>42</v>
      </c>
      <c r="D835" s="1615"/>
      <c r="E835" s="1615"/>
      <c r="F835" s="1615"/>
      <c r="G835" s="1615"/>
      <c r="H835" s="1615"/>
      <c r="I835" s="60"/>
      <c r="J835" s="60"/>
      <c r="K835" s="60"/>
      <c r="L835" s="61"/>
      <c r="M835" s="1621">
        <v>14</v>
      </c>
      <c r="N835" s="1621"/>
      <c r="O835" s="1621"/>
      <c r="P835" s="1621"/>
      <c r="Q835" s="1621">
        <v>16</v>
      </c>
      <c r="R835" s="1621"/>
      <c r="S835" s="1621"/>
      <c r="T835" s="1621"/>
      <c r="U835" s="1621">
        <v>23</v>
      </c>
      <c r="V835" s="1621"/>
      <c r="W835" s="1621"/>
      <c r="X835" s="1621"/>
      <c r="Y835" s="1621">
        <v>30</v>
      </c>
      <c r="Z835" s="1621"/>
      <c r="AA835" s="1621"/>
      <c r="AB835" s="1621"/>
      <c r="AC835" s="1406"/>
      <c r="AD835" s="1407"/>
      <c r="AE835" s="1407"/>
      <c r="AF835" s="1408"/>
      <c r="AG835" s="1406"/>
      <c r="AH835" s="1407"/>
      <c r="AI835" s="1407"/>
      <c r="AJ835" s="1408"/>
      <c r="AK835"/>
      <c r="AL835" s="3"/>
      <c r="AM835" s="3"/>
      <c r="AN835" s="3"/>
      <c r="AO835" s="3"/>
      <c r="AP835" s="3"/>
      <c r="AQ835" s="3"/>
      <c r="AR835" s="3"/>
      <c r="AS835" s="3"/>
      <c r="AT835" s="3"/>
      <c r="AU835"/>
      <c r="AV835" s="3"/>
      <c r="AW835" s="3"/>
      <c r="AX835" s="3"/>
      <c r="AY835" s="3"/>
      <c r="AZ835" s="30"/>
      <c r="BA835" s="30"/>
    </row>
    <row r="836" spans="1:53" s="14" customFormat="1" ht="12.95" customHeight="1">
      <c r="A836"/>
      <c r="B836"/>
      <c r="C836" s="1614" t="s">
        <v>760</v>
      </c>
      <c r="D836" s="1615"/>
      <c r="E836" s="1615"/>
      <c r="F836" s="1615"/>
      <c r="G836" s="1615"/>
      <c r="H836" s="1615"/>
      <c r="I836" s="60"/>
      <c r="J836" s="60"/>
      <c r="K836" s="60"/>
      <c r="L836" s="61"/>
      <c r="M836" s="1621"/>
      <c r="N836" s="1621"/>
      <c r="O836" s="1621"/>
      <c r="P836" s="1621"/>
      <c r="Q836" s="1621"/>
      <c r="R836" s="1621"/>
      <c r="S836" s="1621"/>
      <c r="T836" s="1621"/>
      <c r="U836" s="1621"/>
      <c r="V836" s="1621"/>
      <c r="W836" s="1621"/>
      <c r="X836" s="1621"/>
      <c r="Y836" s="1621"/>
      <c r="Z836" s="1621"/>
      <c r="AA836" s="1621"/>
      <c r="AB836" s="1621"/>
      <c r="AC836" s="1406"/>
      <c r="AD836" s="1407"/>
      <c r="AE836" s="1407"/>
      <c r="AF836" s="1408"/>
      <c r="AG836" s="1406"/>
      <c r="AH836" s="1407"/>
      <c r="AI836" s="1407"/>
      <c r="AJ836" s="1408"/>
      <c r="AK836"/>
      <c r="AL836" s="3"/>
      <c r="AM836" s="3"/>
      <c r="AN836" s="3"/>
      <c r="AO836" s="3"/>
      <c r="AP836" s="3"/>
      <c r="AQ836" s="3"/>
      <c r="AR836" s="3"/>
      <c r="AS836" s="3"/>
      <c r="AT836" s="3"/>
      <c r="AU836"/>
      <c r="AV836" s="3"/>
      <c r="AW836" s="3"/>
      <c r="AX836" s="3"/>
      <c r="AY836" s="3"/>
      <c r="AZ836" s="30"/>
      <c r="BA836" s="30"/>
    </row>
    <row r="837" spans="1:53" s="14" customFormat="1" ht="12.95" customHeight="1">
      <c r="A837"/>
      <c r="B837"/>
      <c r="C837" s="1614" t="s">
        <v>457</v>
      </c>
      <c r="D837" s="1615"/>
      <c r="E837" s="1615"/>
      <c r="F837" s="1615"/>
      <c r="G837" s="1615"/>
      <c r="H837" s="1615"/>
      <c r="I837" s="60"/>
      <c r="J837" s="60"/>
      <c r="K837" s="60"/>
      <c r="L837" s="61"/>
      <c r="M837" s="1621">
        <v>42</v>
      </c>
      <c r="N837" s="1621"/>
      <c r="O837" s="1621"/>
      <c r="P837" s="1621"/>
      <c r="Q837" s="1621">
        <v>51</v>
      </c>
      <c r="R837" s="1621"/>
      <c r="S837" s="1621"/>
      <c r="T837" s="1621"/>
      <c r="U837" s="1621">
        <v>74</v>
      </c>
      <c r="V837" s="1621"/>
      <c r="W837" s="1621"/>
      <c r="X837" s="1621"/>
      <c r="Y837" s="1621">
        <v>97</v>
      </c>
      <c r="Z837" s="1621"/>
      <c r="AA837" s="1621"/>
      <c r="AB837" s="1621"/>
      <c r="AC837" s="1406"/>
      <c r="AD837" s="1407"/>
      <c r="AE837" s="1407"/>
      <c r="AF837" s="1408"/>
      <c r="AG837" s="1406"/>
      <c r="AH837" s="1407"/>
      <c r="AI837" s="1407"/>
      <c r="AJ837" s="1408"/>
      <c r="AK837"/>
      <c r="AL837" s="3"/>
      <c r="AM837" s="3"/>
      <c r="AN837" s="3"/>
      <c r="AO837" s="3"/>
      <c r="AP837" s="3"/>
      <c r="AQ837" s="3"/>
      <c r="AR837" s="3"/>
      <c r="AS837" s="3"/>
      <c r="AT837" s="3"/>
      <c r="AU837"/>
      <c r="AV837" s="3"/>
      <c r="AW837" s="3"/>
      <c r="AX837" s="3"/>
      <c r="AY837" s="3"/>
      <c r="AZ837" s="30"/>
      <c r="BA837" s="30"/>
    </row>
    <row r="838" spans="1:53" s="14" customFormat="1" ht="12.95" customHeight="1">
      <c r="A838"/>
      <c r="B838"/>
      <c r="C838" s="1686" t="s">
        <v>781</v>
      </c>
      <c r="D838" s="1615"/>
      <c r="E838" s="1615"/>
      <c r="F838" s="1615"/>
      <c r="G838" s="1615"/>
      <c r="H838" s="1615"/>
      <c r="I838" s="60"/>
      <c r="J838" s="60"/>
      <c r="K838" s="60"/>
      <c r="L838" s="61"/>
      <c r="M838" s="1621"/>
      <c r="N838" s="1621"/>
      <c r="O838" s="1621"/>
      <c r="P838" s="1621"/>
      <c r="Q838" s="1621"/>
      <c r="R838" s="1621"/>
      <c r="S838" s="1621"/>
      <c r="T838" s="1621"/>
      <c r="U838" s="1621"/>
      <c r="V838" s="1621"/>
      <c r="W838" s="1621"/>
      <c r="X838" s="1621"/>
      <c r="Y838" s="1621"/>
      <c r="Z838" s="1621"/>
      <c r="AA838" s="1621"/>
      <c r="AB838" s="1621"/>
      <c r="AC838" s="1406"/>
      <c r="AD838" s="1407"/>
      <c r="AE838" s="1407"/>
      <c r="AF838" s="1408"/>
      <c r="AG838" s="1406"/>
      <c r="AH838" s="1407"/>
      <c r="AI838" s="1407"/>
      <c r="AJ838" s="1408"/>
      <c r="AK838"/>
      <c r="AL838" s="3"/>
      <c r="AM838" s="3"/>
      <c r="AN838" s="3"/>
      <c r="AO838" s="3"/>
      <c r="AP838" s="3"/>
      <c r="AQ838" s="3"/>
      <c r="AR838" s="3"/>
      <c r="AS838" s="3"/>
      <c r="AT838" s="3"/>
      <c r="AU838"/>
      <c r="AV838" s="3"/>
      <c r="AW838" s="3"/>
      <c r="AX838" s="3"/>
      <c r="AY838" s="3"/>
      <c r="AZ838" s="30"/>
      <c r="BA838" s="30"/>
    </row>
    <row r="839" spans="1:53" s="14" customFormat="1" ht="12.95" customHeight="1">
      <c r="A839"/>
      <c r="B839"/>
      <c r="C839" s="59" t="s">
        <v>292</v>
      </c>
      <c r="D839" s="60"/>
      <c r="E839" s="60"/>
      <c r="F839" s="1376" t="s">
        <v>2750</v>
      </c>
      <c r="G839" s="1626"/>
      <c r="H839" s="1626"/>
      <c r="I839" s="1626"/>
      <c r="J839" s="1626"/>
      <c r="K839" s="1626"/>
      <c r="L839" s="1626"/>
      <c r="M839" s="1621">
        <v>15</v>
      </c>
      <c r="N839" s="1621"/>
      <c r="O839" s="1621"/>
      <c r="P839" s="1621"/>
      <c r="Q839" s="1621">
        <v>17</v>
      </c>
      <c r="R839" s="1621"/>
      <c r="S839" s="1621"/>
      <c r="T839" s="1621"/>
      <c r="U839" s="1621">
        <v>24</v>
      </c>
      <c r="V839" s="1621"/>
      <c r="W839" s="1621"/>
      <c r="X839" s="1621"/>
      <c r="Y839" s="1621">
        <v>31</v>
      </c>
      <c r="Z839" s="1621"/>
      <c r="AA839" s="1621"/>
      <c r="AB839" s="1621"/>
      <c r="AC839" s="1406"/>
      <c r="AD839" s="1407"/>
      <c r="AE839" s="1407"/>
      <c r="AF839" s="1408"/>
      <c r="AG839" s="1406"/>
      <c r="AH839" s="1407"/>
      <c r="AI839" s="1407"/>
      <c r="AJ839" s="1408"/>
      <c r="AK839"/>
      <c r="AL839" s="3"/>
      <c r="AM839" s="3"/>
      <c r="AN839" s="3"/>
      <c r="AO839" s="3"/>
      <c r="AP839" s="3"/>
      <c r="AQ839" s="3"/>
      <c r="AR839" s="3"/>
      <c r="AS839" s="3"/>
      <c r="AT839" s="3"/>
      <c r="AU839"/>
      <c r="AV839" s="3"/>
      <c r="AW839" s="3"/>
      <c r="AX839" s="3"/>
      <c r="AY839" s="3"/>
      <c r="AZ839" s="30"/>
      <c r="BA839" s="30"/>
    </row>
    <row r="840" spans="1:53" s="14" customFormat="1" ht="12.95" customHeight="1">
      <c r="A840"/>
      <c r="B840"/>
      <c r="C840" s="1500" t="s">
        <v>124</v>
      </c>
      <c r="D840" s="1501"/>
      <c r="E840" s="1501"/>
      <c r="F840" s="1501"/>
      <c r="G840" s="1501"/>
      <c r="H840" s="1501"/>
      <c r="I840" s="1501"/>
      <c r="J840" s="1501"/>
      <c r="K840" s="1501"/>
      <c r="L840" s="1502"/>
      <c r="M840" s="1641">
        <f>SUM(M833:P839)</f>
        <v>93</v>
      </c>
      <c r="N840" s="1641"/>
      <c r="O840" s="1641"/>
      <c r="P840" s="1641"/>
      <c r="Q840" s="1641">
        <f>SUM(Q833:T839)</f>
        <v>109</v>
      </c>
      <c r="R840" s="1641"/>
      <c r="S840" s="1641"/>
      <c r="T840" s="1641"/>
      <c r="U840" s="1641">
        <f>SUM(U833:X839)</f>
        <v>151</v>
      </c>
      <c r="V840" s="1641"/>
      <c r="W840" s="1641"/>
      <c r="X840" s="1641"/>
      <c r="Y840" s="1641">
        <f>SUM(Y833:AB839)</f>
        <v>193</v>
      </c>
      <c r="Z840" s="1641"/>
      <c r="AA840" s="1641"/>
      <c r="AB840" s="1641"/>
      <c r="AC840" s="1641">
        <f>SUM(AC833:AF839)</f>
        <v>0</v>
      </c>
      <c r="AD840" s="1641"/>
      <c r="AE840" s="1641"/>
      <c r="AF840" s="1641"/>
      <c r="AG840" s="1641">
        <f>SUM(AG833:AJ839)</f>
        <v>0</v>
      </c>
      <c r="AH840" s="1641"/>
      <c r="AI840" s="1641"/>
      <c r="AJ840" s="1641"/>
      <c r="AK840"/>
      <c r="AL840" s="3"/>
      <c r="AM840" s="3"/>
      <c r="AN840" s="3"/>
      <c r="AO840" s="3"/>
      <c r="AP840" s="3"/>
      <c r="AQ840" s="3"/>
      <c r="AR840" s="3"/>
      <c r="AS840" s="3"/>
      <c r="AT840" s="3"/>
      <c r="AU840"/>
      <c r="AV840" s="3"/>
      <c r="AW840" s="3"/>
      <c r="AX840" s="3"/>
      <c r="AY840" s="3"/>
      <c r="AZ840" s="30"/>
      <c r="BA840" s="30"/>
    </row>
    <row r="841" spans="1:53" s="14" customFormat="1" ht="12.95" customHeight="1">
      <c r="A841"/>
      <c r="B841"/>
      <c r="C841" s="57" t="s">
        <v>782</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2.95" customHeight="1">
      <c r="A842"/>
      <c r="B842"/>
      <c r="C842" s="57" t="s">
        <v>783</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2.95"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2.95"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2.95" customHeight="1">
      <c r="A845"/>
      <c r="B845"/>
      <c r="C845" s="1682" t="s">
        <v>2729</v>
      </c>
      <c r="D845" s="1683"/>
      <c r="E845" s="1683"/>
      <c r="F845" s="1683"/>
      <c r="G845" s="1683"/>
      <c r="H845" s="1683"/>
      <c r="I845" s="1683"/>
      <c r="J845" s="1683"/>
      <c r="K845" s="1683"/>
      <c r="L845" s="1683"/>
      <c r="M845" s="1683"/>
      <c r="N845" s="1683"/>
      <c r="O845" s="1683"/>
      <c r="P845" s="1683"/>
      <c r="Q845" s="1683"/>
      <c r="R845" s="1683"/>
      <c r="S845" s="1683"/>
      <c r="T845" s="1683"/>
      <c r="U845" s="1683"/>
      <c r="V845" s="1683"/>
      <c r="W845" s="1683"/>
      <c r="X845" s="1683"/>
      <c r="Y845" s="1683"/>
      <c r="Z845" s="1683"/>
      <c r="AA845" s="1683"/>
      <c r="AB845" s="1683"/>
      <c r="AC845" s="1683"/>
      <c r="AD845" s="1683"/>
      <c r="AE845" s="1683"/>
      <c r="AF845" s="1683"/>
      <c r="AG845" s="1683"/>
      <c r="AH845" s="1683"/>
      <c r="AI845" s="1683"/>
      <c r="AJ845" s="1684"/>
      <c r="AK845"/>
      <c r="AL845" s="3"/>
      <c r="AM845" s="3"/>
      <c r="AN845" s="3"/>
      <c r="AO845" s="3"/>
      <c r="AP845" s="3"/>
      <c r="AQ845" s="3"/>
      <c r="AR845" s="3"/>
      <c r="AS845" s="3"/>
      <c r="AT845" s="3"/>
      <c r="AU845"/>
      <c r="AV845"/>
      <c r="AW845"/>
      <c r="AX845"/>
      <c r="AY845"/>
      <c r="AZ845" s="30"/>
      <c r="BA845" s="30"/>
    </row>
    <row r="846" spans="1:53" s="14" customFormat="1" ht="12.95" customHeight="1">
      <c r="A846"/>
      <c r="B846" s="4"/>
      <c r="C846" s="3" t="s">
        <v>1154</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2.9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2.95" customHeight="1">
      <c r="A848" s="2" t="s">
        <v>465</v>
      </c>
      <c r="B848"/>
      <c r="C848" s="2" t="s">
        <v>758</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2.9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653"/>
      <c r="BJ849" s="1653"/>
      <c r="BK849" s="1653"/>
      <c r="BL849" s="1653"/>
    </row>
    <row r="850" spans="1:64" s="14" customFormat="1" ht="12.95" customHeight="1">
      <c r="A850"/>
      <c r="B850"/>
      <c r="C850" s="2" t="s">
        <v>342</v>
      </c>
      <c r="D850"/>
      <c r="E850"/>
      <c r="F850"/>
      <c r="G850"/>
      <c r="H850"/>
      <c r="I850"/>
      <c r="J850" s="45" t="s">
        <v>355</v>
      </c>
      <c r="K850" s="5"/>
      <c r="L850" s="5"/>
      <c r="M850" s="5"/>
      <c r="N850" s="5"/>
      <c r="O850" s="5"/>
      <c r="P850" s="5"/>
      <c r="Q850" s="5"/>
      <c r="R850" s="5"/>
      <c r="S850" s="5"/>
      <c r="T850" s="5"/>
      <c r="U850" s="5"/>
      <c r="V850" s="46"/>
      <c r="W850" s="1622">
        <v>5995</v>
      </c>
      <c r="X850" s="1622"/>
      <c r="Y850" s="1622"/>
      <c r="Z850" s="1622"/>
      <c r="AA850" s="1622"/>
      <c r="AB850" s="1622"/>
      <c r="AC850" s="1622"/>
      <c r="AD850"/>
      <c r="AE850"/>
      <c r="AF850"/>
      <c r="AG850"/>
      <c r="AH850"/>
      <c r="AI850"/>
      <c r="AJ850"/>
      <c r="AK850"/>
      <c r="AL850"/>
      <c r="AM850"/>
      <c r="AN850"/>
      <c r="AO850"/>
      <c r="AP850"/>
      <c r="AQ850"/>
      <c r="AR850"/>
      <c r="AS850"/>
      <c r="AT850"/>
      <c r="AU850"/>
      <c r="AV850"/>
      <c r="AW850"/>
      <c r="AX850"/>
      <c r="AY850"/>
      <c r="AZ850" s="30"/>
      <c r="BA850" s="30"/>
    </row>
    <row r="851" spans="1:64" s="14" customFormat="1" ht="12.95" customHeight="1">
      <c r="A851"/>
      <c r="B851"/>
      <c r="C851"/>
      <c r="D851"/>
      <c r="E851"/>
      <c r="F851"/>
      <c r="G851"/>
      <c r="H851"/>
      <c r="I851"/>
      <c r="J851" s="45" t="s">
        <v>354</v>
      </c>
      <c r="K851" s="5"/>
      <c r="L851" s="5"/>
      <c r="M851" s="5"/>
      <c r="N851" s="5"/>
      <c r="O851" s="5"/>
      <c r="P851" s="5"/>
      <c r="Q851" s="5"/>
      <c r="R851" s="5"/>
      <c r="S851" s="5"/>
      <c r="T851" s="5"/>
      <c r="U851" s="5"/>
      <c r="V851" s="46"/>
      <c r="W851" s="1622">
        <v>17440</v>
      </c>
      <c r="X851" s="1622"/>
      <c r="Y851" s="1622"/>
      <c r="Z851" s="1622"/>
      <c r="AA851" s="1622"/>
      <c r="AB851" s="1622"/>
      <c r="AC851" s="1622"/>
      <c r="AD851"/>
      <c r="AE851"/>
      <c r="AF851"/>
      <c r="AG851"/>
      <c r="AH851"/>
      <c r="AI851"/>
      <c r="AJ851"/>
      <c r="AK851"/>
      <c r="AL851"/>
      <c r="AM851"/>
      <c r="AN851"/>
      <c r="AO851"/>
      <c r="AP851"/>
      <c r="AQ851"/>
      <c r="AR851"/>
      <c r="AS851"/>
      <c r="AT851"/>
      <c r="AU851"/>
      <c r="AV851"/>
      <c r="AW851"/>
      <c r="AX851"/>
      <c r="AY851"/>
      <c r="AZ851" s="30"/>
      <c r="BA851" s="30"/>
    </row>
    <row r="852" spans="1:64" ht="12.95" customHeight="1">
      <c r="J852" s="45" t="s">
        <v>353</v>
      </c>
      <c r="K852" s="5"/>
      <c r="L852" s="5"/>
      <c r="M852" s="5"/>
      <c r="N852" s="5"/>
      <c r="O852" s="5"/>
      <c r="P852" s="5"/>
      <c r="Q852" s="5"/>
      <c r="R852" s="5"/>
      <c r="S852" s="5"/>
      <c r="T852" s="5"/>
      <c r="U852" s="5"/>
      <c r="V852" s="46"/>
      <c r="W852" s="1622">
        <v>13000</v>
      </c>
      <c r="X852" s="1622"/>
      <c r="Y852" s="1622"/>
      <c r="Z852" s="1622"/>
      <c r="AA852" s="1622"/>
      <c r="AB852" s="1622"/>
      <c r="AC852" s="1622"/>
      <c r="AZ852" s="30"/>
      <c r="BA852" s="30"/>
      <c r="BB852" s="14"/>
      <c r="BC852" s="14"/>
      <c r="BD852" s="14"/>
      <c r="BE852" s="14"/>
      <c r="BF852" s="14"/>
      <c r="BG852" s="14"/>
      <c r="BH852" s="14"/>
      <c r="BI852" s="14"/>
      <c r="BJ852" s="14"/>
      <c r="BK852" s="14"/>
      <c r="BL852" s="14"/>
    </row>
    <row r="853" spans="1:64" ht="12.95" customHeight="1">
      <c r="J853" s="45" t="s">
        <v>352</v>
      </c>
      <c r="K853" s="5"/>
      <c r="L853" s="5"/>
      <c r="M853" s="5"/>
      <c r="N853" s="5"/>
      <c r="O853" s="5"/>
      <c r="P853" s="5"/>
      <c r="Q853" s="5"/>
      <c r="R853" s="5"/>
      <c r="S853" s="5"/>
      <c r="T853" s="5"/>
      <c r="U853" s="5"/>
      <c r="V853" s="46"/>
      <c r="W853" s="1622">
        <v>51775</v>
      </c>
      <c r="X853" s="1622"/>
      <c r="Y853" s="1622"/>
      <c r="Z853" s="1622"/>
      <c r="AA853" s="1622"/>
      <c r="AB853" s="1622"/>
      <c r="AC853" s="1622"/>
      <c r="AZ853" s="30"/>
      <c r="BA853" s="30"/>
      <c r="BB853" s="14"/>
      <c r="BC853" s="14"/>
      <c r="BD853" s="14"/>
      <c r="BE853" s="14"/>
      <c r="BF853" s="14"/>
      <c r="BG853" s="14"/>
      <c r="BH853" s="14"/>
      <c r="BI853" s="14"/>
      <c r="BJ853" s="14"/>
      <c r="BK853" s="14"/>
      <c r="BL853" s="14"/>
    </row>
    <row r="854" spans="1:64" ht="12.95" customHeight="1">
      <c r="J854" s="45" t="s">
        <v>169</v>
      </c>
      <c r="K854" s="5"/>
      <c r="L854" s="5"/>
      <c r="M854" s="1376" t="s">
        <v>2737</v>
      </c>
      <c r="N854" s="1626"/>
      <c r="O854" s="1626"/>
      <c r="P854" s="1626"/>
      <c r="Q854" s="1626"/>
      <c r="R854" s="1626"/>
      <c r="S854" s="1626"/>
      <c r="T854" s="1626"/>
      <c r="U854" s="1626"/>
      <c r="V854" s="1627"/>
      <c r="W854" s="1622">
        <v>27250</v>
      </c>
      <c r="X854" s="1622"/>
      <c r="Y854" s="1622"/>
      <c r="Z854" s="1622"/>
      <c r="AA854" s="1622"/>
      <c r="AB854" s="1622"/>
      <c r="AC854" s="1622"/>
      <c r="AZ854" s="30"/>
      <c r="BA854" s="30"/>
      <c r="BB854" s="14"/>
      <c r="BC854" s="14"/>
      <c r="BD854" s="14"/>
      <c r="BE854" s="14"/>
      <c r="BF854" s="14"/>
      <c r="BG854" s="14"/>
      <c r="BH854" s="14"/>
      <c r="BI854" s="14"/>
      <c r="BJ854" s="14"/>
      <c r="BK854" s="14"/>
      <c r="BL854" s="14"/>
    </row>
    <row r="855" spans="1:64" ht="12.95" customHeight="1">
      <c r="J855" s="45"/>
      <c r="K855" s="5"/>
      <c r="L855" s="5"/>
      <c r="M855" s="5"/>
      <c r="N855" s="5"/>
      <c r="O855" s="5"/>
      <c r="P855" s="5"/>
      <c r="Q855" s="5"/>
      <c r="R855" s="5"/>
      <c r="S855" s="5"/>
      <c r="T855" s="5"/>
      <c r="U855" s="5"/>
      <c r="V855" s="54" t="s">
        <v>341</v>
      </c>
      <c r="W855" s="1611">
        <f>SUM(W850:W854)</f>
        <v>115460</v>
      </c>
      <c r="X855" s="1612"/>
      <c r="Y855" s="1612"/>
      <c r="Z855" s="1612"/>
      <c r="AA855" s="1612"/>
      <c r="AB855" s="1612"/>
      <c r="AC855" s="1613"/>
      <c r="AZ855" s="30"/>
      <c r="BA855" s="30"/>
      <c r="BB855" s="14"/>
      <c r="BC855" s="14"/>
      <c r="BD855" s="14"/>
      <c r="BE855" s="14"/>
      <c r="BF855" s="14"/>
      <c r="BG855" s="14"/>
      <c r="BH855" s="14"/>
      <c r="BI855" s="14"/>
      <c r="BJ855" s="14"/>
      <c r="BK855" s="14"/>
      <c r="BL855" s="14"/>
    </row>
    <row r="856" spans="1:64" ht="12.95" customHeight="1">
      <c r="AZ856" s="30"/>
      <c r="BA856" s="30"/>
      <c r="BB856" s="14"/>
      <c r="BC856" s="14"/>
      <c r="BD856" s="14"/>
      <c r="BE856" s="14"/>
      <c r="BF856" s="14"/>
      <c r="BG856" s="1633"/>
      <c r="BH856" s="1633"/>
      <c r="BI856" s="1633"/>
      <c r="BJ856" s="1633"/>
      <c r="BK856" s="1633"/>
      <c r="BL856" s="1633"/>
    </row>
    <row r="857" spans="1:64" ht="12.95" customHeight="1">
      <c r="C857" s="2" t="s">
        <v>343</v>
      </c>
      <c r="J857" s="1500" t="s">
        <v>344</v>
      </c>
      <c r="K857" s="1501"/>
      <c r="L857" s="1501"/>
      <c r="M857" s="1501"/>
      <c r="N857" s="1501"/>
      <c r="O857" s="1501"/>
      <c r="P857" s="1501"/>
      <c r="Q857" s="1501"/>
      <c r="R857" s="1501"/>
      <c r="S857" s="1501"/>
      <c r="T857" s="1501"/>
      <c r="U857" s="1501"/>
      <c r="V857" s="1502"/>
      <c r="W857" s="1623">
        <v>86328</v>
      </c>
      <c r="X857" s="1624"/>
      <c r="Y857" s="1624"/>
      <c r="Z857" s="1624"/>
      <c r="AA857" s="1624"/>
      <c r="AB857" s="1624"/>
      <c r="AC857" s="1625"/>
      <c r="AD857" s="529"/>
      <c r="AZ857" s="30"/>
      <c r="BA857" s="30"/>
      <c r="BB857" s="14"/>
      <c r="BC857" s="14"/>
    </row>
    <row r="858" spans="1:64" ht="12.95" customHeight="1">
      <c r="AD858" s="529"/>
      <c r="AZ858" s="30"/>
      <c r="BA858" s="30"/>
      <c r="BB858" s="14"/>
      <c r="BC858" s="14"/>
    </row>
    <row r="859" spans="1:64" ht="12.95" customHeight="1">
      <c r="C859" s="2" t="s">
        <v>559</v>
      </c>
      <c r="J859" s="45" t="s">
        <v>351</v>
      </c>
      <c r="K859" s="5"/>
      <c r="L859" s="5"/>
      <c r="M859" s="5"/>
      <c r="N859" s="5"/>
      <c r="O859" s="5"/>
      <c r="P859" s="5"/>
      <c r="Q859" s="5"/>
      <c r="R859" s="5"/>
      <c r="S859" s="5"/>
      <c r="T859" s="5"/>
      <c r="U859" s="5"/>
      <c r="V859" s="46"/>
      <c r="W859" s="1628"/>
      <c r="X859" s="1628"/>
      <c r="Y859" s="1628"/>
      <c r="Z859" s="1628"/>
      <c r="AA859" s="1628"/>
      <c r="AB859" s="1628"/>
      <c r="AC859" s="1628"/>
      <c r="AZ859" s="1689"/>
      <c r="BA859" s="1689"/>
      <c r="BB859" s="14"/>
      <c r="BC859" s="14"/>
    </row>
    <row r="860" spans="1:64" ht="12.95" customHeight="1">
      <c r="J860" s="45" t="s">
        <v>350</v>
      </c>
      <c r="K860" s="5"/>
      <c r="L860" s="5"/>
      <c r="M860" s="5"/>
      <c r="N860" s="5"/>
      <c r="O860" s="5"/>
      <c r="P860" s="5"/>
      <c r="Q860" s="5"/>
      <c r="R860" s="5"/>
      <c r="S860" s="5"/>
      <c r="T860" s="5"/>
      <c r="U860" s="5"/>
      <c r="V860" s="46"/>
      <c r="W860" s="1628"/>
      <c r="X860" s="1628"/>
      <c r="Y860" s="1628"/>
      <c r="Z860" s="1628"/>
      <c r="AA860" s="1628"/>
      <c r="AB860" s="1628"/>
      <c r="AC860" s="1628"/>
      <c r="AZ860" s="30"/>
      <c r="BA860" s="30"/>
      <c r="BB860" s="14"/>
      <c r="BC860" s="14"/>
    </row>
    <row r="861" spans="1:64" ht="12.95" customHeight="1">
      <c r="J861" s="45" t="s">
        <v>457</v>
      </c>
      <c r="K861" s="5"/>
      <c r="L861" s="5"/>
      <c r="M861" s="5"/>
      <c r="N861" s="5"/>
      <c r="O861" s="5"/>
      <c r="P861" s="5"/>
      <c r="Q861" s="5"/>
      <c r="R861" s="5"/>
      <c r="S861" s="5"/>
      <c r="T861" s="5"/>
      <c r="U861" s="5"/>
      <c r="V861" s="46"/>
      <c r="W861" s="1628">
        <v>80850</v>
      </c>
      <c r="X861" s="1628"/>
      <c r="Y861" s="1628"/>
      <c r="Z861" s="1628"/>
      <c r="AA861" s="1628"/>
      <c r="AB861" s="1628"/>
      <c r="AC861" s="1628"/>
      <c r="AZ861" s="30"/>
      <c r="BA861" s="30"/>
      <c r="BB861" s="14"/>
      <c r="BC861" s="14"/>
    </row>
    <row r="862" spans="1:64" ht="12.95" customHeight="1">
      <c r="J862" s="62" t="s">
        <v>618</v>
      </c>
      <c r="K862" s="5"/>
      <c r="L862" s="5"/>
      <c r="M862" s="5"/>
      <c r="N862" s="5"/>
      <c r="O862" s="5"/>
      <c r="P862" s="5"/>
      <c r="Q862" s="5"/>
      <c r="R862" s="5"/>
      <c r="S862" s="5"/>
      <c r="T862" s="5"/>
      <c r="U862" s="5"/>
      <c r="V862" s="46"/>
      <c r="W862" s="1628">
        <v>62050</v>
      </c>
      <c r="X862" s="1628"/>
      <c r="Y862" s="1628"/>
      <c r="Z862" s="1628"/>
      <c r="AA862" s="1628"/>
      <c r="AB862" s="1628"/>
      <c r="AC862" s="1628"/>
      <c r="AZ862" s="34"/>
      <c r="BA862" s="34"/>
      <c r="BB862" s="34"/>
      <c r="BC862" s="34"/>
    </row>
    <row r="863" spans="1:64" ht="12.95" customHeight="1">
      <c r="J863" s="63"/>
      <c r="K863" s="48"/>
      <c r="L863" s="48"/>
      <c r="M863" s="48"/>
      <c r="N863" s="48"/>
      <c r="O863" s="48"/>
      <c r="P863" s="48"/>
      <c r="Q863" s="48"/>
      <c r="R863" s="48"/>
      <c r="S863" s="48"/>
      <c r="T863" s="48"/>
      <c r="U863" s="48"/>
      <c r="V863" s="54" t="s">
        <v>271</v>
      </c>
      <c r="W863" s="1694">
        <f>SUM(W859:W862)</f>
        <v>142900</v>
      </c>
      <c r="X863" s="1694"/>
      <c r="Y863" s="1694"/>
      <c r="Z863" s="1694"/>
      <c r="AA863" s="1694"/>
      <c r="AB863" s="1694"/>
      <c r="AC863" s="1694"/>
      <c r="AZ863" s="34"/>
      <c r="BA863" s="34"/>
      <c r="BB863" s="34"/>
      <c r="BC863" s="34"/>
    </row>
    <row r="864" spans="1:64" ht="12.95" customHeight="1">
      <c r="AZ864" s="34"/>
      <c r="BA864" s="34"/>
      <c r="BB864" s="34"/>
      <c r="BC864" s="34"/>
    </row>
    <row r="865" spans="3:55" ht="12.95" customHeight="1">
      <c r="C865" s="2" t="s">
        <v>345</v>
      </c>
      <c r="J865" s="45" t="s">
        <v>617</v>
      </c>
      <c r="K865" s="5"/>
      <c r="L865" s="5"/>
      <c r="M865" s="5"/>
      <c r="N865" s="5"/>
      <c r="O865" s="5"/>
      <c r="P865" s="5"/>
      <c r="Q865" s="5"/>
      <c r="R865" s="5"/>
      <c r="S865" s="5"/>
      <c r="T865" s="5"/>
      <c r="U865" s="5"/>
      <c r="V865" s="46"/>
      <c r="W865" s="1635">
        <v>206010</v>
      </c>
      <c r="X865" s="1636"/>
      <c r="Y865" s="1636"/>
      <c r="Z865" s="1636"/>
      <c r="AA865" s="1636"/>
      <c r="AB865" s="1636"/>
      <c r="AC865" s="1637"/>
      <c r="AD865" s="524"/>
      <c r="AZ865" s="34"/>
      <c r="BA865" s="34"/>
      <c r="BB865" s="34"/>
      <c r="BC865" s="34"/>
    </row>
    <row r="866" spans="3:55" ht="12.95" customHeight="1">
      <c r="C866" s="2" t="s">
        <v>346</v>
      </c>
      <c r="J866" s="121" t="s">
        <v>1641</v>
      </c>
      <c r="K866" s="5"/>
      <c r="L866" s="5"/>
      <c r="M866" s="5"/>
      <c r="N866" s="5"/>
      <c r="O866" s="5"/>
      <c r="P866" s="5"/>
      <c r="Q866" s="5"/>
      <c r="R866" s="5"/>
      <c r="S866" s="5"/>
      <c r="T866" s="1645">
        <v>1</v>
      </c>
      <c r="U866" s="1429"/>
      <c r="V866" s="1646"/>
      <c r="W866" s="865"/>
      <c r="X866" s="866"/>
      <c r="Y866" s="866"/>
      <c r="Z866" s="866"/>
      <c r="AA866" s="866"/>
      <c r="AB866" s="866"/>
      <c r="AC866" s="867"/>
      <c r="AD866" s="524"/>
      <c r="AZ866" s="34"/>
      <c r="BA866" s="34"/>
      <c r="BB866" s="34"/>
      <c r="BC866" s="34"/>
    </row>
    <row r="867" spans="3:55" ht="12.95" customHeight="1">
      <c r="C867" s="2"/>
      <c r="J867" s="45" t="s">
        <v>616</v>
      </c>
      <c r="K867" s="5"/>
      <c r="L867" s="5"/>
      <c r="M867" s="5"/>
      <c r="N867" s="5"/>
      <c r="O867" s="5"/>
      <c r="P867" s="5"/>
      <c r="Q867" s="5"/>
      <c r="R867" s="5"/>
      <c r="S867" s="5"/>
      <c r="T867" s="5"/>
      <c r="U867" s="5"/>
      <c r="V867" s="46"/>
      <c r="W867" s="1635"/>
      <c r="X867" s="1636"/>
      <c r="Y867" s="1636"/>
      <c r="Z867" s="1636"/>
      <c r="AA867" s="1636"/>
      <c r="AB867" s="1636"/>
      <c r="AC867" s="1637"/>
      <c r="AD867" s="529"/>
      <c r="AZ867" s="34"/>
      <c r="BA867" s="34"/>
      <c r="BB867" s="34"/>
      <c r="BC867" s="34"/>
    </row>
    <row r="868" spans="3:55" ht="12.95" customHeight="1">
      <c r="C868" s="2"/>
      <c r="J868" s="121" t="s">
        <v>1642</v>
      </c>
      <c r="K868" s="5"/>
      <c r="L868" s="5"/>
      <c r="M868" s="5"/>
      <c r="N868" s="5"/>
      <c r="O868" s="5"/>
      <c r="P868" s="5"/>
      <c r="Q868" s="5"/>
      <c r="R868" s="5"/>
      <c r="S868" s="5"/>
      <c r="T868" s="1645">
        <v>1</v>
      </c>
      <c r="U868" s="1429"/>
      <c r="V868" s="1646"/>
      <c r="W868" s="865"/>
      <c r="X868" s="866"/>
      <c r="Y868" s="866"/>
      <c r="Z868" s="866"/>
      <c r="AA868" s="866"/>
      <c r="AB868" s="866"/>
      <c r="AC868" s="867"/>
      <c r="AD868" s="529"/>
      <c r="AZ868" s="34"/>
      <c r="BA868" s="34"/>
      <c r="BB868" s="34"/>
      <c r="BC868" s="34"/>
    </row>
    <row r="869" spans="3:55" ht="12.95" customHeight="1">
      <c r="J869" s="45" t="s">
        <v>169</v>
      </c>
      <c r="K869" s="5"/>
      <c r="L869" s="5"/>
      <c r="M869" s="1376" t="s">
        <v>2738</v>
      </c>
      <c r="N869" s="1626"/>
      <c r="O869" s="1626"/>
      <c r="P869" s="1626"/>
      <c r="Q869" s="1626"/>
      <c r="R869" s="1626"/>
      <c r="S869" s="1626"/>
      <c r="T869" s="1626"/>
      <c r="U869" s="1626"/>
      <c r="V869" s="1627"/>
      <c r="W869" s="1635">
        <v>74665</v>
      </c>
      <c r="X869" s="1636"/>
      <c r="Y869" s="1636"/>
      <c r="Z869" s="1636"/>
      <c r="AA869" s="1636"/>
      <c r="AB869" s="1636"/>
      <c r="AC869" s="1637"/>
      <c r="AD869" s="524"/>
      <c r="AU869" s="14"/>
      <c r="AZ869" s="34"/>
      <c r="BA869" s="34"/>
      <c r="BB869" s="34"/>
      <c r="BC869" s="34"/>
    </row>
    <row r="870" spans="3:55" ht="12.95" customHeight="1">
      <c r="J870" s="45"/>
      <c r="K870" s="5"/>
      <c r="L870" s="5"/>
      <c r="M870" s="5"/>
      <c r="N870" s="5"/>
      <c r="O870" s="5"/>
      <c r="P870" s="5"/>
      <c r="Q870" s="5"/>
      <c r="R870" s="5"/>
      <c r="S870" s="5"/>
      <c r="T870" s="5"/>
      <c r="U870" s="5"/>
      <c r="V870" s="54" t="s">
        <v>272</v>
      </c>
      <c r="W870" s="1691">
        <f>SUM(W865:W869)</f>
        <v>280675</v>
      </c>
      <c r="X870" s="1692"/>
      <c r="Y870" s="1692"/>
      <c r="Z870" s="1692"/>
      <c r="AA870" s="1692"/>
      <c r="AB870" s="1692"/>
      <c r="AC870" s="1693"/>
      <c r="AD870" s="529"/>
      <c r="AU870" s="14"/>
      <c r="AZ870" s="34"/>
      <c r="BA870" s="34"/>
      <c r="BB870" s="34"/>
      <c r="BC870" s="34"/>
    </row>
    <row r="871" spans="3:55" ht="12.95" customHeight="1">
      <c r="AU871" s="14"/>
      <c r="AZ871" s="34"/>
      <c r="BA871" s="34"/>
      <c r="BB871" s="34"/>
      <c r="BC871" s="34"/>
    </row>
    <row r="872" spans="3:55" ht="12.95" customHeight="1">
      <c r="C872" s="2" t="s">
        <v>155</v>
      </c>
      <c r="J872" s="45"/>
      <c r="K872" s="5"/>
      <c r="L872" s="5"/>
      <c r="M872" s="5"/>
      <c r="N872" s="5"/>
      <c r="O872" s="5"/>
      <c r="P872" s="5"/>
      <c r="Q872" s="5"/>
      <c r="R872" s="5"/>
      <c r="S872" s="5"/>
      <c r="T872" s="5"/>
      <c r="U872" s="5"/>
      <c r="V872" s="54" t="s">
        <v>273</v>
      </c>
      <c r="W872" s="1635">
        <v>141700</v>
      </c>
      <c r="X872" s="1636"/>
      <c r="Y872" s="1636"/>
      <c r="Z872" s="1636"/>
      <c r="AA872" s="1636"/>
      <c r="AB872" s="1636"/>
      <c r="AC872" s="1637"/>
      <c r="AU872" s="14"/>
      <c r="AZ872" s="34"/>
      <c r="BA872" s="34"/>
      <c r="BB872" s="34"/>
      <c r="BC872" s="34"/>
    </row>
    <row r="873" spans="3:55" ht="12.95" customHeight="1">
      <c r="J873" s="508"/>
      <c r="AU873" s="14"/>
      <c r="AZ873" s="34"/>
      <c r="BA873" s="34"/>
      <c r="BB873" s="34"/>
      <c r="BC873" s="34"/>
    </row>
    <row r="874" spans="3:55" ht="12.95" customHeight="1">
      <c r="C874" s="2" t="s">
        <v>389</v>
      </c>
      <c r="J874" s="45" t="s">
        <v>615</v>
      </c>
      <c r="K874" s="5"/>
      <c r="L874" s="5"/>
      <c r="M874" s="5"/>
      <c r="N874" s="5"/>
      <c r="O874" s="5"/>
      <c r="P874" s="5"/>
      <c r="Q874" s="5"/>
      <c r="R874" s="5"/>
      <c r="S874" s="5"/>
      <c r="T874" s="5"/>
      <c r="U874" s="5"/>
      <c r="V874" s="46"/>
      <c r="W874" s="1622">
        <v>7630</v>
      </c>
      <c r="X874" s="1622"/>
      <c r="Y874" s="1622"/>
      <c r="Z874" s="1622"/>
      <c r="AA874" s="1622"/>
      <c r="AB874" s="1622"/>
      <c r="AC874" s="1622"/>
      <c r="AU874" s="14"/>
      <c r="AZ874" s="34"/>
      <c r="BA874" s="34"/>
      <c r="BB874" s="34"/>
      <c r="BC874" s="34"/>
    </row>
    <row r="875" spans="3:55" ht="12.95" customHeight="1">
      <c r="J875" s="45" t="s">
        <v>520</v>
      </c>
      <c r="K875" s="5"/>
      <c r="L875" s="5"/>
      <c r="M875" s="5"/>
      <c r="N875" s="5"/>
      <c r="O875" s="5"/>
      <c r="P875" s="5"/>
      <c r="Q875" s="5"/>
      <c r="R875" s="5"/>
      <c r="S875" s="5"/>
      <c r="T875" s="5"/>
      <c r="U875" s="5"/>
      <c r="V875" s="46"/>
      <c r="W875" s="1622">
        <v>40112</v>
      </c>
      <c r="X875" s="1622"/>
      <c r="Y875" s="1622"/>
      <c r="Z875" s="1622"/>
      <c r="AA875" s="1622"/>
      <c r="AB875" s="1622"/>
      <c r="AC875" s="1622"/>
      <c r="AU875" s="4"/>
      <c r="AZ875" s="34"/>
      <c r="BA875" s="34"/>
      <c r="BB875" s="34"/>
      <c r="BC875" s="34"/>
    </row>
    <row r="876" spans="3:55" ht="12.95" customHeight="1">
      <c r="J876" s="45" t="s">
        <v>519</v>
      </c>
      <c r="K876" s="5"/>
      <c r="L876" s="5"/>
      <c r="M876" s="5"/>
      <c r="N876" s="5"/>
      <c r="O876" s="5"/>
      <c r="P876" s="5"/>
      <c r="Q876" s="5"/>
      <c r="R876" s="5"/>
      <c r="S876" s="5"/>
      <c r="T876" s="5"/>
      <c r="U876" s="5"/>
      <c r="V876" s="46"/>
      <c r="W876" s="1622">
        <v>43600</v>
      </c>
      <c r="X876" s="1622"/>
      <c r="Y876" s="1622"/>
      <c r="Z876" s="1622"/>
      <c r="AA876" s="1622"/>
      <c r="AB876" s="1622"/>
      <c r="AC876" s="1622"/>
      <c r="AU876" s="4"/>
      <c r="AZ876" s="34"/>
      <c r="BA876" s="34"/>
      <c r="BB876" s="34"/>
      <c r="BC876" s="34"/>
    </row>
    <row r="877" spans="3:55" ht="12.95" customHeight="1">
      <c r="J877" s="45" t="s">
        <v>518</v>
      </c>
      <c r="K877" s="5"/>
      <c r="L877" s="5"/>
      <c r="M877" s="5"/>
      <c r="N877" s="5"/>
      <c r="O877" s="5"/>
      <c r="P877" s="5"/>
      <c r="Q877" s="5"/>
      <c r="R877" s="5"/>
      <c r="S877" s="5"/>
      <c r="T877" s="5"/>
      <c r="U877" s="5"/>
      <c r="V877" s="46"/>
      <c r="W877" s="1622">
        <v>9810</v>
      </c>
      <c r="X877" s="1622"/>
      <c r="Y877" s="1622"/>
      <c r="Z877" s="1622"/>
      <c r="AA877" s="1622"/>
      <c r="AB877" s="1622"/>
      <c r="AC877" s="1622"/>
      <c r="AU877" s="4"/>
      <c r="AZ877" s="34"/>
      <c r="BA877" s="34"/>
      <c r="BB877" s="34"/>
      <c r="BC877" s="34"/>
    </row>
    <row r="878" spans="3:55" ht="12.95" customHeight="1">
      <c r="J878" s="45" t="s">
        <v>517</v>
      </c>
      <c r="K878" s="5"/>
      <c r="L878" s="5"/>
      <c r="M878" s="5"/>
      <c r="N878" s="5"/>
      <c r="O878" s="5"/>
      <c r="P878" s="5"/>
      <c r="Q878" s="5"/>
      <c r="R878" s="5"/>
      <c r="S878" s="5"/>
      <c r="T878" s="5"/>
      <c r="U878" s="5"/>
      <c r="V878" s="46"/>
      <c r="W878" s="1622">
        <v>54500</v>
      </c>
      <c r="X878" s="1622"/>
      <c r="Y878" s="1622"/>
      <c r="Z878" s="1622"/>
      <c r="AA878" s="1622"/>
      <c r="AB878" s="1622"/>
      <c r="AC878" s="1622"/>
      <c r="AU878" s="4"/>
      <c r="AZ878" s="34"/>
      <c r="BA878" s="34"/>
      <c r="BB878" s="34"/>
      <c r="BC878" s="34"/>
    </row>
    <row r="879" spans="3:55" ht="12.95" customHeight="1">
      <c r="J879" s="45" t="s">
        <v>516</v>
      </c>
      <c r="K879" s="5"/>
      <c r="L879" s="5"/>
      <c r="M879" s="5"/>
      <c r="N879" s="5"/>
      <c r="O879" s="5"/>
      <c r="P879" s="5"/>
      <c r="Q879" s="5"/>
      <c r="R879" s="5"/>
      <c r="S879" s="5"/>
      <c r="T879" s="5"/>
      <c r="U879" s="5"/>
      <c r="V879" s="46"/>
      <c r="W879" s="1622">
        <v>23980</v>
      </c>
      <c r="X879" s="1622"/>
      <c r="Y879" s="1622"/>
      <c r="Z879" s="1622"/>
      <c r="AA879" s="1622"/>
      <c r="AB879" s="1622"/>
      <c r="AC879" s="1622"/>
      <c r="AU879" s="4"/>
      <c r="AZ879" s="34"/>
      <c r="BA879" s="34"/>
      <c r="BB879" s="34"/>
      <c r="BC879" s="34"/>
    </row>
    <row r="880" spans="3:55" ht="12.95" customHeight="1">
      <c r="J880" s="45" t="s">
        <v>169</v>
      </c>
      <c r="K880" s="5"/>
      <c r="L880" s="5"/>
      <c r="M880" s="1376" t="s">
        <v>2739</v>
      </c>
      <c r="N880" s="1626"/>
      <c r="O880" s="1626"/>
      <c r="P880" s="1626"/>
      <c r="Q880" s="1626"/>
      <c r="R880" s="1626"/>
      <c r="S880" s="1626"/>
      <c r="T880" s="1626"/>
      <c r="U880" s="1626"/>
      <c r="V880" s="1627"/>
      <c r="W880" s="1622">
        <v>13625</v>
      </c>
      <c r="X880" s="1622"/>
      <c r="Y880" s="1622"/>
      <c r="Z880" s="1622"/>
      <c r="AA880" s="1622"/>
      <c r="AB880" s="1622"/>
      <c r="AC880" s="1622"/>
      <c r="AD880" s="529"/>
      <c r="AU880" s="4"/>
      <c r="AV880" s="14"/>
      <c r="AW880" s="14"/>
      <c r="AX880" s="14"/>
      <c r="AY880" s="14"/>
      <c r="AZ880" s="34"/>
      <c r="BA880" s="34"/>
      <c r="BB880" s="34"/>
      <c r="BC880" s="34"/>
    </row>
    <row r="881" spans="3:55" ht="12.95" customHeight="1">
      <c r="J881" s="45"/>
      <c r="K881" s="5"/>
      <c r="L881" s="5"/>
      <c r="M881" s="5"/>
      <c r="N881" s="5"/>
      <c r="O881" s="5"/>
      <c r="P881" s="5"/>
      <c r="Q881" s="5"/>
      <c r="R881" s="5"/>
      <c r="S881" s="5"/>
      <c r="T881" s="5"/>
      <c r="U881" s="5"/>
      <c r="V881" s="54" t="s">
        <v>274</v>
      </c>
      <c r="W881" s="1675">
        <f>SUM(W874:W880)</f>
        <v>193257</v>
      </c>
      <c r="X881" s="1675"/>
      <c r="Y881" s="1675"/>
      <c r="Z881" s="1675"/>
      <c r="AA881" s="1675"/>
      <c r="AB881" s="1675"/>
      <c r="AC881" s="1675"/>
      <c r="AU881" s="4"/>
      <c r="AV881" s="14"/>
      <c r="AW881" s="14"/>
      <c r="AX881" s="14"/>
      <c r="AY881" s="14"/>
      <c r="AZ881" s="34"/>
      <c r="BA881" s="34"/>
      <c r="BB881" s="34"/>
      <c r="BC881" s="34"/>
    </row>
    <row r="882" spans="3:55" ht="12.95" customHeight="1">
      <c r="AU882" s="4"/>
      <c r="AV882" s="14"/>
      <c r="AW882" s="14"/>
      <c r="AX882" s="14"/>
      <c r="AY882" s="14"/>
      <c r="AZ882" s="34"/>
      <c r="BA882" s="34"/>
      <c r="BB882" s="34"/>
      <c r="BC882" s="34"/>
    </row>
    <row r="883" spans="3:55" ht="12.95" customHeight="1">
      <c r="C883" s="2" t="s">
        <v>1240</v>
      </c>
      <c r="J883" s="45" t="s">
        <v>169</v>
      </c>
      <c r="K883" s="5"/>
      <c r="L883" s="5"/>
      <c r="M883" s="1376"/>
      <c r="N883" s="1626"/>
      <c r="O883" s="1626"/>
      <c r="P883" s="1626"/>
      <c r="Q883" s="1626"/>
      <c r="R883" s="1626"/>
      <c r="S883" s="1626"/>
      <c r="T883" s="1626"/>
      <c r="U883" s="1626"/>
      <c r="V883" s="1627"/>
      <c r="W883" s="1623"/>
      <c r="X883" s="1624"/>
      <c r="Y883" s="1624"/>
      <c r="Z883" s="1624"/>
      <c r="AA883" s="1624"/>
      <c r="AB883" s="1624"/>
      <c r="AC883" s="1625"/>
      <c r="AD883" s="529"/>
      <c r="AV883" s="14"/>
      <c r="AW883" s="14"/>
      <c r="AX883" s="14"/>
      <c r="AY883" s="14"/>
      <c r="AZ883" s="34"/>
      <c r="BA883" s="34"/>
      <c r="BB883" s="34"/>
      <c r="BC883" s="34"/>
    </row>
    <row r="884" spans="3:55" ht="12.95" customHeight="1">
      <c r="C884" s="2" t="s">
        <v>1241</v>
      </c>
      <c r="J884" s="45" t="s">
        <v>169</v>
      </c>
      <c r="K884" s="5"/>
      <c r="L884" s="5"/>
      <c r="M884" s="1376" t="s">
        <v>2740</v>
      </c>
      <c r="N884" s="1626"/>
      <c r="O884" s="1626"/>
      <c r="P884" s="1626"/>
      <c r="Q884" s="1626"/>
      <c r="R884" s="1626"/>
      <c r="S884" s="1626"/>
      <c r="T884" s="1626"/>
      <c r="U884" s="1626"/>
      <c r="V884" s="1627"/>
      <c r="W884" s="1623">
        <v>19566.37</v>
      </c>
      <c r="X884" s="1624"/>
      <c r="Y884" s="1624"/>
      <c r="Z884" s="1624"/>
      <c r="AA884" s="1624"/>
      <c r="AB884" s="1624"/>
      <c r="AC884" s="1625"/>
      <c r="AD884" s="529"/>
      <c r="AV884" s="14"/>
      <c r="AW884" s="14"/>
      <c r="AX884" s="14"/>
      <c r="AY884" s="14"/>
      <c r="AZ884" s="34"/>
      <c r="BA884" s="34"/>
      <c r="BB884" s="34"/>
      <c r="BC884" s="34"/>
    </row>
    <row r="885" spans="3:55" ht="12.95" customHeight="1">
      <c r="J885" s="45" t="s">
        <v>169</v>
      </c>
      <c r="K885" s="5"/>
      <c r="L885" s="5"/>
      <c r="M885" s="1376" t="s">
        <v>2741</v>
      </c>
      <c r="N885" s="1626"/>
      <c r="O885" s="1626"/>
      <c r="P885" s="1626"/>
      <c r="Q885" s="1626"/>
      <c r="R885" s="1626"/>
      <c r="S885" s="1626"/>
      <c r="T885" s="1626"/>
      <c r="U885" s="1626"/>
      <c r="V885" s="1627"/>
      <c r="W885" s="1623">
        <v>15000</v>
      </c>
      <c r="X885" s="1624"/>
      <c r="Y885" s="1624"/>
      <c r="Z885" s="1624"/>
      <c r="AA885" s="1624"/>
      <c r="AB885" s="1624"/>
      <c r="AC885" s="1625"/>
      <c r="AL885" s="14"/>
      <c r="AM885" s="14"/>
      <c r="AN885" s="14"/>
      <c r="AO885" s="14"/>
      <c r="AP885" s="14"/>
      <c r="AQ885" s="14"/>
      <c r="AR885" s="14"/>
      <c r="AS885" s="14"/>
      <c r="AT885" s="14"/>
      <c r="AV885" s="4"/>
      <c r="AW885" s="4"/>
      <c r="AX885" s="4"/>
      <c r="AY885" s="4"/>
      <c r="AZ885" s="34"/>
      <c r="BA885" s="34"/>
      <c r="BB885" s="34"/>
      <c r="BC885" s="34"/>
    </row>
    <row r="886" spans="3:55" ht="12.95" customHeight="1">
      <c r="J886" s="45" t="s">
        <v>169</v>
      </c>
      <c r="K886" s="5"/>
      <c r="L886" s="5"/>
      <c r="M886" s="1376" t="s">
        <v>2742</v>
      </c>
      <c r="N886" s="1626"/>
      <c r="O886" s="1626"/>
      <c r="P886" s="1626"/>
      <c r="Q886" s="1626"/>
      <c r="R886" s="1626"/>
      <c r="S886" s="1626"/>
      <c r="T886" s="1626"/>
      <c r="U886" s="1626"/>
      <c r="V886" s="1627"/>
      <c r="W886" s="1623">
        <v>28934.32</v>
      </c>
      <c r="X886" s="1624"/>
      <c r="Y886" s="1624"/>
      <c r="Z886" s="1624"/>
      <c r="AA886" s="1624"/>
      <c r="AB886" s="1624"/>
      <c r="AC886" s="1625"/>
      <c r="AL886" s="14"/>
      <c r="AM886" s="14"/>
      <c r="AN886" s="14"/>
      <c r="AO886" s="14"/>
      <c r="AP886" s="14"/>
      <c r="AQ886" s="14"/>
      <c r="AR886" s="14"/>
      <c r="AS886" s="14"/>
      <c r="AT886" s="14"/>
      <c r="AV886" s="4"/>
      <c r="AW886" s="4"/>
      <c r="AX886" s="4"/>
      <c r="AY886" s="4"/>
      <c r="AZ886" s="34"/>
      <c r="BA886" s="34"/>
      <c r="BB886" s="34"/>
      <c r="BC886" s="34"/>
    </row>
    <row r="887" spans="3:55" ht="12.95" customHeight="1">
      <c r="J887" s="45" t="s">
        <v>169</v>
      </c>
      <c r="K887" s="5"/>
      <c r="L887" s="5"/>
      <c r="M887" s="1376" t="s">
        <v>2743</v>
      </c>
      <c r="N887" s="1626"/>
      <c r="O887" s="1626"/>
      <c r="P887" s="1626"/>
      <c r="Q887" s="1626"/>
      <c r="R887" s="1626"/>
      <c r="S887" s="1626"/>
      <c r="T887" s="1626"/>
      <c r="U887" s="1626"/>
      <c r="V887" s="1627"/>
      <c r="W887" s="1623">
        <v>3270</v>
      </c>
      <c r="X887" s="1624"/>
      <c r="Y887" s="1624"/>
      <c r="Z887" s="1624"/>
      <c r="AA887" s="1624"/>
      <c r="AB887" s="1624"/>
      <c r="AC887" s="1625"/>
      <c r="AL887" s="14"/>
      <c r="AM887" s="14"/>
      <c r="AN887" s="14"/>
      <c r="AO887" s="14"/>
      <c r="AP887" s="14"/>
      <c r="AQ887" s="14"/>
      <c r="AR887" s="14"/>
      <c r="AS887" s="14"/>
      <c r="AT887" s="14"/>
      <c r="AV887" s="4"/>
      <c r="AW887" s="4"/>
      <c r="AX887" s="4"/>
      <c r="AY887" s="4"/>
      <c r="AZ887" s="34"/>
      <c r="BA887" s="34"/>
      <c r="BB887" s="34"/>
      <c r="BC887" s="34"/>
    </row>
    <row r="888" spans="3:55" ht="12.95" customHeight="1">
      <c r="J888" s="45"/>
      <c r="K888" s="5"/>
      <c r="L888" s="5"/>
      <c r="M888" s="5"/>
      <c r="N888" s="5"/>
      <c r="O888" s="5"/>
      <c r="P888" s="5"/>
      <c r="Q888" s="5"/>
      <c r="R888" s="5"/>
      <c r="S888" s="5"/>
      <c r="T888" s="5"/>
      <c r="U888" s="5"/>
      <c r="V888" s="54" t="s">
        <v>275</v>
      </c>
      <c r="W888" s="1611">
        <f>SUM(W883:W887)</f>
        <v>66770.69</v>
      </c>
      <c r="X888" s="1612"/>
      <c r="Y888" s="1612"/>
      <c r="Z888" s="1612"/>
      <c r="AA888" s="1612"/>
      <c r="AB888" s="1612"/>
      <c r="AC888" s="1613"/>
      <c r="AL888" s="14"/>
      <c r="AM888" s="14"/>
      <c r="AN888" s="14"/>
      <c r="AO888" s="14"/>
      <c r="AP888" s="14"/>
      <c r="AQ888" s="14"/>
      <c r="AR888" s="14"/>
      <c r="AS888" s="14"/>
      <c r="AT888" s="14"/>
      <c r="AV888" s="4"/>
      <c r="AW888" s="4"/>
      <c r="AX888" s="4"/>
      <c r="AY888" s="4"/>
      <c r="AZ888" s="34"/>
      <c r="BA888" s="34"/>
      <c r="BB888" s="34"/>
      <c r="BC888" s="34"/>
    </row>
    <row r="889" spans="3:55" ht="12.95"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2.95" customHeight="1">
      <c r="C890" s="2" t="s">
        <v>177</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2.95"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2.95"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276</v>
      </c>
      <c r="AC892" s="1612">
        <f>W855+W863+W870+W872+W881+W888+W857</f>
        <v>1027090.69</v>
      </c>
      <c r="AD892" s="1612"/>
      <c r="AE892" s="1612"/>
      <c r="AF892" s="1612"/>
      <c r="AG892" s="1612"/>
      <c r="AH892" s="1613"/>
      <c r="AL892" s="4"/>
      <c r="AM892" s="4"/>
      <c r="AN892" s="4"/>
      <c r="AO892" s="4"/>
      <c r="AP892" s="4"/>
      <c r="AQ892" s="4"/>
      <c r="AR892" s="4"/>
      <c r="AS892" s="4"/>
      <c r="AT892" s="4"/>
      <c r="AV892" s="4"/>
      <c r="AW892" s="4"/>
      <c r="AX892" s="4"/>
      <c r="AY892" s="4"/>
      <c r="AZ892" s="34"/>
      <c r="BA892" s="34"/>
      <c r="BB892" s="34"/>
      <c r="BC892" s="34"/>
    </row>
    <row r="893" spans="3:55" ht="12.95"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509</v>
      </c>
      <c r="AC893" s="1616">
        <f>O805+O785+G761</f>
        <v>109</v>
      </c>
      <c r="AD893" s="1616"/>
      <c r="AE893" s="1616"/>
      <c r="AF893" s="1616"/>
      <c r="AG893" s="1616"/>
      <c r="AH893" s="1617"/>
      <c r="AL893" s="4"/>
      <c r="AM893" s="4"/>
      <c r="AN893" s="4"/>
      <c r="AO893" s="4"/>
      <c r="AP893" s="4"/>
      <c r="AQ893" s="4"/>
      <c r="AR893" s="4"/>
      <c r="AS893" s="4"/>
      <c r="AT893" s="4"/>
      <c r="AZ893" s="34"/>
      <c r="BA893" s="34"/>
      <c r="BB893" s="34"/>
      <c r="BC893" s="34"/>
    </row>
    <row r="894" spans="3:55" ht="12.95" customHeight="1">
      <c r="C894" s="41"/>
      <c r="D894" s="42"/>
      <c r="E894" s="1687" t="s">
        <v>32</v>
      </c>
      <c r="F894" s="1687"/>
      <c r="G894" s="1687"/>
      <c r="H894" s="1687"/>
      <c r="I894" s="1687"/>
      <c r="J894" s="1687"/>
      <c r="K894" s="1687"/>
      <c r="L894" s="1687"/>
      <c r="M894" s="1687"/>
      <c r="N894" s="1687"/>
      <c r="O894" s="1687"/>
      <c r="P894" s="1687"/>
      <c r="Q894" s="1687"/>
      <c r="R894" s="1687"/>
      <c r="S894" s="1687"/>
      <c r="T894" s="1687"/>
      <c r="U894" s="1687"/>
      <c r="V894" s="1687"/>
      <c r="W894" s="1687"/>
      <c r="X894" s="1687"/>
      <c r="Y894" s="1687"/>
      <c r="Z894" s="1687"/>
      <c r="AA894" s="1687"/>
      <c r="AB894" s="1688"/>
      <c r="AC894" s="1675">
        <f>IF(ISERROR((ROUNDDOWN(AC892/AC893,0))),0,(ROUNDDOWN(AC892/AC893,0)))</f>
        <v>9422</v>
      </c>
      <c r="AD894" s="1675"/>
      <c r="AE894" s="1675"/>
      <c r="AF894" s="1675"/>
      <c r="AG894" s="1675"/>
      <c r="AH894" s="1675"/>
      <c r="AL894" s="4"/>
      <c r="AM894" s="4"/>
      <c r="AN894" s="4"/>
      <c r="AO894" s="4"/>
      <c r="AP894" s="4"/>
      <c r="AQ894" s="4"/>
      <c r="AR894" s="4"/>
      <c r="AS894" s="4"/>
      <c r="AT894" s="4"/>
      <c r="AZ894" s="34"/>
      <c r="BA894" s="34"/>
      <c r="BB894" s="34"/>
      <c r="BC894" s="34"/>
    </row>
    <row r="895" spans="3:55" ht="12.95"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759</v>
      </c>
      <c r="AC895" s="1679">
        <f>'Sources and Uses Budget'!C75</f>
        <v>957572</v>
      </c>
      <c r="AD895" s="1680"/>
      <c r="AE895" s="1680"/>
      <c r="AF895" s="1680"/>
      <c r="AG895" s="1680"/>
      <c r="AH895" s="1680"/>
      <c r="AL895" s="4"/>
      <c r="AM895" s="4"/>
      <c r="AN895" s="4"/>
      <c r="AO895" s="4"/>
      <c r="AP895" s="4"/>
      <c r="AQ895" s="4"/>
      <c r="AR895" s="4"/>
      <c r="AS895" s="4"/>
      <c r="AT895" s="4"/>
      <c r="AZ895" s="34"/>
      <c r="BA895" s="34"/>
      <c r="BB895" s="34"/>
      <c r="BC895" s="34"/>
    </row>
    <row r="896" spans="3:55" ht="12.95"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1157</v>
      </c>
      <c r="AC896" s="1625"/>
      <c r="AD896" s="1622"/>
      <c r="AE896" s="1622"/>
      <c r="AF896" s="1622"/>
      <c r="AG896" s="1622"/>
      <c r="AH896" s="1622"/>
      <c r="AL896" s="4"/>
      <c r="AM896" s="4"/>
      <c r="AN896" s="4"/>
      <c r="AO896" s="4"/>
      <c r="AP896" s="4"/>
      <c r="AQ896" s="4"/>
      <c r="AR896" s="4"/>
      <c r="AS896" s="4"/>
      <c r="AT896" s="4"/>
      <c r="AZ896" s="34"/>
      <c r="BA896" s="34"/>
      <c r="BB896" s="34"/>
      <c r="BC896" s="34"/>
    </row>
    <row r="897" spans="1:58" ht="12.95"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508</v>
      </c>
      <c r="AC897" s="1624">
        <v>132000</v>
      </c>
      <c r="AD897" s="1624"/>
      <c r="AE897" s="1624"/>
      <c r="AF897" s="1624"/>
      <c r="AG897" s="1624"/>
      <c r="AH897" s="1625"/>
      <c r="AL897" s="4"/>
      <c r="AM897" s="4"/>
      <c r="AN897" s="4"/>
      <c r="AO897" s="4"/>
      <c r="AP897" s="4"/>
      <c r="AQ897" s="4"/>
      <c r="AR897" s="4"/>
      <c r="AS897" s="4"/>
      <c r="AT897" s="4"/>
      <c r="AZ897" s="34"/>
      <c r="BA897" s="34"/>
      <c r="BB897" s="34"/>
      <c r="BC897" s="34"/>
    </row>
    <row r="898" spans="1:58" ht="12.95"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624">
        <v>38150</v>
      </c>
      <c r="AD898" s="1624"/>
      <c r="AE898" s="1624"/>
      <c r="AF898" s="1624"/>
      <c r="AG898" s="1624"/>
      <c r="AH898" s="1625"/>
      <c r="AZ898" s="34"/>
      <c r="BA898" s="34"/>
      <c r="BB898" s="34"/>
      <c r="BC898" s="34"/>
    </row>
    <row r="899" spans="1:58" ht="12.95"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1664</v>
      </c>
      <c r="AC899" s="1406"/>
      <c r="AD899" s="1407"/>
      <c r="AE899" s="1407"/>
      <c r="AF899" s="1407"/>
      <c r="AG899" s="1407"/>
      <c r="AH899" s="1408"/>
      <c r="AZ899" s="34"/>
      <c r="BA899" s="34"/>
      <c r="BB899" s="34"/>
      <c r="BC899" s="34"/>
    </row>
    <row r="900" spans="1:58" ht="12.95"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624">
        <v>60000</v>
      </c>
      <c r="AD900" s="1624"/>
      <c r="AE900" s="1624"/>
      <c r="AF900" s="1624"/>
      <c r="AG900" s="1624"/>
      <c r="AH900" s="1625"/>
      <c r="AZ900" s="34"/>
      <c r="BA900" s="34"/>
      <c r="BB900" s="34"/>
      <c r="BC900" s="34"/>
    </row>
    <row r="901" spans="1:58" ht="12.95" hidden="1" customHeight="1">
      <c r="C901" s="1500" t="s">
        <v>2179</v>
      </c>
      <c r="D901" s="1501"/>
      <c r="E901" s="1501"/>
      <c r="F901" s="1501"/>
      <c r="G901" s="1501"/>
      <c r="H901" s="1501"/>
      <c r="I901" s="1501"/>
      <c r="J901" s="1501"/>
      <c r="K901" s="1501"/>
      <c r="L901" s="1501"/>
      <c r="M901" s="1501"/>
      <c r="N901" s="1501"/>
      <c r="O901" s="1501"/>
      <c r="P901" s="1501"/>
      <c r="Q901" s="1501"/>
      <c r="R901" s="1501"/>
      <c r="S901" s="1501"/>
      <c r="T901" s="1501"/>
      <c r="U901" s="1501"/>
      <c r="V901" s="1501"/>
      <c r="W901" s="1501"/>
      <c r="X901" s="1501"/>
      <c r="Y901" s="1501"/>
      <c r="Z901" s="1501"/>
      <c r="AA901" s="1501"/>
      <c r="AB901" s="1502"/>
      <c r="AC901" s="1624"/>
      <c r="AD901" s="1624"/>
      <c r="AE901" s="1624"/>
      <c r="AF901" s="1624"/>
      <c r="AG901" s="1624"/>
      <c r="AH901" s="1625"/>
      <c r="AZ901" s="34"/>
      <c r="BA901" s="34"/>
      <c r="BB901" s="34"/>
      <c r="BC901" s="34"/>
    </row>
    <row r="902" spans="1:58" ht="12.95"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1643</v>
      </c>
      <c r="AC902" s="1624"/>
      <c r="AD902" s="1624"/>
      <c r="AE902" s="1624"/>
      <c r="AF902" s="1624"/>
      <c r="AG902" s="1624"/>
      <c r="AH902" s="1625"/>
      <c r="AZ902" s="34"/>
      <c r="BA902" s="34"/>
      <c r="BB902" s="34"/>
      <c r="BC902" s="34"/>
    </row>
    <row r="903" spans="1:58" ht="12.95" customHeight="1">
      <c r="C903" s="1638" t="s">
        <v>954</v>
      </c>
      <c r="D903" s="1639"/>
      <c r="E903" s="1639"/>
      <c r="F903" s="1639"/>
      <c r="G903" s="1639"/>
      <c r="H903" s="1639"/>
      <c r="I903" s="1639"/>
      <c r="J903" s="1639"/>
      <c r="K903" s="1639"/>
      <c r="L903" s="1639"/>
      <c r="M903" s="1639"/>
      <c r="N903" s="1639"/>
      <c r="O903" s="1639"/>
      <c r="P903" s="1639"/>
      <c r="Q903" s="1639"/>
      <c r="R903" s="1639"/>
      <c r="S903" s="1639"/>
      <c r="T903" s="1639"/>
      <c r="U903" s="1639"/>
      <c r="V903" s="1639"/>
      <c r="W903" s="1639"/>
      <c r="X903" s="1639"/>
      <c r="Y903" s="1639"/>
      <c r="Z903" s="1639"/>
      <c r="AA903" s="1639"/>
      <c r="AB903" s="1640"/>
      <c r="AC903" s="1622"/>
      <c r="AD903" s="1622"/>
      <c r="AE903" s="1622"/>
      <c r="AF903" s="1622"/>
      <c r="AG903" s="1622"/>
      <c r="AH903" s="1622"/>
      <c r="AZ903" s="34"/>
      <c r="BA903" s="34"/>
      <c r="BB903" s="34"/>
      <c r="BC903" s="34"/>
    </row>
    <row r="904" spans="1:58" ht="12.95" customHeight="1">
      <c r="C904" s="1638" t="s">
        <v>954</v>
      </c>
      <c r="D904" s="1639"/>
      <c r="E904" s="1639"/>
      <c r="F904" s="1639"/>
      <c r="G904" s="1639"/>
      <c r="H904" s="1639"/>
      <c r="I904" s="1639"/>
      <c r="J904" s="1639"/>
      <c r="K904" s="1639"/>
      <c r="L904" s="1639"/>
      <c r="M904" s="1639"/>
      <c r="N904" s="1639"/>
      <c r="O904" s="1639"/>
      <c r="P904" s="1639"/>
      <c r="Q904" s="1639"/>
      <c r="R904" s="1639"/>
      <c r="S904" s="1639"/>
      <c r="T904" s="1639"/>
      <c r="U904" s="1639"/>
      <c r="V904" s="1639"/>
      <c r="W904" s="1639"/>
      <c r="X904" s="1639"/>
      <c r="Y904" s="1639"/>
      <c r="Z904" s="1639"/>
      <c r="AA904" s="1639"/>
      <c r="AB904" s="1640"/>
      <c r="AC904" s="1622"/>
      <c r="AD904" s="1622"/>
      <c r="AE904" s="1622"/>
      <c r="AF904" s="1622"/>
      <c r="AG904" s="1622"/>
      <c r="AH904" s="1622"/>
      <c r="AU904" s="95"/>
      <c r="AZ904" s="34"/>
      <c r="BA904" s="34"/>
      <c r="BB904" s="34"/>
      <c r="BC904" s="34"/>
    </row>
    <row r="905" spans="1:58" ht="12.95" customHeight="1">
      <c r="E905" s="508"/>
      <c r="AB905" s="56"/>
      <c r="AC905" s="123"/>
      <c r="AD905" s="123"/>
      <c r="AE905" s="123"/>
      <c r="AF905" s="123"/>
      <c r="AG905" s="123"/>
      <c r="AH905" s="123"/>
      <c r="AU905" s="95"/>
      <c r="AZ905" s="34"/>
      <c r="BA905" s="34"/>
      <c r="BB905" s="34"/>
      <c r="BC905" s="34"/>
    </row>
    <row r="906" spans="1:58" ht="12.95" customHeight="1">
      <c r="A906" s="2" t="s">
        <v>611</v>
      </c>
      <c r="C906" s="2" t="s">
        <v>236</v>
      </c>
      <c r="X906" s="12"/>
      <c r="Y906" s="12"/>
      <c r="Z906" s="12"/>
      <c r="AA906" s="12"/>
      <c r="AB906" s="12"/>
      <c r="AC906" s="12"/>
      <c r="AD906" s="12"/>
      <c r="AU906" s="95"/>
      <c r="AZ906" s="34"/>
      <c r="BB906" s="30"/>
      <c r="BC906" s="30"/>
    </row>
    <row r="907" spans="1:58" ht="12.95" customHeight="1">
      <c r="X907" s="12"/>
      <c r="Y907" s="12"/>
      <c r="Z907" s="12"/>
      <c r="AA907" s="12"/>
      <c r="AB907" s="12"/>
      <c r="AC907" s="12"/>
      <c r="AD907" s="12"/>
      <c r="AF907" s="529"/>
      <c r="AG907" s="180"/>
      <c r="AH907" s="180"/>
      <c r="AI907" s="180"/>
      <c r="AU907" s="95"/>
      <c r="AZ907" s="34"/>
      <c r="BB907" s="30"/>
      <c r="BC907" s="30"/>
      <c r="BD907" s="14"/>
      <c r="BE907" s="14"/>
      <c r="BF907" s="14"/>
    </row>
    <row r="908" spans="1:58" ht="12.95" customHeight="1">
      <c r="B908" s="2"/>
      <c r="H908" s="121" t="s">
        <v>237</v>
      </c>
      <c r="I908" s="5"/>
      <c r="J908" s="5"/>
      <c r="K908" s="5"/>
      <c r="L908" s="5"/>
      <c r="M908" s="5"/>
      <c r="N908" s="5"/>
      <c r="O908" s="5"/>
      <c r="P908" s="5"/>
      <c r="Q908" s="5"/>
      <c r="R908" s="5"/>
      <c r="S908" s="5"/>
      <c r="T908" s="5"/>
      <c r="U908" s="5"/>
      <c r="V908" s="5"/>
      <c r="W908" s="5"/>
      <c r="X908" s="5"/>
      <c r="Y908" s="46"/>
      <c r="Z908" s="1623"/>
      <c r="AA908" s="1624"/>
      <c r="AB908" s="1624"/>
      <c r="AC908" s="1624"/>
      <c r="AD908" s="1624"/>
      <c r="AE908" s="1625"/>
      <c r="AF908" s="529"/>
      <c r="AZ908" s="34"/>
      <c r="BB908" s="30"/>
      <c r="BC908" s="807"/>
      <c r="BD908" s="1634"/>
      <c r="BE908" s="1634"/>
      <c r="BF908" s="14"/>
    </row>
    <row r="909" spans="1:58" ht="12.95" customHeight="1">
      <c r="H909" s="121" t="s">
        <v>238</v>
      </c>
      <c r="I909" s="5"/>
      <c r="J909" s="5"/>
      <c r="K909" s="5"/>
      <c r="L909" s="5"/>
      <c r="M909" s="5"/>
      <c r="N909" s="5"/>
      <c r="O909" s="5"/>
      <c r="P909" s="5"/>
      <c r="Q909" s="5"/>
      <c r="R909" s="5"/>
      <c r="S909" s="5"/>
      <c r="T909" s="5"/>
      <c r="U909" s="5"/>
      <c r="V909" s="5"/>
      <c r="W909" s="5"/>
      <c r="X909" s="5"/>
      <c r="Y909" s="5"/>
      <c r="Z909" s="1623"/>
      <c r="AA909" s="1624"/>
      <c r="AB909" s="1624"/>
      <c r="AC909" s="1624"/>
      <c r="AD909" s="1624"/>
      <c r="AE909" s="1625"/>
      <c r="AZ909" s="34"/>
      <c r="BB909" s="30"/>
      <c r="BC909" s="807"/>
      <c r="BD909" s="1634"/>
      <c r="BE909" s="1634"/>
      <c r="BF909" s="14"/>
    </row>
    <row r="910" spans="1:58" ht="12.95" customHeight="1">
      <c r="H910" s="121" t="s">
        <v>239</v>
      </c>
      <c r="I910" s="5"/>
      <c r="J910" s="5"/>
      <c r="K910" s="5"/>
      <c r="L910" s="5"/>
      <c r="M910" s="5"/>
      <c r="N910" s="5"/>
      <c r="O910" s="5"/>
      <c r="P910" s="5"/>
      <c r="Q910" s="5"/>
      <c r="R910" s="5"/>
      <c r="S910" s="5"/>
      <c r="T910" s="5"/>
      <c r="U910" s="5"/>
      <c r="V910" s="5"/>
      <c r="W910" s="5"/>
      <c r="X910" s="5"/>
      <c r="Y910" s="5"/>
      <c r="Z910" s="1623"/>
      <c r="AA910" s="1624"/>
      <c r="AB910" s="1624"/>
      <c r="AC910" s="1624"/>
      <c r="AD910" s="1624"/>
      <c r="AE910" s="1625"/>
      <c r="AZ910" s="34"/>
      <c r="BB910" s="30"/>
      <c r="BC910" s="807"/>
      <c r="BD910" s="1633"/>
      <c r="BE910" s="1633"/>
      <c r="BF910" s="14"/>
    </row>
    <row r="911" spans="1:58" ht="12.95" customHeight="1">
      <c r="H911" s="45"/>
      <c r="I911" s="5"/>
      <c r="J911" s="5"/>
      <c r="K911" s="5"/>
      <c r="L911" s="5"/>
      <c r="M911" s="5"/>
      <c r="N911" s="5"/>
      <c r="O911" s="5"/>
      <c r="P911" s="5"/>
      <c r="Q911" s="5"/>
      <c r="R911" s="5"/>
      <c r="S911" s="5"/>
      <c r="T911" s="5"/>
      <c r="U911" s="5"/>
      <c r="V911" s="5"/>
      <c r="W911" s="5"/>
      <c r="X911" s="5"/>
      <c r="Y911" s="181" t="s">
        <v>240</v>
      </c>
      <c r="Z911" s="1611">
        <f>Z908-(Z909+Z910)</f>
        <v>0</v>
      </c>
      <c r="AA911" s="1612"/>
      <c r="AB911" s="1612"/>
      <c r="AC911" s="1612"/>
      <c r="AD911" s="1612"/>
      <c r="AE911" s="1613"/>
      <c r="AZ911" s="34"/>
      <c r="BB911" s="30"/>
      <c r="BC911" s="807"/>
      <c r="BD911" s="1633"/>
      <c r="BE911" s="1633"/>
      <c r="BF911" s="14"/>
    </row>
    <row r="912" spans="1:58" ht="12.95"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633"/>
      <c r="BE912" s="1633"/>
      <c r="BF912" s="14"/>
    </row>
    <row r="913" spans="1:58" ht="12.95" customHeight="1">
      <c r="C913" t="s">
        <v>244</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634"/>
      <c r="BE913" s="1633"/>
      <c r="BF913" s="14"/>
    </row>
    <row r="914" spans="1:58" ht="12.95" customHeight="1">
      <c r="C914" s="182" t="s">
        <v>245</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690"/>
      <c r="BE914" s="1690"/>
      <c r="BF914" s="1690"/>
    </row>
    <row r="915" spans="1:58" ht="12.95" customHeight="1">
      <c r="C915" s="182" t="s">
        <v>246</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653"/>
      <c r="BE915" s="1653"/>
      <c r="BF915" s="1653"/>
    </row>
    <row r="916" spans="1:58" ht="12.95" customHeight="1">
      <c r="C916" s="337" t="s">
        <v>1011</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633"/>
      <c r="BE916" s="1633"/>
      <c r="BF916" s="14"/>
    </row>
    <row r="917" spans="1:58" ht="12.95"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634"/>
      <c r="BE917" s="1633"/>
      <c r="BF917" s="14"/>
    </row>
    <row r="918" spans="1:58" ht="12.95" customHeight="1">
      <c r="AZ918" s="34"/>
      <c r="BB918" s="30"/>
      <c r="BC918" s="807"/>
    </row>
    <row r="919" spans="1:58" ht="12.95" customHeight="1">
      <c r="A919" s="1441" t="s">
        <v>96</v>
      </c>
      <c r="B919" s="1441"/>
      <c r="C919" s="1441"/>
      <c r="D919" s="1441"/>
      <c r="E919" s="1441"/>
      <c r="F919" s="1441"/>
      <c r="G919" s="1441"/>
      <c r="H919" s="1441"/>
      <c r="I919" s="1441"/>
      <c r="J919" s="1441"/>
      <c r="K919" s="1441"/>
      <c r="L919" s="1441"/>
      <c r="M919" s="1441"/>
      <c r="N919" s="1441"/>
      <c r="O919" s="1441"/>
      <c r="P919" s="1441"/>
      <c r="Q919" s="1441"/>
      <c r="R919" s="1441"/>
      <c r="S919" s="1441"/>
      <c r="T919" s="1441"/>
      <c r="U919" s="1441"/>
      <c r="V919" s="1441"/>
      <c r="W919" s="1441"/>
      <c r="X919" s="1441"/>
      <c r="Y919" s="1441"/>
      <c r="Z919" s="1441"/>
      <c r="AA919" s="1441"/>
      <c r="AB919" s="1441"/>
      <c r="AC919" s="1441"/>
      <c r="AD919" s="1441"/>
      <c r="AE919" s="1441"/>
      <c r="AF919" s="1441"/>
      <c r="AG919" s="1441"/>
      <c r="AH919" s="1441"/>
      <c r="AI919" s="1441"/>
      <c r="AJ919" s="1441"/>
      <c r="AK919" s="1441"/>
      <c r="AL919" s="1441"/>
      <c r="AM919" s="1441"/>
      <c r="AN919" s="1441"/>
      <c r="AO919" s="1441"/>
      <c r="AP919" s="1441"/>
      <c r="AQ919" s="1441"/>
      <c r="AR919" s="1441"/>
      <c r="AS919" s="1441"/>
      <c r="AT919" s="1441"/>
      <c r="AZ919" s="34"/>
      <c r="BA919" s="34"/>
      <c r="BB919" s="30"/>
      <c r="BC919" s="30"/>
      <c r="BD919" s="1634"/>
      <c r="BE919" s="1633"/>
      <c r="BF919" s="902"/>
    </row>
    <row r="920" spans="1:58" ht="12.95" customHeight="1">
      <c r="A920" s="1441"/>
      <c r="B920" s="1441"/>
      <c r="C920" s="1441"/>
      <c r="D920" s="1441"/>
      <c r="E920" s="1441"/>
      <c r="F920" s="1441"/>
      <c r="G920" s="1441"/>
      <c r="H920" s="1441"/>
      <c r="I920" s="1441"/>
      <c r="J920" s="1441"/>
      <c r="K920" s="1441"/>
      <c r="L920" s="1441"/>
      <c r="M920" s="1441"/>
      <c r="N920" s="1441"/>
      <c r="O920" s="1441"/>
      <c r="P920" s="1441"/>
      <c r="Q920" s="1441"/>
      <c r="R920" s="1441"/>
      <c r="S920" s="1441"/>
      <c r="T920" s="1441"/>
      <c r="U920" s="1441"/>
      <c r="V920" s="1441"/>
      <c r="W920" s="1441"/>
      <c r="X920" s="1441"/>
      <c r="Y920" s="1441"/>
      <c r="Z920" s="1441"/>
      <c r="AA920" s="1441"/>
      <c r="AB920" s="1441"/>
      <c r="AC920" s="1441"/>
      <c r="AD920" s="1441"/>
      <c r="AE920" s="1441"/>
      <c r="AF920" s="1441"/>
      <c r="AG920" s="1441"/>
      <c r="AH920" s="1441"/>
      <c r="AI920" s="1441"/>
      <c r="AJ920" s="1441"/>
      <c r="AK920" s="1441"/>
      <c r="AL920" s="1441"/>
      <c r="AM920" s="1441"/>
      <c r="AN920" s="1441"/>
      <c r="AO920" s="1441"/>
      <c r="AP920" s="1441"/>
      <c r="AQ920" s="1441"/>
      <c r="AR920" s="1441"/>
      <c r="AS920" s="1441"/>
      <c r="AT920" s="1441"/>
      <c r="AZ920" s="34"/>
      <c r="BA920" s="34"/>
      <c r="BB920" s="34"/>
      <c r="BC920" s="34"/>
      <c r="BD920" s="34"/>
      <c r="BE920" s="34"/>
      <c r="BF920" s="34"/>
    </row>
    <row r="921" spans="1:58" ht="12.95"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2.95" customHeight="1">
      <c r="A922" s="2" t="s">
        <v>318</v>
      </c>
      <c r="C922" s="2" t="s">
        <v>263</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2.95" customHeight="1">
      <c r="AZ923" s="34"/>
      <c r="BA923" s="34"/>
      <c r="BB923" s="34"/>
      <c r="BC923" s="34"/>
    </row>
    <row r="924" spans="1:58" ht="12.95" customHeight="1">
      <c r="F924" s="1676" t="s">
        <v>790</v>
      </c>
      <c r="G924" s="1677"/>
      <c r="H924" s="1677"/>
      <c r="I924" s="1677"/>
      <c r="J924" s="1677"/>
      <c r="K924" s="1677"/>
      <c r="L924" s="1677"/>
      <c r="M924" s="1677"/>
      <c r="N924" s="1677"/>
      <c r="O924" s="1677"/>
      <c r="P924" s="1677"/>
      <c r="Q924" s="1677"/>
      <c r="R924" s="1677"/>
      <c r="S924" s="1677"/>
      <c r="T924" s="1678"/>
      <c r="U924" s="1564" t="s">
        <v>31</v>
      </c>
      <c r="V924" s="1565"/>
      <c r="W924" s="1565"/>
      <c r="X924" s="1565"/>
      <c r="Y924" s="1565"/>
      <c r="Z924" s="1565"/>
      <c r="AA924" s="43"/>
      <c r="AB924" s="105"/>
      <c r="AC924" s="105"/>
      <c r="AD924" s="105"/>
      <c r="AE924" s="105"/>
      <c r="AF924" s="106"/>
      <c r="AZ924" s="34"/>
      <c r="BA924" s="34"/>
      <c r="BB924" s="34"/>
      <c r="BC924" s="34"/>
    </row>
    <row r="925" spans="1:58" ht="12.95" customHeight="1">
      <c r="B925" s="2"/>
      <c r="F925" s="1356" t="s">
        <v>816</v>
      </c>
      <c r="G925" s="1357"/>
      <c r="H925" s="1357"/>
      <c r="I925" s="1357"/>
      <c r="J925" s="1357"/>
      <c r="K925" s="1357"/>
      <c r="L925" s="1357"/>
      <c r="M925" s="1357"/>
      <c r="N925" s="1357"/>
      <c r="O925" s="1357"/>
      <c r="P925" s="1357"/>
      <c r="Q925" s="1357"/>
      <c r="R925" s="1357"/>
      <c r="S925" s="1357"/>
      <c r="T925" s="1358"/>
      <c r="U925" s="1356"/>
      <c r="V925" s="1357"/>
      <c r="W925" s="1357"/>
      <c r="X925" s="1357"/>
      <c r="Y925" s="1357"/>
      <c r="Z925" s="1357"/>
      <c r="AA925" s="44"/>
      <c r="AB925" s="4"/>
      <c r="AC925" s="4"/>
      <c r="AD925" s="4"/>
      <c r="AE925" s="4"/>
      <c r="AF925" s="107"/>
      <c r="AZ925" s="34"/>
      <c r="BA925" s="34"/>
      <c r="BB925" s="34"/>
      <c r="BC925" s="34"/>
    </row>
    <row r="926" spans="1:58" ht="12.95" customHeight="1">
      <c r="B926" s="2"/>
      <c r="F926" s="1359"/>
      <c r="G926" s="1360"/>
      <c r="H926" s="1360"/>
      <c r="I926" s="1360"/>
      <c r="J926" s="1360"/>
      <c r="K926" s="1360"/>
      <c r="L926" s="1360"/>
      <c r="M926" s="1360"/>
      <c r="N926" s="1360"/>
      <c r="O926" s="1360"/>
      <c r="P926" s="1360"/>
      <c r="Q926" s="1360"/>
      <c r="R926" s="1360"/>
      <c r="S926" s="1360"/>
      <c r="T926" s="1361"/>
      <c r="U926" s="1359"/>
      <c r="V926" s="1360"/>
      <c r="W926" s="1360"/>
      <c r="X926" s="1360"/>
      <c r="Y926" s="1360"/>
      <c r="Z926" s="1360"/>
      <c r="AA926" s="108"/>
      <c r="AB926" s="1642" t="s">
        <v>390</v>
      </c>
      <c r="AC926" s="1642"/>
      <c r="AD926" s="1642"/>
      <c r="AE926" s="1642"/>
      <c r="AF926" s="109"/>
      <c r="AZ926" s="34"/>
      <c r="BA926" s="34"/>
      <c r="BB926" s="34"/>
      <c r="BC926" s="34"/>
    </row>
    <row r="927" spans="1:58" ht="12.95" customHeight="1">
      <c r="B927" s="2"/>
      <c r="F927" s="45" t="s">
        <v>756</v>
      </c>
      <c r="G927" s="48"/>
      <c r="H927" s="48"/>
      <c r="I927" s="48"/>
      <c r="J927" s="48"/>
      <c r="K927" s="48"/>
      <c r="L927" s="48"/>
      <c r="M927" s="48"/>
      <c r="N927" s="48"/>
      <c r="O927" s="48"/>
      <c r="P927" s="48"/>
      <c r="Q927" s="48"/>
      <c r="R927" s="48"/>
      <c r="S927" s="48"/>
      <c r="T927" s="49"/>
      <c r="U927" s="1334" t="s">
        <v>589</v>
      </c>
      <c r="V927" s="1335"/>
      <c r="W927" s="1335"/>
      <c r="X927" s="1335"/>
      <c r="Y927" s="1335"/>
      <c r="Z927" s="1336"/>
      <c r="AA927" s="1366">
        <f>Application!AM562</f>
        <v>22209313</v>
      </c>
      <c r="AB927" s="1367"/>
      <c r="AC927" s="1367"/>
      <c r="AD927" s="1367"/>
      <c r="AE927" s="1367"/>
      <c r="AF927" s="1368"/>
      <c r="AG927" s="1186" t="str">
        <f>IF(NOT(AA927=AW927),"!","")</f>
        <v/>
      </c>
      <c r="AH927" s="3"/>
      <c r="AW927" s="1299">
        <f>SUMIF($M$562:$M$573,"Loan, Tax-Exempt",$AM$562:$AM$573)</f>
        <v>22209313</v>
      </c>
      <c r="AX927" s="1299"/>
      <c r="AY927" s="1299"/>
      <c r="AZ927" s="3" t="s">
        <v>2527</v>
      </c>
      <c r="BA927" s="34"/>
      <c r="BB927" s="34"/>
      <c r="BC927" s="34"/>
    </row>
    <row r="928" spans="1:58" ht="12.95" customHeight="1">
      <c r="B928" s="2"/>
      <c r="F928" s="66" t="s">
        <v>673</v>
      </c>
      <c r="G928" s="48"/>
      <c r="H928" s="48"/>
      <c r="I928" s="48"/>
      <c r="J928" s="48"/>
      <c r="K928" s="48"/>
      <c r="L928" s="48"/>
      <c r="M928" s="48"/>
      <c r="N928" s="48"/>
      <c r="O928" s="48"/>
      <c r="P928" s="48"/>
      <c r="Q928" s="48"/>
      <c r="R928" s="48"/>
      <c r="S928" s="48"/>
      <c r="T928" s="49"/>
      <c r="U928" s="1334" t="s">
        <v>589</v>
      </c>
      <c r="V928" s="1335"/>
      <c r="W928" s="1335"/>
      <c r="X928" s="1335"/>
      <c r="Y928" s="1335"/>
      <c r="Z928" s="1336"/>
      <c r="AA928" s="1366">
        <f>AM563</f>
        <v>23901431</v>
      </c>
      <c r="AB928" s="1367"/>
      <c r="AC928" s="1367"/>
      <c r="AD928" s="1367"/>
      <c r="AE928" s="1367"/>
      <c r="AF928" s="1368"/>
      <c r="AZ928" s="34"/>
      <c r="BA928" s="34"/>
      <c r="BB928" s="34"/>
      <c r="BC928" s="34"/>
    </row>
    <row r="929" spans="6:55" ht="12.95" customHeight="1">
      <c r="F929" s="45" t="s">
        <v>799</v>
      </c>
      <c r="G929" s="5"/>
      <c r="H929" s="5"/>
      <c r="I929" s="5"/>
      <c r="J929" s="5"/>
      <c r="K929" s="5"/>
      <c r="L929" s="5"/>
      <c r="M929" s="5"/>
      <c r="N929" s="5"/>
      <c r="O929" s="5"/>
      <c r="P929" s="5"/>
      <c r="Q929" s="5"/>
      <c r="R929" s="5"/>
      <c r="S929" s="5"/>
      <c r="T929" s="46"/>
      <c r="U929" s="1334" t="s">
        <v>589</v>
      </c>
      <c r="V929" s="1335"/>
      <c r="W929" s="1335"/>
      <c r="X929" s="1335"/>
      <c r="Y929" s="1335"/>
      <c r="Z929" s="1336"/>
      <c r="AA929" s="1366"/>
      <c r="AB929" s="1367"/>
      <c r="AC929" s="1367"/>
      <c r="AD929" s="1367"/>
      <c r="AE929" s="1367"/>
      <c r="AF929" s="1368"/>
      <c r="AZ929" s="34"/>
      <c r="BA929" s="34"/>
      <c r="BB929" s="34"/>
      <c r="BC929" s="34"/>
    </row>
    <row r="930" spans="6:55" ht="12.95" customHeight="1">
      <c r="F930" s="45" t="s">
        <v>676</v>
      </c>
      <c r="G930" s="5"/>
      <c r="H930" s="5"/>
      <c r="I930" s="5"/>
      <c r="J930" s="5"/>
      <c r="K930" s="5"/>
      <c r="L930" s="5"/>
      <c r="M930" s="5"/>
      <c r="N930" s="5"/>
      <c r="O930" s="5"/>
      <c r="P930" s="5"/>
      <c r="Q930" s="5"/>
      <c r="R930" s="5"/>
      <c r="S930" s="5"/>
      <c r="T930" s="46"/>
      <c r="U930" s="1334" t="s">
        <v>589</v>
      </c>
      <c r="V930" s="1335"/>
      <c r="W930" s="1335"/>
      <c r="X930" s="1335"/>
      <c r="Y930" s="1335"/>
      <c r="Z930" s="1336"/>
      <c r="AA930" s="1366"/>
      <c r="AB930" s="1367"/>
      <c r="AC930" s="1367"/>
      <c r="AD930" s="1367"/>
      <c r="AE930" s="1367"/>
      <c r="AF930" s="1368"/>
      <c r="AZ930" s="34"/>
      <c r="BA930" s="34"/>
      <c r="BB930" s="34"/>
      <c r="BC930" s="34"/>
    </row>
    <row r="931" spans="6:55" ht="12.95" customHeight="1">
      <c r="F931" s="66" t="s">
        <v>784</v>
      </c>
      <c r="G931" s="5"/>
      <c r="H931" s="5"/>
      <c r="I931" s="5"/>
      <c r="J931" s="5"/>
      <c r="K931" s="5"/>
      <c r="L931" s="5"/>
      <c r="M931" s="5"/>
      <c r="N931" s="5"/>
      <c r="O931" s="5"/>
      <c r="P931" s="5"/>
      <c r="Q931" s="5"/>
      <c r="R931" s="5"/>
      <c r="S931" s="5"/>
      <c r="T931" s="46"/>
      <c r="U931" s="1334" t="s">
        <v>589</v>
      </c>
      <c r="V931" s="1335"/>
      <c r="W931" s="1335"/>
      <c r="X931" s="1335"/>
      <c r="Y931" s="1335"/>
      <c r="Z931" s="1336"/>
      <c r="AA931" s="1366"/>
      <c r="AB931" s="1367"/>
      <c r="AC931" s="1367"/>
      <c r="AD931" s="1367"/>
      <c r="AE931" s="1367"/>
      <c r="AF931" s="1368"/>
      <c r="AZ931" s="34"/>
      <c r="BA931" s="34"/>
      <c r="BB931" s="34"/>
      <c r="BC931" s="34"/>
    </row>
    <row r="932" spans="6:55" ht="12.95" customHeight="1">
      <c r="F932" s="66" t="s">
        <v>785</v>
      </c>
      <c r="G932" s="5"/>
      <c r="H932" s="5"/>
      <c r="I932" s="5"/>
      <c r="J932" s="5"/>
      <c r="K932" s="5"/>
      <c r="L932" s="5"/>
      <c r="M932" s="5"/>
      <c r="N932" s="5"/>
      <c r="O932" s="5"/>
      <c r="P932" s="5"/>
      <c r="Q932" s="5"/>
      <c r="R932" s="5"/>
      <c r="S932" s="5"/>
      <c r="T932" s="46"/>
      <c r="U932" s="1334" t="s">
        <v>589</v>
      </c>
      <c r="V932" s="1335"/>
      <c r="W932" s="1335"/>
      <c r="X932" s="1335"/>
      <c r="Y932" s="1335"/>
      <c r="Z932" s="1336"/>
      <c r="AA932" s="1366"/>
      <c r="AB932" s="1367"/>
      <c r="AC932" s="1367"/>
      <c r="AD932" s="1367"/>
      <c r="AE932" s="1367"/>
      <c r="AF932" s="1368"/>
      <c r="AZ932" s="34"/>
      <c r="BA932" s="34"/>
      <c r="BB932" s="34"/>
      <c r="BC932" s="34"/>
    </row>
    <row r="933" spans="6:55" ht="12.95" customHeight="1">
      <c r="F933" s="66" t="s">
        <v>786</v>
      </c>
      <c r="G933" s="5"/>
      <c r="H933" s="5"/>
      <c r="I933" s="5"/>
      <c r="J933" s="5"/>
      <c r="K933" s="5"/>
      <c r="L933" s="5"/>
      <c r="M933" s="5"/>
      <c r="N933" s="5"/>
      <c r="O933" s="5"/>
      <c r="P933" s="5"/>
      <c r="Q933" s="5"/>
      <c r="R933" s="5"/>
      <c r="S933" s="5"/>
      <c r="T933" s="46"/>
      <c r="U933" s="1334" t="s">
        <v>589</v>
      </c>
      <c r="V933" s="1335"/>
      <c r="W933" s="1335"/>
      <c r="X933" s="1335"/>
      <c r="Y933" s="1335"/>
      <c r="Z933" s="1336"/>
      <c r="AA933" s="1366"/>
      <c r="AB933" s="1367"/>
      <c r="AC933" s="1367"/>
      <c r="AD933" s="1367"/>
      <c r="AE933" s="1367"/>
      <c r="AF933" s="1368"/>
      <c r="AZ933" s="34"/>
      <c r="BA933" s="34"/>
      <c r="BB933" s="34"/>
      <c r="BC933" s="34"/>
    </row>
    <row r="934" spans="6:55" ht="12.95" customHeight="1">
      <c r="F934" s="45" t="s">
        <v>675</v>
      </c>
      <c r="G934" s="5"/>
      <c r="H934" s="5"/>
      <c r="I934" s="5"/>
      <c r="J934" s="5"/>
      <c r="K934" s="5"/>
      <c r="L934" s="5"/>
      <c r="M934" s="5"/>
      <c r="N934" s="5"/>
      <c r="O934" s="5"/>
      <c r="P934" s="5"/>
      <c r="Q934" s="5"/>
      <c r="R934" s="5"/>
      <c r="S934" s="5"/>
      <c r="T934" s="46"/>
      <c r="U934" s="1334" t="s">
        <v>589</v>
      </c>
      <c r="V934" s="1335"/>
      <c r="W934" s="1335"/>
      <c r="X934" s="1335"/>
      <c r="Y934" s="1335"/>
      <c r="Z934" s="1336"/>
      <c r="AA934" s="1366"/>
      <c r="AB934" s="1367"/>
      <c r="AC934" s="1367"/>
      <c r="AD934" s="1367"/>
      <c r="AE934" s="1367"/>
      <c r="AF934" s="1368"/>
      <c r="AZ934" s="34"/>
      <c r="BA934" s="34"/>
      <c r="BB934" s="34"/>
      <c r="BC934" s="34"/>
    </row>
    <row r="935" spans="6:55" ht="12.95" customHeight="1">
      <c r="F935" s="1385" t="s">
        <v>2139</v>
      </c>
      <c r="G935" s="1386"/>
      <c r="H935" s="1386"/>
      <c r="I935" s="1386"/>
      <c r="J935" s="1386"/>
      <c r="K935" s="1386"/>
      <c r="L935" s="1386"/>
      <c r="M935" s="1386"/>
      <c r="N935" s="1386"/>
      <c r="O935" s="1386"/>
      <c r="P935" s="1386"/>
      <c r="Q935" s="1386"/>
      <c r="R935" s="1386"/>
      <c r="S935" s="1386"/>
      <c r="T935" s="1387"/>
      <c r="U935" s="1334" t="s">
        <v>589</v>
      </c>
      <c r="V935" s="1335"/>
      <c r="W935" s="1335"/>
      <c r="X935" s="1335"/>
      <c r="Y935" s="1335"/>
      <c r="Z935" s="1336"/>
      <c r="AA935" s="1366"/>
      <c r="AB935" s="1367"/>
      <c r="AC935" s="1367"/>
      <c r="AD935" s="1367"/>
      <c r="AE935" s="1367"/>
      <c r="AF935" s="1368"/>
      <c r="AZ935" s="34"/>
      <c r="BA935" s="34"/>
      <c r="BB935" s="34"/>
      <c r="BC935" s="34"/>
    </row>
    <row r="936" spans="6:55" ht="12.95" customHeight="1">
      <c r="F936" s="1385" t="s">
        <v>677</v>
      </c>
      <c r="G936" s="1386"/>
      <c r="H936" s="1386"/>
      <c r="I936" s="1386"/>
      <c r="J936" s="1386"/>
      <c r="K936" s="1386"/>
      <c r="L936" s="1386"/>
      <c r="M936" s="1386"/>
      <c r="N936" s="1386"/>
      <c r="O936" s="1386"/>
      <c r="P936" s="1386"/>
      <c r="Q936" s="1386"/>
      <c r="R936" s="1386"/>
      <c r="S936" s="1386"/>
      <c r="T936" s="1387"/>
      <c r="U936" s="1334" t="s">
        <v>589</v>
      </c>
      <c r="V936" s="1335"/>
      <c r="W936" s="1335"/>
      <c r="X936" s="1335"/>
      <c r="Y936" s="1335"/>
      <c r="Z936" s="1336"/>
      <c r="AA936" s="1366"/>
      <c r="AB936" s="1367"/>
      <c r="AC936" s="1367"/>
      <c r="AD936" s="1367"/>
      <c r="AE936" s="1367"/>
      <c r="AF936" s="1368"/>
      <c r="AU936" s="2"/>
      <c r="AZ936" s="34"/>
      <c r="BA936" s="34"/>
      <c r="BB936" s="34"/>
      <c r="BC936" s="34"/>
    </row>
    <row r="937" spans="6:55" ht="12.95" customHeight="1">
      <c r="F937" s="1385" t="s">
        <v>2140</v>
      </c>
      <c r="G937" s="1386"/>
      <c r="H937" s="1386"/>
      <c r="I937" s="1386"/>
      <c r="J937" s="1386"/>
      <c r="K937" s="1386"/>
      <c r="L937" s="1386"/>
      <c r="M937" s="1386"/>
      <c r="N937" s="1386"/>
      <c r="O937" s="1386"/>
      <c r="P937" s="1386"/>
      <c r="Q937" s="1386"/>
      <c r="R937" s="1386"/>
      <c r="S937" s="1386"/>
      <c r="T937" s="1387"/>
      <c r="U937" s="1334" t="s">
        <v>589</v>
      </c>
      <c r="V937" s="1335"/>
      <c r="W937" s="1335"/>
      <c r="X937" s="1335"/>
      <c r="Y937" s="1335"/>
      <c r="Z937" s="1336"/>
      <c r="AA937" s="1366"/>
      <c r="AB937" s="1367"/>
      <c r="AC937" s="1367"/>
      <c r="AD937" s="1367"/>
      <c r="AE937" s="1367"/>
      <c r="AF937" s="1368"/>
      <c r="AU937" s="2"/>
      <c r="AZ937" s="34"/>
      <c r="BA937" s="34"/>
      <c r="BB937" s="34"/>
      <c r="BC937" s="34"/>
    </row>
    <row r="938" spans="6:55" ht="12.95" customHeight="1">
      <c r="F938" s="1385" t="s">
        <v>2141</v>
      </c>
      <c r="G938" s="1386"/>
      <c r="H938" s="1386"/>
      <c r="I938" s="1386"/>
      <c r="J938" s="1386"/>
      <c r="K938" s="1386"/>
      <c r="L938" s="1386"/>
      <c r="M938" s="1386"/>
      <c r="N938" s="1386"/>
      <c r="O938" s="1386"/>
      <c r="P938" s="1386"/>
      <c r="Q938" s="1386"/>
      <c r="R938" s="1386"/>
      <c r="S938" s="1386"/>
      <c r="T938" s="1387"/>
      <c r="U938" s="1334" t="s">
        <v>589</v>
      </c>
      <c r="V938" s="1335"/>
      <c r="W938" s="1335"/>
      <c r="X938" s="1335"/>
      <c r="Y938" s="1335"/>
      <c r="Z938" s="1336"/>
      <c r="AA938" s="1366"/>
      <c r="AB938" s="1367"/>
      <c r="AC938" s="1367"/>
      <c r="AD938" s="1367"/>
      <c r="AE938" s="1367"/>
      <c r="AF938" s="1368"/>
      <c r="AU938" s="2"/>
      <c r="AZ938" s="34"/>
      <c r="BA938" s="34"/>
      <c r="BB938" s="34"/>
      <c r="BC938" s="34"/>
    </row>
    <row r="939" spans="6:55" ht="12.95" customHeight="1">
      <c r="F939" s="1385" t="s">
        <v>2142</v>
      </c>
      <c r="G939" s="1386"/>
      <c r="H939" s="1386"/>
      <c r="I939" s="1386"/>
      <c r="J939" s="1386"/>
      <c r="K939" s="1386"/>
      <c r="L939" s="1386"/>
      <c r="M939" s="1386"/>
      <c r="N939" s="1386"/>
      <c r="O939" s="1386"/>
      <c r="P939" s="1386"/>
      <c r="Q939" s="1386"/>
      <c r="R939" s="1386"/>
      <c r="S939" s="1386"/>
      <c r="T939" s="1387"/>
      <c r="U939" s="1334" t="s">
        <v>589</v>
      </c>
      <c r="V939" s="1335"/>
      <c r="W939" s="1335"/>
      <c r="X939" s="1335"/>
      <c r="Y939" s="1335"/>
      <c r="Z939" s="1336"/>
      <c r="AA939" s="1366"/>
      <c r="AB939" s="1367"/>
      <c r="AC939" s="1367"/>
      <c r="AD939" s="1367"/>
      <c r="AE939" s="1367"/>
      <c r="AF939" s="1368"/>
      <c r="AU939" s="2"/>
      <c r="AZ939" s="34"/>
      <c r="BA939" s="34"/>
      <c r="BB939" s="34"/>
      <c r="BC939" s="34"/>
    </row>
    <row r="940" spans="6:55" ht="12.95" customHeight="1">
      <c r="F940" s="1385" t="s">
        <v>2143</v>
      </c>
      <c r="G940" s="1386"/>
      <c r="H940" s="1386"/>
      <c r="I940" s="1386"/>
      <c r="J940" s="1386"/>
      <c r="K940" s="1386"/>
      <c r="L940" s="1386"/>
      <c r="M940" s="1386"/>
      <c r="N940" s="1386"/>
      <c r="O940" s="1386"/>
      <c r="P940" s="1386"/>
      <c r="Q940" s="1386"/>
      <c r="R940" s="1386"/>
      <c r="S940" s="1386"/>
      <c r="T940" s="1387"/>
      <c r="U940" s="1334" t="s">
        <v>589</v>
      </c>
      <c r="V940" s="1335"/>
      <c r="W940" s="1335"/>
      <c r="X940" s="1335"/>
      <c r="Y940" s="1335"/>
      <c r="Z940" s="1336"/>
      <c r="AA940" s="1366"/>
      <c r="AB940" s="1367"/>
      <c r="AC940" s="1367"/>
      <c r="AD940" s="1367"/>
      <c r="AE940" s="1367"/>
      <c r="AF940" s="1368"/>
      <c r="AU940" s="2"/>
      <c r="AZ940" s="34"/>
      <c r="BA940" s="34"/>
      <c r="BB940" s="34"/>
      <c r="BC940" s="34"/>
    </row>
    <row r="941" spans="6:55" ht="12.95" customHeight="1">
      <c r="F941" s="1385" t="s">
        <v>2144</v>
      </c>
      <c r="G941" s="1386"/>
      <c r="H941" s="1386"/>
      <c r="I941" s="1386"/>
      <c r="J941" s="1386"/>
      <c r="K941" s="1386"/>
      <c r="L941" s="1386"/>
      <c r="M941" s="1386"/>
      <c r="N941" s="1386"/>
      <c r="O941" s="1386"/>
      <c r="P941" s="1386"/>
      <c r="Q941" s="1386"/>
      <c r="R941" s="1386"/>
      <c r="S941" s="1386"/>
      <c r="T941" s="1387"/>
      <c r="U941" s="1334" t="s">
        <v>589</v>
      </c>
      <c r="V941" s="1335"/>
      <c r="W941" s="1335"/>
      <c r="X941" s="1335"/>
      <c r="Y941" s="1335"/>
      <c r="Z941" s="1336"/>
      <c r="AA941" s="1366"/>
      <c r="AB941" s="1367"/>
      <c r="AC941" s="1367"/>
      <c r="AD941" s="1367"/>
      <c r="AE941" s="1367"/>
      <c r="AF941" s="1368"/>
      <c r="AZ941" s="30"/>
      <c r="BA941" s="30"/>
    </row>
    <row r="942" spans="6:55" ht="12.95" customHeight="1">
      <c r="F942" s="178" t="s">
        <v>674</v>
      </c>
      <c r="G942" s="5"/>
      <c r="H942" s="5"/>
      <c r="I942" s="5"/>
      <c r="J942" s="5"/>
      <c r="K942" s="5"/>
      <c r="L942" s="5"/>
      <c r="M942" s="5"/>
      <c r="N942" s="5"/>
      <c r="O942" s="5"/>
      <c r="P942" s="5"/>
      <c r="Q942" s="5"/>
      <c r="R942" s="5"/>
      <c r="S942" s="5"/>
      <c r="T942" s="46"/>
      <c r="U942" s="1334" t="s">
        <v>589</v>
      </c>
      <c r="V942" s="1335"/>
      <c r="W942" s="1335"/>
      <c r="X942" s="1335"/>
      <c r="Y942" s="1335"/>
      <c r="Z942" s="1336"/>
      <c r="AA942" s="1366"/>
      <c r="AB942" s="1367"/>
      <c r="AC942" s="1367"/>
      <c r="AD942" s="1367"/>
      <c r="AE942" s="1367"/>
      <c r="AF942" s="1368"/>
    </row>
    <row r="943" spans="6:55" ht="12.95" customHeight="1">
      <c r="F943" s="121" t="s">
        <v>1274</v>
      </c>
      <c r="G943" s="5"/>
      <c r="H943" s="5"/>
      <c r="I943" s="5"/>
      <c r="J943" s="5"/>
      <c r="K943" s="5"/>
      <c r="L943" s="5"/>
      <c r="M943" s="5"/>
      <c r="N943" s="5"/>
      <c r="O943" s="5"/>
      <c r="P943" s="5"/>
      <c r="Q943" s="5"/>
      <c r="R943" s="5"/>
      <c r="S943" s="5"/>
      <c r="T943" s="46"/>
      <c r="U943" s="1334" t="s">
        <v>589</v>
      </c>
      <c r="V943" s="1335"/>
      <c r="W943" s="1335"/>
      <c r="X943" s="1335"/>
      <c r="Y943" s="1335"/>
      <c r="Z943" s="1336"/>
      <c r="AA943" s="1366"/>
      <c r="AB943" s="1367"/>
      <c r="AC943" s="1367"/>
      <c r="AD943" s="1367"/>
      <c r="AE943" s="1367"/>
      <c r="AF943" s="1368"/>
      <c r="AZ943" s="30"/>
      <c r="BA943" s="14"/>
    </row>
    <row r="944" spans="6:55" ht="12.95" customHeight="1">
      <c r="F944" s="66" t="s">
        <v>800</v>
      </c>
      <c r="G944" s="5"/>
      <c r="H944" s="5"/>
      <c r="I944" s="5"/>
      <c r="J944" s="5"/>
      <c r="K944" s="5"/>
      <c r="L944" s="5"/>
      <c r="M944" s="5"/>
      <c r="N944" s="5"/>
      <c r="O944" s="5"/>
      <c r="P944" s="5"/>
      <c r="Q944" s="5"/>
      <c r="R944" s="5"/>
      <c r="S944" s="5"/>
      <c r="T944" s="46"/>
      <c r="U944" s="1334" t="s">
        <v>589</v>
      </c>
      <c r="V944" s="1335"/>
      <c r="W944" s="1335"/>
      <c r="X944" s="1335"/>
      <c r="Y944" s="1335"/>
      <c r="Z944" s="1336"/>
      <c r="AA944" s="1366"/>
      <c r="AB944" s="1367"/>
      <c r="AC944" s="1367"/>
      <c r="AD944" s="1367"/>
      <c r="AE944" s="1367"/>
      <c r="AF944" s="1368"/>
      <c r="AZ944" s="30"/>
      <c r="BA944" s="14"/>
    </row>
    <row r="945" spans="6:55" ht="12.95" customHeight="1">
      <c r="F945" s="1379" t="s">
        <v>2148</v>
      </c>
      <c r="G945" s="1380"/>
      <c r="H945" s="1380"/>
      <c r="I945" s="1380"/>
      <c r="J945" s="1380"/>
      <c r="K945" s="1380"/>
      <c r="L945" s="1380"/>
      <c r="M945" s="1380"/>
      <c r="N945" s="1380"/>
      <c r="O945" s="1380"/>
      <c r="P945" s="1380"/>
      <c r="Q945" s="1380"/>
      <c r="R945" s="1380"/>
      <c r="S945" s="1380"/>
      <c r="T945" s="1381"/>
      <c r="U945" s="1334" t="s">
        <v>589</v>
      </c>
      <c r="V945" s="1335"/>
      <c r="W945" s="1335"/>
      <c r="X945" s="1335"/>
      <c r="Y945" s="1335"/>
      <c r="Z945" s="1336"/>
      <c r="AA945" s="1366"/>
      <c r="AB945" s="1367"/>
      <c r="AC945" s="1367"/>
      <c r="AD945" s="1367"/>
      <c r="AE945" s="1367"/>
      <c r="AF945" s="1368"/>
      <c r="AZ945" s="30"/>
      <c r="BA945" s="14"/>
    </row>
    <row r="946" spans="6:55" ht="12.95" customHeight="1">
      <c r="F946" s="1379" t="s">
        <v>2149</v>
      </c>
      <c r="G946" s="1380"/>
      <c r="H946" s="1380"/>
      <c r="I946" s="1380"/>
      <c r="J946" s="1380"/>
      <c r="K946" s="1380"/>
      <c r="L946" s="1380"/>
      <c r="M946" s="1380"/>
      <c r="N946" s="1380"/>
      <c r="O946" s="1380"/>
      <c r="P946" s="1380"/>
      <c r="Q946" s="1380"/>
      <c r="R946" s="1380"/>
      <c r="S946" s="1380"/>
      <c r="T946" s="1381"/>
      <c r="U946" s="1334" t="s">
        <v>589</v>
      </c>
      <c r="V946" s="1335"/>
      <c r="W946" s="1335"/>
      <c r="X946" s="1335"/>
      <c r="Y946" s="1335"/>
      <c r="Z946" s="1336"/>
      <c r="AA946" s="1366"/>
      <c r="AB946" s="1367"/>
      <c r="AC946" s="1367"/>
      <c r="AD946" s="1367"/>
      <c r="AE946" s="1367"/>
      <c r="AF946" s="1368"/>
      <c r="AZ946" s="30"/>
      <c r="BA946" s="30"/>
    </row>
    <row r="947" spans="6:55" ht="12.95" customHeight="1">
      <c r="F947" s="1385" t="s">
        <v>2145</v>
      </c>
      <c r="G947" s="1386"/>
      <c r="H947" s="1386"/>
      <c r="I947" s="1386"/>
      <c r="J947" s="1386"/>
      <c r="K947" s="1386"/>
      <c r="L947" s="1386"/>
      <c r="M947" s="1386"/>
      <c r="N947" s="1386"/>
      <c r="O947" s="1386"/>
      <c r="P947" s="1386"/>
      <c r="Q947" s="1386"/>
      <c r="R947" s="1386"/>
      <c r="S947" s="1386"/>
      <c r="T947" s="1387"/>
      <c r="U947" s="1334" t="s">
        <v>589</v>
      </c>
      <c r="V947" s="1335"/>
      <c r="W947" s="1335"/>
      <c r="X947" s="1335"/>
      <c r="Y947" s="1335"/>
      <c r="Z947" s="1336"/>
      <c r="AA947" s="1366"/>
      <c r="AB947" s="1367"/>
      <c r="AC947" s="1367"/>
      <c r="AD947" s="1367"/>
      <c r="AE947" s="1367"/>
      <c r="AF947" s="1368"/>
      <c r="AZ947" s="30"/>
      <c r="BA947" s="30"/>
    </row>
    <row r="948" spans="6:55" ht="12.95" customHeight="1">
      <c r="F948" s="1385" t="s">
        <v>2146</v>
      </c>
      <c r="G948" s="1386"/>
      <c r="H948" s="1386"/>
      <c r="I948" s="1386"/>
      <c r="J948" s="1386"/>
      <c r="K948" s="1386"/>
      <c r="L948" s="1386"/>
      <c r="M948" s="1386"/>
      <c r="N948" s="1386"/>
      <c r="O948" s="1386"/>
      <c r="P948" s="1386"/>
      <c r="Q948" s="1386"/>
      <c r="R948" s="1386"/>
      <c r="S948" s="1386"/>
      <c r="T948" s="1387"/>
      <c r="U948" s="1334" t="s">
        <v>589</v>
      </c>
      <c r="V948" s="1335"/>
      <c r="W948" s="1335"/>
      <c r="X948" s="1335"/>
      <c r="Y948" s="1335"/>
      <c r="Z948" s="1336"/>
      <c r="AA948" s="1366"/>
      <c r="AB948" s="1367"/>
      <c r="AC948" s="1367"/>
      <c r="AD948" s="1367"/>
      <c r="AE948" s="1367"/>
      <c r="AF948" s="1368"/>
      <c r="AZ948" s="30"/>
      <c r="BA948" s="30"/>
    </row>
    <row r="949" spans="6:55" ht="12.95" customHeight="1">
      <c r="F949" s="1385" t="s">
        <v>2147</v>
      </c>
      <c r="G949" s="1386"/>
      <c r="H949" s="1386"/>
      <c r="I949" s="1386"/>
      <c r="J949" s="1386"/>
      <c r="K949" s="1386"/>
      <c r="L949" s="1386"/>
      <c r="M949" s="1386"/>
      <c r="N949" s="1386"/>
      <c r="O949" s="1386"/>
      <c r="P949" s="1386"/>
      <c r="Q949" s="1386"/>
      <c r="R949" s="1386"/>
      <c r="S949" s="1386"/>
      <c r="T949" s="1387"/>
      <c r="U949" s="1334" t="s">
        <v>589</v>
      </c>
      <c r="V949" s="1335"/>
      <c r="W949" s="1335"/>
      <c r="X949" s="1335"/>
      <c r="Y949" s="1335"/>
      <c r="Z949" s="1336"/>
      <c r="AA949" s="1366"/>
      <c r="AB949" s="1367"/>
      <c r="AC949" s="1367"/>
      <c r="AD949" s="1367"/>
      <c r="AE949" s="1367"/>
      <c r="AF949" s="1368"/>
      <c r="AZ949" s="34"/>
      <c r="BA949" s="34"/>
      <c r="BB949" s="14"/>
      <c r="BC949" s="14"/>
    </row>
    <row r="950" spans="6:55" ht="12.95" customHeight="1">
      <c r="F950" s="121" t="s">
        <v>1258</v>
      </c>
      <c r="G950" s="5"/>
      <c r="H950" s="5"/>
      <c r="I950" s="5"/>
      <c r="J950" s="5"/>
      <c r="K950" s="5"/>
      <c r="L950" s="5"/>
      <c r="M950" s="5"/>
      <c r="N950" s="5"/>
      <c r="O950" s="5"/>
      <c r="P950" s="5"/>
      <c r="Q950" s="5"/>
      <c r="R950" s="5"/>
      <c r="S950" s="5"/>
      <c r="T950" s="46"/>
      <c r="U950" s="1334" t="s">
        <v>589</v>
      </c>
      <c r="V950" s="1335"/>
      <c r="W950" s="1335"/>
      <c r="X950" s="1335"/>
      <c r="Y950" s="1335"/>
      <c r="Z950" s="1336"/>
      <c r="AA950" s="1366"/>
      <c r="AB950" s="1367"/>
      <c r="AC950" s="1367"/>
      <c r="AD950" s="1367"/>
      <c r="AE950" s="1367"/>
      <c r="AF950" s="1368"/>
      <c r="AZ950" s="34"/>
      <c r="BA950" s="34"/>
      <c r="BB950" s="14"/>
      <c r="BC950" s="14"/>
    </row>
    <row r="951" spans="6:55" ht="12.95" customHeight="1">
      <c r="F951" s="1379" t="s">
        <v>2150</v>
      </c>
      <c r="G951" s="1380"/>
      <c r="H951" s="1380"/>
      <c r="I951" s="1380"/>
      <c r="J951" s="1380"/>
      <c r="K951" s="1380"/>
      <c r="L951" s="1380"/>
      <c r="M951" s="1380"/>
      <c r="N951" s="1380"/>
      <c r="O951" s="1380"/>
      <c r="P951" s="1380"/>
      <c r="Q951" s="1380"/>
      <c r="R951" s="1380"/>
      <c r="S951" s="1380"/>
      <c r="T951" s="1381"/>
      <c r="U951" s="1334" t="s">
        <v>589</v>
      </c>
      <c r="V951" s="1335"/>
      <c r="W951" s="1335"/>
      <c r="X951" s="1335"/>
      <c r="Y951" s="1335"/>
      <c r="Z951" s="1336"/>
      <c r="AA951" s="1366"/>
      <c r="AB951" s="1367"/>
      <c r="AC951" s="1367"/>
      <c r="AD951" s="1367"/>
      <c r="AE951" s="1367"/>
      <c r="AF951" s="1368"/>
      <c r="AZ951" s="34"/>
      <c r="BA951" s="34"/>
      <c r="BB951" s="34"/>
      <c r="BC951" s="34"/>
    </row>
    <row r="952" spans="6:55" ht="12.95" customHeight="1">
      <c r="F952" s="121" t="s">
        <v>1259</v>
      </c>
      <c r="G952" s="5"/>
      <c r="H952" s="5"/>
      <c r="I952" s="5"/>
      <c r="J952" s="5"/>
      <c r="K952" s="5"/>
      <c r="L952" s="5"/>
      <c r="M952" s="5"/>
      <c r="N952" s="5"/>
      <c r="O952" s="5"/>
      <c r="P952" s="5"/>
      <c r="Q952" s="5"/>
      <c r="R952" s="5"/>
      <c r="S952" s="5"/>
      <c r="T952" s="46"/>
      <c r="U952" s="1334" t="s">
        <v>589</v>
      </c>
      <c r="V952" s="1335"/>
      <c r="W952" s="1335"/>
      <c r="X952" s="1335"/>
      <c r="Y952" s="1335"/>
      <c r="Z952" s="1336"/>
      <c r="AA952" s="1366"/>
      <c r="AB952" s="1367"/>
      <c r="AC952" s="1367"/>
      <c r="AD952" s="1367"/>
      <c r="AE952" s="1367"/>
      <c r="AF952" s="1368"/>
      <c r="AZ952" s="34"/>
      <c r="BA952" s="34"/>
      <c r="BB952" s="34"/>
      <c r="BC952" s="34"/>
    </row>
    <row r="953" spans="6:55" ht="12.95" customHeight="1">
      <c r="F953" s="1379" t="s">
        <v>2151</v>
      </c>
      <c r="G953" s="1380"/>
      <c r="H953" s="1380"/>
      <c r="I953" s="1380"/>
      <c r="J953" s="1380"/>
      <c r="K953" s="1380"/>
      <c r="L953" s="1380"/>
      <c r="M953" s="1380"/>
      <c r="N953" s="1380"/>
      <c r="O953" s="1380"/>
      <c r="P953" s="1380"/>
      <c r="Q953" s="1380"/>
      <c r="R953" s="1380"/>
      <c r="S953" s="1380"/>
      <c r="T953" s="1381"/>
      <c r="U953" s="1334" t="s">
        <v>589</v>
      </c>
      <c r="V953" s="1335"/>
      <c r="W953" s="1335"/>
      <c r="X953" s="1335"/>
      <c r="Y953" s="1335"/>
      <c r="Z953" s="1336"/>
      <c r="AA953" s="1366"/>
      <c r="AB953" s="1367"/>
      <c r="AC953" s="1367"/>
      <c r="AD953" s="1367"/>
      <c r="AE953" s="1367"/>
      <c r="AF953" s="1368"/>
      <c r="AZ953" s="34"/>
      <c r="BA953" s="34"/>
      <c r="BB953" s="34"/>
      <c r="BC953" s="34"/>
    </row>
    <row r="954" spans="6:55" ht="12.95" customHeight="1">
      <c r="F954" s="45" t="s">
        <v>804</v>
      </c>
      <c r="G954" s="5"/>
      <c r="H954" s="5"/>
      <c r="I954" s="5"/>
      <c r="J954" s="5"/>
      <c r="K954" s="5"/>
      <c r="L954" s="5"/>
      <c r="M954" s="5"/>
      <c r="N954" s="5"/>
      <c r="O954" s="5"/>
      <c r="P954" s="1334" t="s">
        <v>667</v>
      </c>
      <c r="Q954" s="1335"/>
      <c r="R954" s="1335"/>
      <c r="S954" s="1335"/>
      <c r="T954" s="1336"/>
      <c r="U954" s="1334" t="s">
        <v>589</v>
      </c>
      <c r="V954" s="1335"/>
      <c r="W954" s="1335"/>
      <c r="X954" s="1335"/>
      <c r="Y954" s="1335"/>
      <c r="Z954" s="1336"/>
      <c r="AA954" s="1366"/>
      <c r="AB954" s="1367"/>
      <c r="AC954" s="1367"/>
      <c r="AD954" s="1367"/>
      <c r="AE954" s="1367"/>
      <c r="AF954" s="1368"/>
      <c r="AZ954" s="34"/>
      <c r="BA954" s="34"/>
      <c r="BB954" s="34"/>
      <c r="BC954" s="34"/>
    </row>
    <row r="955" spans="6:55" ht="12.95" customHeight="1">
      <c r="F955" s="1385" t="s">
        <v>2138</v>
      </c>
      <c r="G955" s="1386"/>
      <c r="H955" s="1387"/>
      <c r="I955" s="1376" t="s">
        <v>333</v>
      </c>
      <c r="J955" s="1626"/>
      <c r="K955" s="1626"/>
      <c r="L955" s="1626"/>
      <c r="M955" s="1626"/>
      <c r="N955" s="1626"/>
      <c r="O955" s="1626"/>
      <c r="P955" s="1626"/>
      <c r="Q955" s="1626"/>
      <c r="R955" s="1626"/>
      <c r="S955" s="1626"/>
      <c r="T955" s="1627"/>
      <c r="U955" s="1334" t="s">
        <v>589</v>
      </c>
      <c r="V955" s="1335"/>
      <c r="W955" s="1335"/>
      <c r="X955" s="1335"/>
      <c r="Y955" s="1335"/>
      <c r="Z955" s="1336"/>
      <c r="AA955" s="1366"/>
      <c r="AB955" s="1367"/>
      <c r="AC955" s="1367"/>
      <c r="AD955" s="1367"/>
      <c r="AE955" s="1367"/>
      <c r="AF955" s="1368"/>
      <c r="AZ955" s="34"/>
      <c r="BA955" s="34"/>
      <c r="BB955" s="34"/>
      <c r="BC955" s="34"/>
    </row>
    <row r="956" spans="6:55" ht="12.95" customHeight="1">
      <c r="F956" s="45" t="s">
        <v>86</v>
      </c>
      <c r="G956" s="48"/>
      <c r="H956" s="48"/>
      <c r="I956" s="1376" t="s">
        <v>333</v>
      </c>
      <c r="J956" s="1626"/>
      <c r="K956" s="1626"/>
      <c r="L956" s="1626"/>
      <c r="M956" s="1626"/>
      <c r="N956" s="1626"/>
      <c r="O956" s="1626"/>
      <c r="P956" s="1626"/>
      <c r="Q956" s="1626"/>
      <c r="R956" s="1626"/>
      <c r="S956" s="1626"/>
      <c r="T956" s="1627"/>
      <c r="U956" s="1334" t="s">
        <v>589</v>
      </c>
      <c r="V956" s="1335"/>
      <c r="W956" s="1335"/>
      <c r="X956" s="1335"/>
      <c r="Y956" s="1335"/>
      <c r="Z956" s="1336"/>
      <c r="AA956" s="1366"/>
      <c r="AB956" s="1367"/>
      <c r="AC956" s="1367"/>
      <c r="AD956" s="1367"/>
      <c r="AE956" s="1367"/>
      <c r="AF956" s="1368"/>
      <c r="AZ956" s="34"/>
      <c r="BA956" s="34"/>
      <c r="BB956" s="34"/>
      <c r="BC956" s="34"/>
    </row>
    <row r="957" spans="6:55" ht="12.95" customHeight="1">
      <c r="F957" s="45" t="s">
        <v>10</v>
      </c>
      <c r="G957" s="48"/>
      <c r="H957" s="48"/>
      <c r="I957" s="1376" t="s">
        <v>2834</v>
      </c>
      <c r="J957" s="1377"/>
      <c r="K957" s="1377"/>
      <c r="L957" s="1377"/>
      <c r="M957" s="1377"/>
      <c r="N957" s="1377"/>
      <c r="O957" s="1377"/>
      <c r="P957" s="1377"/>
      <c r="Q957" s="1377"/>
      <c r="R957" s="1377"/>
      <c r="S957" s="1377"/>
      <c r="T957" s="1378"/>
      <c r="U957" s="1334" t="s">
        <v>543</v>
      </c>
      <c r="V957" s="1335"/>
      <c r="W957" s="1335"/>
      <c r="X957" s="1335"/>
      <c r="Y957" s="1335"/>
      <c r="Z957" s="1336"/>
      <c r="AA957" s="1366">
        <v>5000000</v>
      </c>
      <c r="AB957" s="1367"/>
      <c r="AC957" s="1367"/>
      <c r="AD957" s="1367"/>
      <c r="AE957" s="1367"/>
      <c r="AF957" s="1368"/>
      <c r="AV957" s="2"/>
      <c r="AW957" s="2"/>
      <c r="AX957" s="2"/>
      <c r="AY957" s="2"/>
      <c r="AZ957" s="34"/>
      <c r="BA957" s="34"/>
      <c r="BB957" s="34"/>
      <c r="BC957" s="34"/>
    </row>
    <row r="958" spans="6:55" ht="12.95" customHeight="1">
      <c r="F958" s="47" t="s">
        <v>169</v>
      </c>
      <c r="G958" s="48"/>
      <c r="H958" s="48"/>
      <c r="I958" s="1376" t="s">
        <v>2730</v>
      </c>
      <c r="J958" s="1377"/>
      <c r="K958" s="1377"/>
      <c r="L958" s="1377"/>
      <c r="M958" s="1377"/>
      <c r="N958" s="1377"/>
      <c r="O958" s="1377"/>
      <c r="P958" s="1377"/>
      <c r="Q958" s="1377"/>
      <c r="R958" s="1377"/>
      <c r="S958" s="1377"/>
      <c r="T958" s="1378"/>
      <c r="U958" s="1334" t="s">
        <v>543</v>
      </c>
      <c r="V958" s="1335"/>
      <c r="W958" s="1335"/>
      <c r="X958" s="1335"/>
      <c r="Y958" s="1335"/>
      <c r="Z958" s="1336"/>
      <c r="AA958" s="1366">
        <v>10000000</v>
      </c>
      <c r="AB958" s="1367"/>
      <c r="AC958" s="1367"/>
      <c r="AD958" s="1367"/>
      <c r="AE958" s="1367"/>
      <c r="AF958" s="1368"/>
      <c r="AU958" s="2"/>
      <c r="AZ958" s="34"/>
      <c r="BA958" s="34"/>
      <c r="BB958" s="34"/>
      <c r="BC958" s="34"/>
    </row>
    <row r="959" spans="6:55" ht="12.95" customHeight="1">
      <c r="F959" s="47" t="s">
        <v>169</v>
      </c>
      <c r="G959" s="48"/>
      <c r="H959" s="48"/>
      <c r="I959" s="1376" t="s">
        <v>2731</v>
      </c>
      <c r="J959" s="1377"/>
      <c r="K959" s="1377"/>
      <c r="L959" s="1377"/>
      <c r="M959" s="1377"/>
      <c r="N959" s="1377"/>
      <c r="O959" s="1377"/>
      <c r="P959" s="1377"/>
      <c r="Q959" s="1377"/>
      <c r="R959" s="1377"/>
      <c r="S959" s="1377"/>
      <c r="T959" s="1378"/>
      <c r="U959" s="1334" t="s">
        <v>543</v>
      </c>
      <c r="V959" s="1335"/>
      <c r="W959" s="1335"/>
      <c r="X959" s="1335"/>
      <c r="Y959" s="1335"/>
      <c r="Z959" s="1336"/>
      <c r="AA959" s="1366">
        <v>8585280</v>
      </c>
      <c r="AB959" s="1367"/>
      <c r="AC959" s="1367"/>
      <c r="AD959" s="1367"/>
      <c r="AE959" s="1367"/>
      <c r="AF959" s="1368"/>
      <c r="AU959" s="2"/>
      <c r="AZ959" s="34"/>
      <c r="BA959" s="34"/>
      <c r="BB959" s="34"/>
      <c r="BC959" s="34"/>
    </row>
    <row r="960" spans="6:55" ht="12.95" customHeight="1">
      <c r="AU960" s="2"/>
      <c r="AZ960" s="34"/>
      <c r="BA960" s="34"/>
      <c r="BB960" s="34"/>
      <c r="BC960" s="34"/>
    </row>
    <row r="961" spans="1:64" ht="12.95" customHeight="1">
      <c r="A961" s="2" t="s">
        <v>574</v>
      </c>
      <c r="C961" s="2" t="s">
        <v>749</v>
      </c>
      <c r="AZ961" s="34"/>
      <c r="BA961" s="34"/>
      <c r="BB961" s="34"/>
      <c r="BC961" s="34"/>
    </row>
    <row r="962" spans="1:64" ht="12.95" customHeight="1">
      <c r="B962" s="2"/>
      <c r="C962" s="22" t="s">
        <v>391</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2.95" customHeight="1">
      <c r="AZ963" s="34"/>
      <c r="BA963" s="34"/>
      <c r="BB963" s="34"/>
      <c r="BC963" s="34"/>
    </row>
    <row r="964" spans="1:64" ht="12.95" customHeight="1">
      <c r="C964" s="66" t="s">
        <v>11</v>
      </c>
      <c r="D964" s="5"/>
      <c r="E964" s="5"/>
      <c r="F964" s="5"/>
      <c r="G964" s="5"/>
      <c r="H964" s="5"/>
      <c r="I964" s="5"/>
      <c r="J964" s="5"/>
      <c r="K964" s="5"/>
      <c r="L964" s="46"/>
      <c r="M964" s="1629">
        <v>46155</v>
      </c>
      <c r="N964" s="1587"/>
      <c r="O964" s="1587"/>
      <c r="P964" s="1587"/>
      <c r="Q964" s="1587"/>
      <c r="R964" s="1587"/>
      <c r="S964" s="1588"/>
      <c r="U964" s="66" t="s">
        <v>11</v>
      </c>
      <c r="V964" s="5"/>
      <c r="W964" s="5"/>
      <c r="X964" s="5"/>
      <c r="Y964" s="5"/>
      <c r="Z964" s="5"/>
      <c r="AA964" s="5"/>
      <c r="AB964" s="5"/>
      <c r="AC964" s="5"/>
      <c r="AD964" s="46"/>
      <c r="AE964" s="1586"/>
      <c r="AF964" s="1587"/>
      <c r="AG964" s="1587"/>
      <c r="AH964" s="1587"/>
      <c r="AI964" s="1587"/>
      <c r="AJ964" s="1587"/>
      <c r="AK964" s="1588"/>
      <c r="AZ964" s="34"/>
      <c r="BA964" s="34"/>
      <c r="BB964" s="34"/>
      <c r="BC964" s="34"/>
    </row>
    <row r="965" spans="1:64" ht="12.95" customHeight="1">
      <c r="C965" s="66" t="s">
        <v>12</v>
      </c>
      <c r="D965" s="5"/>
      <c r="E965" s="5"/>
      <c r="F965" s="5"/>
      <c r="G965" s="5"/>
      <c r="H965" s="5"/>
      <c r="I965" s="5"/>
      <c r="J965" s="5"/>
      <c r="K965" s="5"/>
      <c r="L965" s="46"/>
      <c r="M965" s="1411" t="s">
        <v>2746</v>
      </c>
      <c r="N965" s="1412"/>
      <c r="O965" s="1412"/>
      <c r="P965" s="1412"/>
      <c r="Q965" s="1412"/>
      <c r="R965" s="1412"/>
      <c r="S965" s="1413"/>
      <c r="U965" s="66" t="s">
        <v>12</v>
      </c>
      <c r="V965" s="5"/>
      <c r="W965" s="5"/>
      <c r="X965" s="5"/>
      <c r="Y965" s="5"/>
      <c r="Z965" s="5"/>
      <c r="AA965" s="5"/>
      <c r="AB965" s="5"/>
      <c r="AC965" s="5"/>
      <c r="AD965" s="46"/>
      <c r="AE965" s="1411"/>
      <c r="AF965" s="1412"/>
      <c r="AG965" s="1412"/>
      <c r="AH965" s="1412"/>
      <c r="AI965" s="1412"/>
      <c r="AJ965" s="1412"/>
      <c r="AK965" s="1413"/>
      <c r="AZ965" s="34"/>
      <c r="BA965" s="34"/>
      <c r="BB965" s="34"/>
      <c r="BC965" s="34"/>
    </row>
    <row r="966" spans="1:64" ht="12.95" customHeight="1">
      <c r="C966" s="66" t="s">
        <v>878</v>
      </c>
      <c r="D966" s="5"/>
      <c r="E966" s="5"/>
      <c r="J966" s="1340" t="s">
        <v>306</v>
      </c>
      <c r="K966" s="1341"/>
      <c r="L966" s="1341"/>
      <c r="M966" s="1341"/>
      <c r="N966" s="1341"/>
      <c r="O966" s="1341"/>
      <c r="P966" s="1341"/>
      <c r="Q966" s="1341"/>
      <c r="R966" s="1341"/>
      <c r="S966" s="1342"/>
      <c r="U966" s="66" t="s">
        <v>878</v>
      </c>
      <c r="V966" s="5"/>
      <c r="W966" s="5"/>
      <c r="AB966" s="1340" t="s">
        <v>306</v>
      </c>
      <c r="AC966" s="1341"/>
      <c r="AD966" s="1341"/>
      <c r="AE966" s="1341"/>
      <c r="AF966" s="1341"/>
      <c r="AG966" s="1341"/>
      <c r="AH966" s="1341"/>
      <c r="AI966" s="1341"/>
      <c r="AJ966" s="1341"/>
      <c r="AK966" s="1342"/>
      <c r="AZ966" s="34"/>
      <c r="BA966" s="34"/>
      <c r="BB966" s="34"/>
      <c r="BC966" s="34"/>
    </row>
    <row r="967" spans="1:64" ht="12.95" customHeight="1">
      <c r="C967" s="66" t="s">
        <v>13</v>
      </c>
      <c r="D967" s="5"/>
      <c r="E967" s="5"/>
      <c r="F967" s="5"/>
      <c r="G967" s="5"/>
      <c r="H967" s="5"/>
      <c r="I967" s="5"/>
      <c r="J967" s="5"/>
      <c r="K967" s="5"/>
      <c r="L967" s="46"/>
      <c r="M967" s="1643">
        <v>0.49</v>
      </c>
      <c r="N967" s="1354"/>
      <c r="O967" s="1354"/>
      <c r="P967" s="1354"/>
      <c r="Q967" s="1354"/>
      <c r="R967" s="1354"/>
      <c r="S967" s="1355"/>
      <c r="U967" s="66" t="s">
        <v>13</v>
      </c>
      <c r="V967" s="5"/>
      <c r="W967" s="5"/>
      <c r="X967" s="5"/>
      <c r="Y967" s="5"/>
      <c r="Z967" s="5"/>
      <c r="AA967" s="5"/>
      <c r="AB967" s="5"/>
      <c r="AC967" s="5"/>
      <c r="AD967" s="46"/>
      <c r="AE967" s="1353"/>
      <c r="AF967" s="1354"/>
      <c r="AG967" s="1354"/>
      <c r="AH967" s="1354"/>
      <c r="AI967" s="1354"/>
      <c r="AJ967" s="1354"/>
      <c r="AK967" s="1355"/>
      <c r="AZ967" s="34"/>
      <c r="BA967" s="34"/>
      <c r="BB967" s="34"/>
      <c r="BC967" s="34"/>
    </row>
    <row r="968" spans="1:64" ht="12.95" customHeight="1">
      <c r="C968" s="66" t="s">
        <v>14</v>
      </c>
      <c r="D968" s="5"/>
      <c r="E968" s="5"/>
      <c r="F968" s="5"/>
      <c r="G968" s="5"/>
      <c r="H968" s="5"/>
      <c r="I968" s="5"/>
      <c r="J968" s="5"/>
      <c r="K968" s="5"/>
      <c r="L968" s="46"/>
      <c r="M968" s="1618">
        <v>53</v>
      </c>
      <c r="N968" s="1619"/>
      <c r="O968" s="1619"/>
      <c r="P968" s="1619"/>
      <c r="Q968" s="1619"/>
      <c r="R968" s="1619"/>
      <c r="S968" s="1620"/>
      <c r="U968" s="66" t="s">
        <v>14</v>
      </c>
      <c r="V968" s="5"/>
      <c r="W968" s="5"/>
      <c r="X968" s="5"/>
      <c r="Y968" s="5"/>
      <c r="Z968" s="5"/>
      <c r="AA968" s="5"/>
      <c r="AB968" s="5"/>
      <c r="AC968" s="5"/>
      <c r="AD968" s="46"/>
      <c r="AE968" s="1618"/>
      <c r="AF968" s="1619"/>
      <c r="AG968" s="1619"/>
      <c r="AH968" s="1619"/>
      <c r="AI968" s="1619"/>
      <c r="AJ968" s="1619"/>
      <c r="AK968" s="1620"/>
      <c r="AV968" s="2"/>
      <c r="AW968" s="2"/>
      <c r="AX968" s="2"/>
      <c r="AY968" s="2"/>
      <c r="AZ968" s="34"/>
      <c r="BA968" s="34"/>
      <c r="BB968" s="34"/>
      <c r="BC968" s="34"/>
    </row>
    <row r="969" spans="1:64" ht="12.95" customHeight="1">
      <c r="C969" s="66" t="s">
        <v>15</v>
      </c>
      <c r="D969" s="5"/>
      <c r="E969" s="5"/>
      <c r="F969" s="5"/>
      <c r="G969" s="5"/>
      <c r="H969" s="5"/>
      <c r="I969" s="5"/>
      <c r="J969" s="5"/>
      <c r="K969" s="5"/>
      <c r="L969" s="46"/>
      <c r="M969" s="1366">
        <f>'Subsidy Contract Calculation'!J40</f>
        <v>687852</v>
      </c>
      <c r="N969" s="1367"/>
      <c r="O969" s="1367"/>
      <c r="P969" s="1367"/>
      <c r="Q969" s="1367"/>
      <c r="R969" s="1367"/>
      <c r="S969" s="1368"/>
      <c r="U969" s="66" t="s">
        <v>15</v>
      </c>
      <c r="V969" s="5"/>
      <c r="W969" s="5"/>
      <c r="X969" s="5"/>
      <c r="Y969" s="5"/>
      <c r="Z969" s="5"/>
      <c r="AA969" s="5"/>
      <c r="AB969" s="5"/>
      <c r="AC969" s="5"/>
      <c r="AD969" s="46"/>
      <c r="AE969" s="1366"/>
      <c r="AF969" s="1367"/>
      <c r="AG969" s="1367"/>
      <c r="AH969" s="1367"/>
      <c r="AI969" s="1367"/>
      <c r="AJ969" s="1367"/>
      <c r="AK969" s="1368"/>
      <c r="AV969" s="2"/>
      <c r="AW969" s="2"/>
      <c r="AX969" s="2"/>
      <c r="AY969" s="2"/>
      <c r="AZ969" s="34"/>
      <c r="BA969" s="34"/>
      <c r="BB969" s="34"/>
      <c r="BC969" s="34"/>
    </row>
    <row r="970" spans="1:64" ht="12.95" customHeight="1">
      <c r="C970" s="66" t="s">
        <v>16</v>
      </c>
      <c r="D970" s="5"/>
      <c r="E970" s="5"/>
      <c r="F970" s="5"/>
      <c r="G970" s="5"/>
      <c r="H970" s="5"/>
      <c r="I970" s="5"/>
      <c r="J970" s="5"/>
      <c r="K970" s="5"/>
      <c r="L970" s="46"/>
      <c r="M970" s="1366">
        <f>M969*M971</f>
        <v>13757040</v>
      </c>
      <c r="N970" s="1367"/>
      <c r="O970" s="1367"/>
      <c r="P970" s="1367"/>
      <c r="Q970" s="1367"/>
      <c r="R970" s="1367"/>
      <c r="S970" s="1368"/>
      <c r="U970" s="66" t="s">
        <v>16</v>
      </c>
      <c r="V970" s="5"/>
      <c r="W970" s="5"/>
      <c r="X970" s="5"/>
      <c r="Y970" s="5"/>
      <c r="Z970" s="5"/>
      <c r="AA970" s="5"/>
      <c r="AB970" s="5"/>
      <c r="AC970" s="5"/>
      <c r="AD970" s="46"/>
      <c r="AE970" s="1366"/>
      <c r="AF970" s="1367"/>
      <c r="AG970" s="1367"/>
      <c r="AH970" s="1367"/>
      <c r="AI970" s="1367"/>
      <c r="AJ970" s="1367"/>
      <c r="AK970" s="1368"/>
      <c r="AV970" s="2"/>
      <c r="AW970" s="2"/>
      <c r="AX970" s="2"/>
      <c r="AY970" s="2"/>
      <c r="AZ970" s="34"/>
      <c r="BB970" s="34"/>
      <c r="BC970" s="34"/>
    </row>
    <row r="971" spans="1:64" ht="12.95" customHeight="1">
      <c r="C971" s="121" t="s">
        <v>1647</v>
      </c>
      <c r="D971" s="5"/>
      <c r="E971" s="5"/>
      <c r="F971" s="5"/>
      <c r="G971" s="5"/>
      <c r="H971" s="5"/>
      <c r="I971" s="5"/>
      <c r="J971" s="5"/>
      <c r="K971" s="5"/>
      <c r="L971" s="46"/>
      <c r="M971" s="1363">
        <v>20</v>
      </c>
      <c r="N971" s="1364"/>
      <c r="O971" s="1364"/>
      <c r="P971" s="1364"/>
      <c r="Q971" s="1364"/>
      <c r="R971" s="1364"/>
      <c r="S971" s="1365"/>
      <c r="U971" s="121" t="s">
        <v>1647</v>
      </c>
      <c r="V971" s="5"/>
      <c r="W971" s="5"/>
      <c r="X971" s="5"/>
      <c r="Y971" s="5"/>
      <c r="Z971" s="5"/>
      <c r="AA971" s="5"/>
      <c r="AB971" s="5"/>
      <c r="AC971" s="5"/>
      <c r="AD971" s="46"/>
      <c r="AE971" s="1363"/>
      <c r="AF971" s="1364"/>
      <c r="AG971" s="1364"/>
      <c r="AH971" s="1364"/>
      <c r="AI971" s="1364"/>
      <c r="AJ971" s="1364"/>
      <c r="AK971" s="1365"/>
      <c r="AZ971" s="34"/>
      <c r="BB971" s="34"/>
      <c r="BC971" s="34"/>
      <c r="BD971" s="34"/>
      <c r="BE971" s="34"/>
      <c r="BF971" s="34"/>
      <c r="BG971" s="34"/>
      <c r="BH971" s="34"/>
      <c r="BI971" s="34"/>
      <c r="BJ971" s="34"/>
      <c r="BK971" s="34"/>
      <c r="BL971" s="34"/>
    </row>
    <row r="972" spans="1:64" ht="12.95" customHeight="1">
      <c r="AZ972" s="34"/>
      <c r="BB972" s="34"/>
      <c r="BC972" s="34"/>
      <c r="BD972" s="34"/>
      <c r="BE972" s="34"/>
      <c r="BF972" s="34"/>
      <c r="BG972" s="34"/>
      <c r="BH972" s="34"/>
      <c r="BI972" s="34"/>
      <c r="BJ972" s="34"/>
      <c r="BK972" s="34"/>
      <c r="BL972" s="34"/>
    </row>
    <row r="973" spans="1:64" ht="12.95" customHeight="1">
      <c r="A973" s="2" t="s">
        <v>584</v>
      </c>
      <c r="C973" s="2" t="s">
        <v>648</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2.95" customHeight="1">
      <c r="A974"/>
      <c r="B974" s="2"/>
      <c r="C974" s="22" t="s">
        <v>179</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2.95"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2.95" customHeight="1">
      <c r="A976"/>
      <c r="B976"/>
      <c r="C976"/>
      <c r="D976"/>
      <c r="E976"/>
      <c r="F976" s="45" t="s">
        <v>569</v>
      </c>
      <c r="G976" s="5"/>
      <c r="H976" s="5"/>
      <c r="I976" s="5"/>
      <c r="J976" s="5"/>
      <c r="K976" s="5"/>
      <c r="L976" s="46"/>
      <c r="M976" s="1343"/>
      <c r="N976" s="1344"/>
      <c r="O976" s="1344"/>
      <c r="P976" s="1344"/>
      <c r="Q976" s="1344"/>
      <c r="R976" s="1344"/>
      <c r="S976" s="1345"/>
      <c r="T976" s="66" t="s">
        <v>788</v>
      </c>
      <c r="U976" s="5"/>
      <c r="V976" s="5"/>
      <c r="W976" s="5"/>
      <c r="X976" s="5"/>
      <c r="Y976" s="5"/>
      <c r="Z976" s="46"/>
      <c r="AA976" s="1343"/>
      <c r="AB976" s="1344"/>
      <c r="AC976" s="1344"/>
      <c r="AD976" s="1344"/>
      <c r="AE976" s="1344"/>
      <c r="AF976" s="1344"/>
      <c r="AG976" s="1345"/>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2.95" customHeight="1">
      <c r="A977"/>
      <c r="B977"/>
      <c r="C977"/>
      <c r="D977"/>
      <c r="E977"/>
      <c r="F977" s="45" t="s">
        <v>570</v>
      </c>
      <c r="G977" s="5"/>
      <c r="H977" s="5"/>
      <c r="I977" s="5"/>
      <c r="J977" s="5"/>
      <c r="K977" s="5"/>
      <c r="L977" s="46"/>
      <c r="M977" s="1343"/>
      <c r="N977" s="1344"/>
      <c r="O977" s="1344"/>
      <c r="P977" s="1344"/>
      <c r="Q977" s="1344"/>
      <c r="R977" s="1344"/>
      <c r="S977" s="1345"/>
      <c r="T977" s="66" t="s">
        <v>787</v>
      </c>
      <c r="U977" s="5"/>
      <c r="V977" s="5"/>
      <c r="W977" s="5"/>
      <c r="X977" s="5"/>
      <c r="Y977" s="5"/>
      <c r="Z977" s="46"/>
      <c r="AA977" s="1343"/>
      <c r="AB977" s="1344"/>
      <c r="AC977" s="1344"/>
      <c r="AD977" s="1344"/>
      <c r="AE977" s="1344"/>
      <c r="AF977" s="1344"/>
      <c r="AG977" s="1345"/>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2.95" customHeight="1">
      <c r="A978"/>
      <c r="B978"/>
      <c r="C978"/>
      <c r="D978"/>
      <c r="E978"/>
      <c r="F978" s="45" t="s">
        <v>899</v>
      </c>
      <c r="G978" s="5"/>
      <c r="H978" s="5"/>
      <c r="I978" s="5"/>
      <c r="J978" s="5"/>
      <c r="K978" s="5"/>
      <c r="L978" s="46"/>
      <c r="M978" s="1630" t="s">
        <v>589</v>
      </c>
      <c r="N978" s="1631"/>
      <c r="O978" s="1631"/>
      <c r="P978" s="1631"/>
      <c r="Q978" s="1631"/>
      <c r="R978" s="1631"/>
      <c r="S978" s="1632"/>
      <c r="T978" s="45" t="s">
        <v>336</v>
      </c>
      <c r="U978" s="5"/>
      <c r="V978" s="5"/>
      <c r="W978" s="5"/>
      <c r="X978" s="5"/>
      <c r="Y978" s="5"/>
      <c r="Z978" s="46"/>
      <c r="AA978" s="1343"/>
      <c r="AB978" s="1344"/>
      <c r="AC978" s="1344"/>
      <c r="AD978" s="1344"/>
      <c r="AE978" s="1344"/>
      <c r="AF978" s="1344"/>
      <c r="AG978" s="1345"/>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2.95" customHeight="1">
      <c r="A979"/>
      <c r="B979"/>
      <c r="C979"/>
      <c r="D979"/>
      <c r="E979"/>
      <c r="F979" s="45" t="s">
        <v>571</v>
      </c>
      <c r="G979" s="5"/>
      <c r="H979" s="5"/>
      <c r="I979" s="5"/>
      <c r="J979" s="5"/>
      <c r="K979" s="5"/>
      <c r="L979" s="46"/>
      <c r="M979" s="1343"/>
      <c r="N979" s="1344"/>
      <c r="O979" s="1344"/>
      <c r="P979" s="1344"/>
      <c r="Q979" s="1344"/>
      <c r="R979" s="1344"/>
      <c r="S979" s="1345"/>
      <c r="T979" s="45" t="s">
        <v>337</v>
      </c>
      <c r="U979" s="5"/>
      <c r="V979" s="5"/>
      <c r="W979" s="5"/>
      <c r="X979" s="5"/>
      <c r="Y979" s="5"/>
      <c r="Z979" s="46"/>
      <c r="AA979" s="1343"/>
      <c r="AB979" s="1344"/>
      <c r="AC979" s="1344"/>
      <c r="AD979" s="1344"/>
      <c r="AE979" s="1344"/>
      <c r="AF979" s="1344"/>
      <c r="AG979" s="1345"/>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2.95" customHeight="1">
      <c r="A980"/>
      <c r="B980"/>
      <c r="C980"/>
      <c r="D980"/>
      <c r="E980"/>
      <c r="F980" s="45" t="s">
        <v>462</v>
      </c>
      <c r="G980" s="5"/>
      <c r="H980" s="5"/>
      <c r="I980" s="5"/>
      <c r="J980" s="5"/>
      <c r="K980" s="5"/>
      <c r="L980" s="46"/>
      <c r="M980" s="1343"/>
      <c r="N980" s="1344"/>
      <c r="O980" s="1344"/>
      <c r="P980" s="1344"/>
      <c r="Q980" s="1344"/>
      <c r="R980" s="1344"/>
      <c r="S980" s="1345"/>
      <c r="T980" s="45" t="s">
        <v>375</v>
      </c>
      <c r="U980" s="5"/>
      <c r="V980" s="5"/>
      <c r="W980" s="5"/>
      <c r="X980" s="5"/>
      <c r="Y980" s="5"/>
      <c r="Z980" s="46"/>
      <c r="AA980" s="1343"/>
      <c r="AB980" s="1344"/>
      <c r="AC980" s="1344"/>
      <c r="AD980" s="1344"/>
      <c r="AE980" s="1344"/>
      <c r="AF980" s="1344"/>
      <c r="AG980" s="1345"/>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2.95" customHeight="1">
      <c r="A981"/>
      <c r="B981"/>
      <c r="C981"/>
      <c r="D981"/>
      <c r="E981"/>
      <c r="F981" s="242" t="s">
        <v>878</v>
      </c>
      <c r="G981" s="42"/>
      <c r="H981" s="42"/>
      <c r="I981" s="42"/>
      <c r="J981" s="42"/>
      <c r="K981" s="42"/>
      <c r="L981" s="58"/>
      <c r="M981" s="1340" t="s">
        <v>306</v>
      </c>
      <c r="N981" s="1341"/>
      <c r="O981" s="1341"/>
      <c r="P981" s="1341"/>
      <c r="Q981" s="1341"/>
      <c r="R981" s="1341"/>
      <c r="S981" s="1342"/>
      <c r="T981" s="1347"/>
      <c r="U981" s="1348"/>
      <c r="V981" s="1348"/>
      <c r="W981" s="1348"/>
      <c r="X981" s="1348"/>
      <c r="Y981" s="1348"/>
      <c r="Z981" s="1349"/>
      <c r="AA981" s="1343"/>
      <c r="AB981" s="1344"/>
      <c r="AC981" s="1344"/>
      <c r="AD981" s="1344"/>
      <c r="AE981" s="1344"/>
      <c r="AF981" s="1344"/>
      <c r="AG981" s="1345"/>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2.95" customHeight="1">
      <c r="A982"/>
      <c r="B982"/>
      <c r="C982"/>
      <c r="D982"/>
      <c r="E982"/>
      <c r="F982" s="41" t="s">
        <v>463</v>
      </c>
      <c r="G982" s="42"/>
      <c r="H982" s="42"/>
      <c r="I982" s="42"/>
      <c r="J982" s="42"/>
      <c r="K982" s="42"/>
      <c r="L982" s="58"/>
      <c r="M982" s="1343"/>
      <c r="N982" s="1344"/>
      <c r="O982" s="1344"/>
      <c r="P982" s="1344"/>
      <c r="Q982" s="1344"/>
      <c r="R982" s="1344"/>
      <c r="S982" s="1345"/>
      <c r="T982" s="1347"/>
      <c r="U982" s="1348"/>
      <c r="V982" s="1348"/>
      <c r="W982" s="1348"/>
      <c r="X982" s="1348"/>
      <c r="Y982" s="1348"/>
      <c r="Z982" s="1349"/>
      <c r="AA982" s="1343"/>
      <c r="AB982" s="1344"/>
      <c r="AC982" s="1344"/>
      <c r="AD982" s="1344"/>
      <c r="AE982" s="1344"/>
      <c r="AF982" s="1344"/>
      <c r="AG982" s="1345"/>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2.95" customHeight="1">
      <c r="F983" s="41" t="s">
        <v>335</v>
      </c>
      <c r="G983" s="42"/>
      <c r="H983" s="42"/>
      <c r="I983" s="42"/>
      <c r="J983" s="42"/>
      <c r="K983" s="42"/>
      <c r="L983" s="42"/>
      <c r="M983" s="42"/>
      <c r="N983" s="42"/>
      <c r="O983" s="1492" t="s">
        <v>667</v>
      </c>
      <c r="P983" s="1493"/>
      <c r="Q983" s="92"/>
      <c r="R983" s="92"/>
      <c r="S983" s="93"/>
      <c r="T983" s="41" t="s">
        <v>169</v>
      </c>
      <c r="U983" s="42"/>
      <c r="V983" s="42"/>
      <c r="W983" s="1545" t="s">
        <v>333</v>
      </c>
      <c r="X983" s="1546"/>
      <c r="Y983" s="1546"/>
      <c r="Z983" s="1546"/>
      <c r="AA983" s="1546"/>
      <c r="AB983" s="1546"/>
      <c r="AC983" s="1546"/>
      <c r="AD983" s="1546"/>
      <c r="AE983" s="1546"/>
      <c r="AF983" s="1546"/>
      <c r="AG983" s="1547"/>
      <c r="AU983" s="68"/>
      <c r="AV983" s="95"/>
      <c r="AW983" s="95"/>
      <c r="AX983" s="95"/>
      <c r="AY983" s="95"/>
      <c r="AZ983" s="34"/>
      <c r="BB983" s="34"/>
      <c r="BC983" s="34"/>
      <c r="BD983" s="34"/>
      <c r="BE983" s="34"/>
      <c r="BF983" s="34"/>
      <c r="BG983" s="34"/>
      <c r="BH983" s="34"/>
      <c r="BI983" s="34"/>
      <c r="BJ983" s="34"/>
      <c r="BK983" s="34"/>
      <c r="BL983" s="34"/>
    </row>
    <row r="984" spans="1:64" ht="12.95" customHeight="1">
      <c r="F984" s="1607" t="s">
        <v>33</v>
      </c>
      <c r="G984" s="1428"/>
      <c r="H984" s="1428"/>
      <c r="I984" s="1428"/>
      <c r="J984" s="1428"/>
      <c r="K984" s="1428"/>
      <c r="L984" s="1428"/>
      <c r="M984" s="1343"/>
      <c r="N984" s="1344"/>
      <c r="O984" s="1344"/>
      <c r="P984" s="1344"/>
      <c r="Q984" s="1344"/>
      <c r="R984" s="1344"/>
      <c r="S984" s="1345"/>
      <c r="T984" s="47"/>
      <c r="U984" s="48"/>
      <c r="V984" s="48"/>
      <c r="W984" s="48"/>
      <c r="X984" s="48"/>
      <c r="Y984" s="48"/>
      <c r="Z984" s="124" t="s">
        <v>134</v>
      </c>
      <c r="AA984" s="1566"/>
      <c r="AB984" s="1567"/>
      <c r="AC984" s="1567"/>
      <c r="AD984" s="1567"/>
      <c r="AE984" s="1567"/>
      <c r="AF984" s="1567"/>
      <c r="AG984" s="1568"/>
      <c r="AU984" s="68"/>
      <c r="AV984" s="95"/>
      <c r="AW984" s="95"/>
      <c r="AX984" s="95"/>
      <c r="AY984" s="95"/>
      <c r="AZ984" s="14"/>
      <c r="BA984" s="14"/>
      <c r="BB984" s="34"/>
      <c r="BC984" s="34"/>
      <c r="BD984" s="34"/>
      <c r="BE984" s="34"/>
      <c r="BF984" s="34"/>
      <c r="BG984" s="14"/>
      <c r="BH984" s="14"/>
      <c r="BI984" s="14"/>
      <c r="BJ984" s="14"/>
      <c r="BK984" s="14"/>
      <c r="BL984" s="14"/>
    </row>
    <row r="985" spans="1:64" ht="12.95" customHeight="1">
      <c r="AU985" s="68"/>
      <c r="AV985" s="68"/>
      <c r="AW985" s="68"/>
      <c r="AX985" s="68"/>
      <c r="AY985" s="68"/>
      <c r="AZ985" s="14"/>
      <c r="BA985" s="14"/>
      <c r="BB985" s="14"/>
      <c r="BC985" s="14"/>
      <c r="BD985" s="14"/>
      <c r="BE985" s="14"/>
      <c r="BF985" s="14"/>
      <c r="BG985" s="1633"/>
      <c r="BH985" s="1633"/>
      <c r="BI985" s="1633"/>
      <c r="BJ985" s="1633"/>
      <c r="BK985" s="1633"/>
      <c r="BL985" s="1633"/>
    </row>
    <row r="986" spans="1:64" ht="12.95" customHeight="1">
      <c r="AU986" s="68"/>
      <c r="AV986" s="68"/>
      <c r="AW986" s="68"/>
      <c r="AX986" s="68"/>
      <c r="AY986" s="68"/>
      <c r="AZ986" s="14"/>
      <c r="BA986" s="14"/>
      <c r="BB986" s="903"/>
      <c r="BC986" s="903"/>
      <c r="BD986" s="14"/>
      <c r="BE986" s="14"/>
      <c r="BF986" s="14"/>
      <c r="BG986" s="14"/>
      <c r="BH986" s="14"/>
      <c r="BI986" s="14"/>
      <c r="BJ986" s="14"/>
      <c r="BK986" s="14"/>
      <c r="BL986" s="14"/>
    </row>
    <row r="987" spans="1:64" ht="12.95" customHeight="1">
      <c r="AU987" s="68"/>
      <c r="AV987" s="68"/>
      <c r="AW987" s="68"/>
      <c r="AX987" s="68"/>
      <c r="AY987" s="68"/>
      <c r="AZ987" s="14"/>
      <c r="BA987" s="14"/>
      <c r="BB987" s="903"/>
      <c r="BC987" s="903"/>
    </row>
    <row r="988" spans="1:64" ht="12.95" customHeight="1">
      <c r="A988" s="1441" t="s">
        <v>546</v>
      </c>
      <c r="B988" s="1441"/>
      <c r="C988" s="1441"/>
      <c r="D988" s="1441"/>
      <c r="E988" s="1441"/>
      <c r="F988" s="1441"/>
      <c r="G988" s="1441"/>
      <c r="H988" s="1441"/>
      <c r="I988" s="1441"/>
      <c r="J988" s="1441"/>
      <c r="K988" s="1441"/>
      <c r="L988" s="1441"/>
      <c r="M988" s="1441"/>
      <c r="N988" s="1441"/>
      <c r="O988" s="1441"/>
      <c r="P988" s="1441"/>
      <c r="Q988" s="1441"/>
      <c r="R988" s="1441"/>
      <c r="S988" s="1441"/>
      <c r="T988" s="1441"/>
      <c r="U988" s="1441"/>
      <c r="V988" s="1441"/>
      <c r="W988" s="1441"/>
      <c r="X988" s="1441"/>
      <c r="Y988" s="1441"/>
      <c r="Z988" s="1441"/>
      <c r="AA988" s="1441"/>
      <c r="AB988" s="1441"/>
      <c r="AC988" s="1441"/>
      <c r="AD988" s="1441"/>
      <c r="AE988" s="1441"/>
      <c r="AF988" s="1441"/>
      <c r="AG988" s="1441"/>
      <c r="AH988" s="1441"/>
      <c r="AI988" s="1441"/>
      <c r="AJ988" s="1441"/>
      <c r="AK988" s="1441"/>
      <c r="AL988" s="1441"/>
      <c r="AM988" s="1441"/>
      <c r="AN988" s="1441"/>
      <c r="AO988" s="1441"/>
      <c r="AP988" s="1441"/>
      <c r="AQ988" s="1441"/>
      <c r="AR988" s="1441"/>
      <c r="AS988" s="1441"/>
      <c r="AT988" s="1441"/>
      <c r="AU988" s="68"/>
      <c r="AV988" s="68"/>
      <c r="AW988" s="68"/>
      <c r="AX988" s="68"/>
      <c r="AY988" s="68"/>
      <c r="AZ988" s="14"/>
      <c r="BA988" s="14"/>
      <c r="BB988" s="903"/>
      <c r="BC988" s="903"/>
    </row>
    <row r="989" spans="1:64" ht="12.95" customHeight="1">
      <c r="A989" s="1441"/>
      <c r="B989" s="1441"/>
      <c r="C989" s="1441"/>
      <c r="D989" s="1441"/>
      <c r="E989" s="1441"/>
      <c r="F989" s="1441"/>
      <c r="G989" s="1441"/>
      <c r="H989" s="1441"/>
      <c r="I989" s="1441"/>
      <c r="J989" s="1441"/>
      <c r="K989" s="1441"/>
      <c r="L989" s="1441"/>
      <c r="M989" s="1441"/>
      <c r="N989" s="1441"/>
      <c r="O989" s="1441"/>
      <c r="P989" s="1441"/>
      <c r="Q989" s="1441"/>
      <c r="R989" s="1441"/>
      <c r="S989" s="1441"/>
      <c r="T989" s="1441"/>
      <c r="U989" s="1441"/>
      <c r="V989" s="1441"/>
      <c r="W989" s="1441"/>
      <c r="X989" s="1441"/>
      <c r="Y989" s="1441"/>
      <c r="Z989" s="1441"/>
      <c r="AA989" s="1441"/>
      <c r="AB989" s="1441"/>
      <c r="AC989" s="1441"/>
      <c r="AD989" s="1441"/>
      <c r="AE989" s="1441"/>
      <c r="AF989" s="1441"/>
      <c r="AG989" s="1441"/>
      <c r="AH989" s="1441"/>
      <c r="AI989" s="1441"/>
      <c r="AJ989" s="1441"/>
      <c r="AK989" s="1441"/>
      <c r="AL989" s="1441"/>
      <c r="AM989" s="1441"/>
      <c r="AN989" s="1441"/>
      <c r="AO989" s="1441"/>
      <c r="AP989" s="1441"/>
      <c r="AQ989" s="1441"/>
      <c r="AR989" s="1441"/>
      <c r="AS989" s="1441"/>
      <c r="AT989" s="1441"/>
      <c r="AU989" s="68"/>
      <c r="AV989" s="68"/>
      <c r="AW989" s="68"/>
      <c r="AX989" s="68"/>
      <c r="AY989" s="68"/>
      <c r="AZ989" s="30"/>
      <c r="BA989" s="14"/>
      <c r="BB989" s="14"/>
      <c r="BC989" s="14"/>
    </row>
    <row r="990" spans="1:64" ht="12.95" customHeight="1">
      <c r="A990" s="1441"/>
      <c r="B990" s="1441"/>
      <c r="C990" s="1441"/>
      <c r="D990" s="1441"/>
      <c r="E990" s="1441"/>
      <c r="F990" s="1441"/>
      <c r="G990" s="1441"/>
      <c r="H990" s="1441"/>
      <c r="I990" s="1441"/>
      <c r="J990" s="1441"/>
      <c r="K990" s="1441"/>
      <c r="L990" s="1441"/>
      <c r="M990" s="1441"/>
      <c r="N990" s="1441"/>
      <c r="O990" s="1441"/>
      <c r="P990" s="1441"/>
      <c r="Q990" s="1441"/>
      <c r="R990" s="1441"/>
      <c r="S990" s="1441"/>
      <c r="T990" s="1441"/>
      <c r="U990" s="1441"/>
      <c r="V990" s="1441"/>
      <c r="W990" s="1441"/>
      <c r="X990" s="1441"/>
      <c r="Y990" s="1441"/>
      <c r="Z990" s="1441"/>
      <c r="AA990" s="1441"/>
      <c r="AB990" s="1441"/>
      <c r="AC990" s="1441"/>
      <c r="AD990" s="1441"/>
      <c r="AE990" s="1441"/>
      <c r="AF990" s="1441"/>
      <c r="AG990" s="1441"/>
      <c r="AH990" s="1441"/>
      <c r="AI990" s="1441"/>
      <c r="AJ990" s="1441"/>
      <c r="AK990" s="1441"/>
      <c r="AL990" s="1441"/>
      <c r="AM990" s="1441"/>
      <c r="AN990" s="1441"/>
      <c r="AO990" s="1441"/>
      <c r="AP990" s="1441"/>
      <c r="AQ990" s="1441"/>
      <c r="AR990" s="1441"/>
      <c r="AS990" s="1441"/>
      <c r="AT990" s="1441"/>
      <c r="AU990" s="68"/>
      <c r="AV990" s="68"/>
      <c r="AW990" s="68"/>
      <c r="AX990" s="68"/>
      <c r="AY990" s="68"/>
      <c r="AZ990" s="30"/>
      <c r="BA990" s="14"/>
      <c r="BB990" s="14"/>
      <c r="BC990" s="14"/>
    </row>
    <row r="991" spans="1:64" ht="12.95"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2.95" customHeight="1">
      <c r="A992" s="2" t="s">
        <v>318</v>
      </c>
      <c r="C992" s="2" t="s">
        <v>613</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2.95"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2.95" customHeight="1">
      <c r="A994" s="67"/>
      <c r="B994" s="79"/>
      <c r="C994" s="919"/>
      <c r="D994" s="1388" t="s">
        <v>636</v>
      </c>
      <c r="E994" s="1389"/>
      <c r="F994" s="1389"/>
      <c r="G994" s="1389"/>
      <c r="H994" s="1389"/>
      <c r="I994" s="1389"/>
      <c r="J994" s="1389"/>
      <c r="K994" s="1389"/>
      <c r="L994" s="1389"/>
      <c r="M994" s="1389"/>
      <c r="N994" s="1389"/>
      <c r="O994" s="1389"/>
      <c r="P994" s="1389"/>
      <c r="Q994" s="1390"/>
      <c r="R994" s="1388" t="s">
        <v>637</v>
      </c>
      <c r="S994" s="1389"/>
      <c r="T994" s="1389"/>
      <c r="U994" s="1389"/>
      <c r="V994" s="1389"/>
      <c r="W994" s="1389"/>
      <c r="X994" s="1389"/>
      <c r="Y994" s="1389"/>
      <c r="Z994" s="1389"/>
      <c r="AA994" s="1390"/>
      <c r="AB994" s="1388" t="s">
        <v>638</v>
      </c>
      <c r="AC994" s="1389"/>
      <c r="AD994" s="1389"/>
      <c r="AE994" s="1389"/>
      <c r="AF994" s="1389"/>
      <c r="AG994" s="1389"/>
      <c r="AH994" s="1389"/>
      <c r="AI994" s="1390"/>
      <c r="AJ994" s="1388" t="s">
        <v>639</v>
      </c>
      <c r="AK994" s="1389"/>
      <c r="AL994" s="1389"/>
      <c r="AM994" s="1389"/>
      <c r="AN994" s="1389"/>
      <c r="AO994" s="1389"/>
      <c r="AP994" s="1389"/>
      <c r="AQ994" s="1390"/>
      <c r="AR994" s="68"/>
      <c r="AS994" s="68"/>
      <c r="AT994" s="68"/>
      <c r="AU994" s="68"/>
      <c r="AV994" s="68"/>
      <c r="AW994" s="68"/>
      <c r="AX994" s="68"/>
      <c r="AY994" s="68"/>
      <c r="AZ994" s="30"/>
      <c r="BB994" s="14"/>
      <c r="BC994" s="14"/>
    </row>
    <row r="995" spans="1:55" ht="12.95" customHeight="1">
      <c r="A995" s="14"/>
      <c r="B995" s="73"/>
      <c r="C995" s="920"/>
      <c r="D995" s="1592" t="s">
        <v>631</v>
      </c>
      <c r="E995" s="1593"/>
      <c r="F995" s="1593"/>
      <c r="G995" s="1593"/>
      <c r="H995" s="1593"/>
      <c r="I995" s="1593"/>
      <c r="J995" s="1593"/>
      <c r="K995" s="1593"/>
      <c r="L995" s="1593"/>
      <c r="M995" s="1593"/>
      <c r="N995" s="1593"/>
      <c r="O995" s="1593"/>
      <c r="P995" s="1593"/>
      <c r="Q995" s="1594"/>
      <c r="R995" s="1541">
        <f>IF(ISNA(IF($CU$122="4%",(INDEX($CS$160:$CW$217,MATCH($DG$122,$CR$160:$CR$217,0),MATCH(D995,$CS$159:$CW$159,0))),(INDEX($CZ$160:$DD$217,MATCH($DG$122,$CY$160:$CY$217,0),MATCH(D995,$CZ$159:$DD$159,0))))),0,IF($CU$122="4%",(INDEX($CS$160:$CW$217,MATCH($DG$122,$CR$160:$CR$217,0),MATCH(D995,$CS$159:$CW$159,0))),(INDEX($CZ$160:$DD$217,MATCH($DG$122,$CY$160:$CY$217,0),MATCH(D995,$CZ$159:$DD$159,0)))))</f>
        <v>437727</v>
      </c>
      <c r="S995" s="1541"/>
      <c r="T995" s="1541"/>
      <c r="U995" s="1541"/>
      <c r="V995" s="1541"/>
      <c r="W995" s="1541"/>
      <c r="X995" s="1541"/>
      <c r="Y995" s="1541"/>
      <c r="Z995" s="1541"/>
      <c r="AA995" s="1541"/>
      <c r="AB995" s="1580">
        <f>CP810</f>
        <v>14</v>
      </c>
      <c r="AC995" s="1581"/>
      <c r="AD995" s="1581"/>
      <c r="AE995" s="1581"/>
      <c r="AF995" s="1581"/>
      <c r="AG995" s="1581"/>
      <c r="AH995" s="1581"/>
      <c r="AI995" s="1582"/>
      <c r="AJ995" s="1542">
        <f>IF(ISERROR((R995*AB995)),0,(R995*AB995))</f>
        <v>6128178</v>
      </c>
      <c r="AK995" s="1543"/>
      <c r="AL995" s="1543"/>
      <c r="AM995" s="1543"/>
      <c r="AN995" s="1543"/>
      <c r="AO995" s="1543"/>
      <c r="AP995" s="1543"/>
      <c r="AQ995" s="1544"/>
      <c r="AR995" s="68"/>
      <c r="AS995" s="68"/>
      <c r="AT995" s="68"/>
      <c r="AU995" s="68"/>
      <c r="AV995" s="68"/>
      <c r="AW995" s="68"/>
      <c r="AX995" s="68"/>
      <c r="AY995" s="68"/>
      <c r="AZ995" s="30"/>
      <c r="BB995" s="14"/>
      <c r="BC995" s="14"/>
    </row>
    <row r="996" spans="1:55" ht="12.95" customHeight="1">
      <c r="A996" s="14"/>
      <c r="B996" s="73"/>
      <c r="C996" s="83"/>
      <c r="D996" s="1592" t="s">
        <v>324</v>
      </c>
      <c r="E996" s="1593"/>
      <c r="F996" s="1593"/>
      <c r="G996" s="1593"/>
      <c r="H996" s="1593"/>
      <c r="I996" s="1593"/>
      <c r="J996" s="1593"/>
      <c r="K996" s="1593"/>
      <c r="L996" s="1593"/>
      <c r="M996" s="1593"/>
      <c r="N996" s="1593"/>
      <c r="O996" s="1593"/>
      <c r="P996" s="1593"/>
      <c r="Q996" s="1594"/>
      <c r="R996" s="1541">
        <f>IF(ISNA(IF($CU$122="4%",(INDEX($CS$160:$CW$217,MATCH($DG$122,$CR$160:$CR$217,0),MATCH(D996,$CS$159:$CW$159,0))),(INDEX($CZ$160:$DD$217,MATCH($DG$122,$CY$160:$CY$217,0),MATCH(D996,$CZ$159:$DD$159,0))))),0,IF($CU$122="4%",(INDEX($CS$160:$CW$217,MATCH($DG$122,$CR$160:$CR$217,0),MATCH(D996,$CS$159:$CW$159,0))),(INDEX($CZ$160:$DD$217,MATCH($DG$122,$CY$160:$CY$217,0),MATCH(D996,$CZ$159:$DD$159,0)))))</f>
        <v>504695</v>
      </c>
      <c r="S996" s="1541"/>
      <c r="T996" s="1541"/>
      <c r="U996" s="1541"/>
      <c r="V996" s="1541"/>
      <c r="W996" s="1541"/>
      <c r="X996" s="1541"/>
      <c r="Y996" s="1541"/>
      <c r="Z996" s="1541"/>
      <c r="AA996" s="1541"/>
      <c r="AB996" s="1580">
        <f>CU810</f>
        <v>39</v>
      </c>
      <c r="AC996" s="1581"/>
      <c r="AD996" s="1581"/>
      <c r="AE996" s="1581"/>
      <c r="AF996" s="1581"/>
      <c r="AG996" s="1581"/>
      <c r="AH996" s="1581"/>
      <c r="AI996" s="1582"/>
      <c r="AJ996" s="1542">
        <f>IF(ISERROR((R996*AB996)),0,(R996*AB996))</f>
        <v>19683105</v>
      </c>
      <c r="AK996" s="1543"/>
      <c r="AL996" s="1543"/>
      <c r="AM996" s="1543"/>
      <c r="AN996" s="1543"/>
      <c r="AO996" s="1543"/>
      <c r="AP996" s="1543"/>
      <c r="AQ996" s="1544"/>
      <c r="AR996" s="68"/>
      <c r="AS996" s="68"/>
      <c r="AT996" s="68"/>
      <c r="AU996" s="68"/>
      <c r="AV996" s="68"/>
      <c r="AW996" s="68"/>
      <c r="AX996" s="68"/>
      <c r="AY996" s="68"/>
      <c r="AZ996" s="30"/>
      <c r="BB996" s="14"/>
      <c r="BC996" s="14"/>
    </row>
    <row r="997" spans="1:55" ht="12.95" customHeight="1">
      <c r="A997" s="14"/>
      <c r="B997" s="73"/>
      <c r="C997" s="83"/>
      <c r="D997" s="1592" t="s">
        <v>163</v>
      </c>
      <c r="E997" s="1593"/>
      <c r="F997" s="1593"/>
      <c r="G997" s="1593"/>
      <c r="H997" s="1593"/>
      <c r="I997" s="1593"/>
      <c r="J997" s="1593"/>
      <c r="K997" s="1593"/>
      <c r="L997" s="1593"/>
      <c r="M997" s="1593"/>
      <c r="N997" s="1593"/>
      <c r="O997" s="1593"/>
      <c r="P997" s="1593"/>
      <c r="Q997" s="1594"/>
      <c r="R997" s="1541">
        <f>IF(ISNA(IF($CU$122="4%",(INDEX($CS$160:$CW$217,MATCH($DG$122,$CR$160:$CR$217,0),MATCH(D997,$CS$159:$CW$159,0))),(INDEX($CZ$160:$DD$217,MATCH($DG$122,$CY$160:$CY$217,0),MATCH(D997,$CZ$159:$DD$159,0))))),0,IF($CU$122="4%",(INDEX($CS$160:$CW$217,MATCH($DG$122,$CR$160:$CR$217,0),MATCH(D997,$CS$159:$CW$159,0))),(INDEX($CZ$160:$DD$217,MATCH($DG$122,$CY$160:$CY$217,0),MATCH(D997,$CZ$159:$DD$159,0)))))</f>
        <v>608800</v>
      </c>
      <c r="S997" s="1541"/>
      <c r="T997" s="1541"/>
      <c r="U997" s="1541"/>
      <c r="V997" s="1541"/>
      <c r="W997" s="1541"/>
      <c r="X997" s="1541"/>
      <c r="Y997" s="1541"/>
      <c r="Z997" s="1541"/>
      <c r="AA997" s="1541"/>
      <c r="AB997" s="1580">
        <f>CZ810</f>
        <v>28</v>
      </c>
      <c r="AC997" s="1581"/>
      <c r="AD997" s="1581"/>
      <c r="AE997" s="1581"/>
      <c r="AF997" s="1581"/>
      <c r="AG997" s="1581"/>
      <c r="AH997" s="1581"/>
      <c r="AI997" s="1582"/>
      <c r="AJ997" s="1542">
        <f>IF(ISERROR((R997*AB997)),0,(R997*AB997))</f>
        <v>17046400</v>
      </c>
      <c r="AK997" s="1543"/>
      <c r="AL997" s="1543"/>
      <c r="AM997" s="1543"/>
      <c r="AN997" s="1543"/>
      <c r="AO997" s="1543"/>
      <c r="AP997" s="1543"/>
      <c r="AQ997" s="1544"/>
      <c r="AR997" s="68"/>
      <c r="AS997" s="68"/>
      <c r="AT997" s="68"/>
      <c r="AU997" s="68"/>
      <c r="AV997" s="68"/>
      <c r="AW997" s="68"/>
      <c r="AX997" s="68"/>
      <c r="AY997" s="68"/>
      <c r="AZ997" s="30"/>
      <c r="BB997" s="14"/>
      <c r="BC997" s="14"/>
    </row>
    <row r="998" spans="1:55" ht="12.95" customHeight="1">
      <c r="A998" s="14"/>
      <c r="B998" s="73"/>
      <c r="C998" s="83"/>
      <c r="D998" s="1592" t="s">
        <v>164</v>
      </c>
      <c r="E998" s="1593"/>
      <c r="F998" s="1593"/>
      <c r="G998" s="1593"/>
      <c r="H998" s="1593"/>
      <c r="I998" s="1593"/>
      <c r="J998" s="1593"/>
      <c r="K998" s="1593"/>
      <c r="L998" s="1593"/>
      <c r="M998" s="1593"/>
      <c r="N998" s="1593"/>
      <c r="O998" s="1593"/>
      <c r="P998" s="1593"/>
      <c r="Q998" s="1594"/>
      <c r="R998" s="1541">
        <f>IF(ISNA(IF($CU$122="4%",(INDEX($CS$160:$CW$217,MATCH($DG$122,$CR$160:$CR$217,0),MATCH(D998,$CS$159:$CW$159,0))),(INDEX($CZ$160:$DD$217,MATCH($DG$122,$CY$160:$CY$217,0),MATCH(D998,$CZ$159:$DD$159,0))))),0,IF($CU$122="4%",(INDEX($CS$160:$CW$217,MATCH($DG$122,$CR$160:$CR$217,0),MATCH(D998,$CS$159:$CW$159,0))),(INDEX($CZ$160:$DD$217,MATCH($DG$122,$CY$160:$CY$217,0),MATCH(D998,$CZ$159:$DD$159,0)))))</f>
        <v>779264</v>
      </c>
      <c r="S998" s="1541"/>
      <c r="T998" s="1541"/>
      <c r="U998" s="1541"/>
      <c r="V998" s="1541"/>
      <c r="W998" s="1541"/>
      <c r="X998" s="1541"/>
      <c r="Y998" s="1541"/>
      <c r="Z998" s="1541"/>
      <c r="AA998" s="1541"/>
      <c r="AB998" s="1580">
        <f>DE810</f>
        <v>28</v>
      </c>
      <c r="AC998" s="1581"/>
      <c r="AD998" s="1581"/>
      <c r="AE998" s="1581"/>
      <c r="AF998" s="1581"/>
      <c r="AG998" s="1581"/>
      <c r="AH998" s="1581"/>
      <c r="AI998" s="1582"/>
      <c r="AJ998" s="1542">
        <f>IF(ISERROR((R998*AB998)),0,(R998*AB998))</f>
        <v>21819392</v>
      </c>
      <c r="AK998" s="1543"/>
      <c r="AL998" s="1543"/>
      <c r="AM998" s="1543"/>
      <c r="AN998" s="1543"/>
      <c r="AO998" s="1543"/>
      <c r="AP998" s="1543"/>
      <c r="AQ998" s="1544"/>
      <c r="AR998" s="68"/>
      <c r="AS998" s="68"/>
      <c r="AT998" s="68"/>
      <c r="AU998" s="68"/>
      <c r="AV998" s="68"/>
      <c r="AW998" s="68"/>
      <c r="AX998" s="68"/>
      <c r="AY998" s="68"/>
      <c r="AZ998" s="30"/>
      <c r="BA998" s="34"/>
      <c r="BB998" s="14"/>
      <c r="BC998" s="14"/>
    </row>
    <row r="999" spans="1:55" ht="12.95" customHeight="1">
      <c r="A999" s="14"/>
      <c r="B999" s="47"/>
      <c r="C999" s="78"/>
      <c r="D999" s="1592" t="s">
        <v>458</v>
      </c>
      <c r="E999" s="1593"/>
      <c r="F999" s="1593"/>
      <c r="G999" s="1593"/>
      <c r="H999" s="1593"/>
      <c r="I999" s="1593"/>
      <c r="J999" s="1593"/>
      <c r="K999" s="1593"/>
      <c r="L999" s="1593"/>
      <c r="M999" s="1593"/>
      <c r="N999" s="1593"/>
      <c r="O999" s="1593"/>
      <c r="P999" s="1593"/>
      <c r="Q999" s="1594"/>
      <c r="R999" s="1541">
        <f>IF(ISNA(IF($CU$122="4%",(INDEX($CS$160:$CW$217,MATCH($DG$122,$CR$160:$CR$217,0),MATCH(D999,$CS$159:$CW$159,0))),(INDEX($CZ$160:$DD$217,MATCH($DG$122,$CY$160:$CY$217,0),MATCH(D999,$CZ$159:$DD$159,0))))),0,IF($CU$122="4%",(INDEX($CS$160:$CW$217,MATCH($DG$122,$CR$160:$CR$217,0),MATCH(D999,$CS$159:$CW$159,0))),(INDEX($CZ$160:$DD$217,MATCH($DG$122,$CY$160:$CY$217,0),MATCH(D999,$CZ$159:$DD$159,0)))))</f>
        <v>868149</v>
      </c>
      <c r="S999" s="1541"/>
      <c r="T999" s="1541"/>
      <c r="U999" s="1541"/>
      <c r="V999" s="1541"/>
      <c r="W999" s="1541"/>
      <c r="X999" s="1541"/>
      <c r="Y999" s="1541"/>
      <c r="Z999" s="1541"/>
      <c r="AA999" s="1541"/>
      <c r="AB999" s="1580">
        <f>DO810+DJ810</f>
        <v>0</v>
      </c>
      <c r="AC999" s="1581"/>
      <c r="AD999" s="1581"/>
      <c r="AE999" s="1581"/>
      <c r="AF999" s="1581"/>
      <c r="AG999" s="1581"/>
      <c r="AH999" s="1581"/>
      <c r="AI999" s="1582"/>
      <c r="AJ999" s="1542">
        <f>IF(ISERROR((R999*AB999)),0,(R999*AB999))</f>
        <v>0</v>
      </c>
      <c r="AK999" s="1543"/>
      <c r="AL999" s="1543"/>
      <c r="AM999" s="1543"/>
      <c r="AN999" s="1543"/>
      <c r="AO999" s="1543"/>
      <c r="AP999" s="1543"/>
      <c r="AQ999" s="1544"/>
      <c r="AR999" s="68"/>
      <c r="AS999" s="68"/>
      <c r="AT999" s="68"/>
      <c r="AU999" s="68"/>
      <c r="AV999" s="68"/>
      <c r="AW999" s="68"/>
      <c r="AX999" s="68"/>
      <c r="AY999" s="68"/>
      <c r="AZ999" s="30"/>
      <c r="BB999" s="14"/>
      <c r="BC999" s="14"/>
    </row>
    <row r="1000" spans="1:55" ht="12.95" customHeight="1">
      <c r="A1000" s="14"/>
      <c r="B1000" s="1598" t="s">
        <v>789</v>
      </c>
      <c r="C1000" s="1599"/>
      <c r="D1000" s="1599"/>
      <c r="E1000" s="1599"/>
      <c r="F1000" s="1599"/>
      <c r="G1000" s="1599"/>
      <c r="H1000" s="1599"/>
      <c r="I1000" s="1599"/>
      <c r="J1000" s="1599"/>
      <c r="K1000" s="1599"/>
      <c r="L1000" s="1599"/>
      <c r="M1000" s="1599"/>
      <c r="N1000" s="1599"/>
      <c r="O1000" s="1599"/>
      <c r="P1000" s="1599"/>
      <c r="Q1000" s="1599"/>
      <c r="R1000" s="1599"/>
      <c r="S1000" s="1599"/>
      <c r="T1000" s="1599"/>
      <c r="U1000" s="1599"/>
      <c r="V1000" s="1599"/>
      <c r="W1000" s="1599"/>
      <c r="X1000" s="1599"/>
      <c r="Y1000" s="1599"/>
      <c r="Z1000" s="1599"/>
      <c r="AA1000" s="1600"/>
      <c r="AB1000" s="1580">
        <f>SUM(AB995:AI999)</f>
        <v>109</v>
      </c>
      <c r="AC1000" s="1581"/>
      <c r="AD1000" s="1581"/>
      <c r="AE1000" s="1581"/>
      <c r="AF1000" s="1581"/>
      <c r="AG1000" s="1581"/>
      <c r="AH1000" s="1581"/>
      <c r="AI1000" s="1582"/>
      <c r="AJ1000" s="1542"/>
      <c r="AK1000" s="1543"/>
      <c r="AL1000" s="1543"/>
      <c r="AM1000" s="1543"/>
      <c r="AN1000" s="1543"/>
      <c r="AO1000" s="1543"/>
      <c r="AP1000" s="1543"/>
      <c r="AQ1000" s="1544"/>
      <c r="AR1000" s="68"/>
      <c r="AS1000" s="68"/>
      <c r="AT1000" s="68"/>
      <c r="AU1000" s="68"/>
      <c r="AV1000" s="68"/>
      <c r="AW1000" s="68"/>
      <c r="AX1000" s="68"/>
      <c r="AY1000" s="68"/>
      <c r="AZ1000" s="34"/>
      <c r="BA1000" s="34"/>
      <c r="BB1000" s="14"/>
      <c r="BC1000" s="14"/>
    </row>
    <row r="1001" spans="1:55" ht="12.95" customHeight="1">
      <c r="A1001" s="14"/>
      <c r="B1001" s="1595" t="s">
        <v>510</v>
      </c>
      <c r="C1001" s="1596"/>
      <c r="D1001" s="1596"/>
      <c r="E1001" s="1596"/>
      <c r="F1001" s="1596"/>
      <c r="G1001" s="1596"/>
      <c r="H1001" s="1596"/>
      <c r="I1001" s="1596"/>
      <c r="J1001" s="1596"/>
      <c r="K1001" s="1596"/>
      <c r="L1001" s="1596"/>
      <c r="M1001" s="1596"/>
      <c r="N1001" s="1596"/>
      <c r="O1001" s="1596"/>
      <c r="P1001" s="1596"/>
      <c r="Q1001" s="1596"/>
      <c r="R1001" s="1596"/>
      <c r="S1001" s="1596"/>
      <c r="T1001" s="1596"/>
      <c r="U1001" s="1596"/>
      <c r="V1001" s="1596"/>
      <c r="W1001" s="1596"/>
      <c r="X1001" s="1596"/>
      <c r="Y1001" s="1596"/>
      <c r="Z1001" s="1596"/>
      <c r="AA1001" s="1596"/>
      <c r="AB1001" s="1596"/>
      <c r="AC1001" s="1596"/>
      <c r="AD1001" s="1596"/>
      <c r="AE1001" s="1596"/>
      <c r="AF1001" s="1596"/>
      <c r="AG1001" s="1596"/>
      <c r="AH1001" s="1596"/>
      <c r="AI1001" s="1597"/>
      <c r="AJ1001" s="1542">
        <f>SUM(AJ995:AQ999)</f>
        <v>64677075</v>
      </c>
      <c r="AK1001" s="1543"/>
      <c r="AL1001" s="1543"/>
      <c r="AM1001" s="1543"/>
      <c r="AN1001" s="1543"/>
      <c r="AO1001" s="1543"/>
      <c r="AP1001" s="1543"/>
      <c r="AQ1001" s="1544"/>
      <c r="AR1001" s="68"/>
      <c r="AS1001" s="68"/>
      <c r="AT1001" s="68"/>
      <c r="AU1001" s="68"/>
      <c r="AV1001" s="68"/>
      <c r="AW1001" s="68"/>
      <c r="AX1001" s="68"/>
      <c r="AY1001" s="68"/>
      <c r="AZ1001" s="34"/>
      <c r="BB1001" s="34"/>
      <c r="BC1001" s="34"/>
    </row>
    <row r="1002" spans="1:55" ht="12.95" customHeight="1">
      <c r="A1002" s="14"/>
      <c r="B1002" s="1337"/>
      <c r="C1002" s="1338"/>
      <c r="D1002" s="1338"/>
      <c r="E1002" s="1338"/>
      <c r="F1002" s="1338"/>
      <c r="G1002" s="1338"/>
      <c r="H1002" s="1338"/>
      <c r="I1002" s="1338"/>
      <c r="J1002" s="1338"/>
      <c r="K1002" s="1338"/>
      <c r="L1002" s="1338"/>
      <c r="M1002" s="1338"/>
      <c r="N1002" s="1338"/>
      <c r="O1002" s="1338"/>
      <c r="P1002" s="1338"/>
      <c r="Q1002" s="1338"/>
      <c r="R1002" s="1338"/>
      <c r="S1002" s="1338"/>
      <c r="T1002" s="1338"/>
      <c r="U1002" s="1338"/>
      <c r="V1002" s="1338"/>
      <c r="W1002" s="1338"/>
      <c r="X1002" s="1338"/>
      <c r="Y1002" s="1338"/>
      <c r="Z1002" s="1338"/>
      <c r="AA1002" s="1338"/>
      <c r="AB1002" s="1338"/>
      <c r="AC1002" s="1338"/>
      <c r="AD1002" s="1338"/>
      <c r="AE1002" s="1339"/>
      <c r="AF1002" s="1569" t="s">
        <v>664</v>
      </c>
      <c r="AG1002" s="1570"/>
      <c r="AH1002" s="1570"/>
      <c r="AI1002" s="1571"/>
      <c r="AJ1002" s="1337"/>
      <c r="AK1002" s="1338"/>
      <c r="AL1002" s="1338"/>
      <c r="AM1002" s="1338"/>
      <c r="AN1002" s="1338"/>
      <c r="AO1002" s="1338"/>
      <c r="AP1002" s="1338"/>
      <c r="AQ1002" s="1339"/>
      <c r="AR1002" s="68"/>
      <c r="AS1002" s="68"/>
      <c r="AT1002" s="68"/>
      <c r="AU1002" s="68"/>
      <c r="AV1002" s="68"/>
      <c r="AW1002" s="68"/>
      <c r="AX1002" s="68"/>
      <c r="AY1002" s="68"/>
      <c r="AZ1002" s="34"/>
      <c r="BA1002" s="34"/>
      <c r="BB1002" s="34"/>
      <c r="BC1002" s="34"/>
    </row>
    <row r="1003" spans="1:55" ht="12.95" customHeight="1">
      <c r="A1003" s="14"/>
      <c r="B1003" s="73"/>
      <c r="C1003" s="918" t="s">
        <v>666</v>
      </c>
      <c r="D1003" s="1548" t="s">
        <v>1217</v>
      </c>
      <c r="E1003" s="1549"/>
      <c r="F1003" s="1549"/>
      <c r="G1003" s="1549"/>
      <c r="H1003" s="1549"/>
      <c r="I1003" s="1549"/>
      <c r="J1003" s="1549"/>
      <c r="K1003" s="1549"/>
      <c r="L1003" s="1549"/>
      <c r="M1003" s="1549"/>
      <c r="N1003" s="1549"/>
      <c r="O1003" s="1549"/>
      <c r="P1003" s="1549"/>
      <c r="Q1003" s="1549"/>
      <c r="R1003" s="1549"/>
      <c r="S1003" s="1549"/>
      <c r="T1003" s="1549"/>
      <c r="U1003" s="1549"/>
      <c r="V1003" s="1549"/>
      <c r="W1003" s="1549"/>
      <c r="X1003" s="1549"/>
      <c r="Y1003" s="1549"/>
      <c r="Z1003" s="1549"/>
      <c r="AA1003" s="1549"/>
      <c r="AB1003" s="1549"/>
      <c r="AC1003" s="1549"/>
      <c r="AD1003" s="1549"/>
      <c r="AE1003" s="1550"/>
      <c r="AF1003" s="79"/>
      <c r="AG1003" s="1572" t="s">
        <v>543</v>
      </c>
      <c r="AH1003" s="1573"/>
      <c r="AI1003" s="87"/>
      <c r="AJ1003" s="1325">
        <f>ROUND(IF(AND(AG1003="yes",D1009&gt;0),AJ1001*0.2,0),0)</f>
        <v>12935415</v>
      </c>
      <c r="AK1003" s="1326"/>
      <c r="AL1003" s="1326"/>
      <c r="AM1003" s="1326"/>
      <c r="AN1003" s="1326"/>
      <c r="AO1003" s="1326"/>
      <c r="AP1003" s="1326"/>
      <c r="AQ1003" s="1327"/>
      <c r="AR1003" s="68"/>
      <c r="AS1003" s="68"/>
      <c r="AT1003" s="68"/>
      <c r="AU1003" s="68"/>
      <c r="AV1003" s="68"/>
      <c r="AW1003" s="68"/>
      <c r="AX1003" s="68"/>
      <c r="AY1003" s="68"/>
      <c r="AZ1003" s="34"/>
      <c r="BA1003" s="34"/>
      <c r="BB1003" s="34"/>
      <c r="BC1003" s="34"/>
    </row>
    <row r="1004" spans="1:55" ht="12.95" customHeight="1">
      <c r="A1004" s="14"/>
      <c r="B1004" s="257"/>
      <c r="C1004" s="256"/>
      <c r="D1004" s="1601" t="s">
        <v>2181</v>
      </c>
      <c r="E1004" s="1602"/>
      <c r="F1004" s="1602"/>
      <c r="G1004" s="1602"/>
      <c r="H1004" s="1602"/>
      <c r="I1004" s="1602"/>
      <c r="J1004" s="1602"/>
      <c r="K1004" s="1602"/>
      <c r="L1004" s="1602"/>
      <c r="M1004" s="1602"/>
      <c r="N1004" s="1602"/>
      <c r="O1004" s="1602"/>
      <c r="P1004" s="1602"/>
      <c r="Q1004" s="1602"/>
      <c r="R1004" s="1602"/>
      <c r="S1004" s="1602"/>
      <c r="T1004" s="1602"/>
      <c r="U1004" s="1602"/>
      <c r="V1004" s="1602"/>
      <c r="W1004" s="1602"/>
      <c r="X1004" s="1602"/>
      <c r="Y1004" s="1602"/>
      <c r="Z1004" s="1602"/>
      <c r="AA1004" s="1602"/>
      <c r="AB1004" s="1602"/>
      <c r="AC1004" s="1602"/>
      <c r="AD1004" s="1602"/>
      <c r="AE1004" s="1603"/>
      <c r="AF1004" s="73"/>
      <c r="AG1004" s="14"/>
      <c r="AH1004" s="14"/>
      <c r="AI1004" s="83"/>
      <c r="AJ1004" s="1328"/>
      <c r="AK1004" s="1329"/>
      <c r="AL1004" s="1329"/>
      <c r="AM1004" s="1329"/>
      <c r="AN1004" s="1329"/>
      <c r="AO1004" s="1329"/>
      <c r="AP1004" s="1329"/>
      <c r="AQ1004" s="1330"/>
      <c r="AR1004" s="68"/>
      <c r="AS1004" s="68"/>
      <c r="AT1004" s="68"/>
      <c r="AU1004" s="68"/>
      <c r="AV1004" s="68"/>
      <c r="AW1004" s="68"/>
      <c r="AX1004" s="68"/>
      <c r="AY1004" s="68"/>
      <c r="AZ1004" s="34"/>
      <c r="BA1004" s="34"/>
      <c r="BB1004" s="34"/>
      <c r="BC1004" s="34"/>
    </row>
    <row r="1005" spans="1:55" ht="12.95" customHeight="1">
      <c r="A1005" s="14"/>
      <c r="B1005" s="257"/>
      <c r="C1005" s="256"/>
      <c r="D1005" s="1601"/>
      <c r="E1005" s="1602"/>
      <c r="F1005" s="1602"/>
      <c r="G1005" s="1602"/>
      <c r="H1005" s="1602"/>
      <c r="I1005" s="1602"/>
      <c r="J1005" s="1602"/>
      <c r="K1005" s="1602"/>
      <c r="L1005" s="1602"/>
      <c r="M1005" s="1602"/>
      <c r="N1005" s="1602"/>
      <c r="O1005" s="1602"/>
      <c r="P1005" s="1602"/>
      <c r="Q1005" s="1602"/>
      <c r="R1005" s="1602"/>
      <c r="S1005" s="1602"/>
      <c r="T1005" s="1602"/>
      <c r="U1005" s="1602"/>
      <c r="V1005" s="1602"/>
      <c r="W1005" s="1602"/>
      <c r="X1005" s="1602"/>
      <c r="Y1005" s="1602"/>
      <c r="Z1005" s="1602"/>
      <c r="AA1005" s="1602"/>
      <c r="AB1005" s="1602"/>
      <c r="AC1005" s="1602"/>
      <c r="AD1005" s="1602"/>
      <c r="AE1005" s="1603"/>
      <c r="AF1005" s="73"/>
      <c r="AG1005" s="14"/>
      <c r="AH1005" s="14"/>
      <c r="AI1005" s="83"/>
      <c r="AJ1005" s="1328"/>
      <c r="AK1005" s="1329"/>
      <c r="AL1005" s="1329"/>
      <c r="AM1005" s="1329"/>
      <c r="AN1005" s="1329"/>
      <c r="AO1005" s="1329"/>
      <c r="AP1005" s="1329"/>
      <c r="AQ1005" s="1330"/>
      <c r="AR1005" s="68"/>
      <c r="AS1005" s="68"/>
      <c r="AT1005" s="68"/>
      <c r="AU1005" s="68"/>
      <c r="AV1005" s="68"/>
      <c r="AW1005" s="68"/>
      <c r="AX1005" s="68"/>
      <c r="AY1005" s="68"/>
      <c r="AZ1005" s="34"/>
      <c r="BA1005" s="34"/>
      <c r="BB1005" s="34"/>
      <c r="BC1005" s="34"/>
    </row>
    <row r="1006" spans="1:55" ht="12.95" customHeight="1">
      <c r="A1006" s="14"/>
      <c r="B1006" s="257"/>
      <c r="C1006" s="256"/>
      <c r="D1006" s="1601"/>
      <c r="E1006" s="1602"/>
      <c r="F1006" s="1602"/>
      <c r="G1006" s="1602"/>
      <c r="H1006" s="1602"/>
      <c r="I1006" s="1602"/>
      <c r="J1006" s="1602"/>
      <c r="K1006" s="1602"/>
      <c r="L1006" s="1602"/>
      <c r="M1006" s="1602"/>
      <c r="N1006" s="1602"/>
      <c r="O1006" s="1602"/>
      <c r="P1006" s="1602"/>
      <c r="Q1006" s="1602"/>
      <c r="R1006" s="1602"/>
      <c r="S1006" s="1602"/>
      <c r="T1006" s="1602"/>
      <c r="U1006" s="1602"/>
      <c r="V1006" s="1602"/>
      <c r="W1006" s="1602"/>
      <c r="X1006" s="1602"/>
      <c r="Y1006" s="1602"/>
      <c r="Z1006" s="1602"/>
      <c r="AA1006" s="1602"/>
      <c r="AB1006" s="1602"/>
      <c r="AC1006" s="1602"/>
      <c r="AD1006" s="1602"/>
      <c r="AE1006" s="1603"/>
      <c r="AF1006" s="73"/>
      <c r="AG1006" s="14"/>
      <c r="AH1006" s="14"/>
      <c r="AI1006" s="83"/>
      <c r="AJ1006" s="1328"/>
      <c r="AK1006" s="1329"/>
      <c r="AL1006" s="1329"/>
      <c r="AM1006" s="1329"/>
      <c r="AN1006" s="1329"/>
      <c r="AO1006" s="1329"/>
      <c r="AP1006" s="1329"/>
      <c r="AQ1006" s="1330"/>
      <c r="AR1006" s="68"/>
      <c r="AS1006" s="68"/>
      <c r="AT1006" s="68"/>
      <c r="AU1006" s="68"/>
      <c r="AV1006" s="68"/>
      <c r="AW1006" s="68"/>
      <c r="AX1006" s="68"/>
      <c r="AY1006" s="68"/>
      <c r="AZ1006" s="34"/>
      <c r="BA1006" s="34"/>
      <c r="BB1006" s="34"/>
      <c r="BC1006" s="34"/>
    </row>
    <row r="1007" spans="1:55" ht="12.95" customHeight="1">
      <c r="A1007" s="14"/>
      <c r="B1007" s="257"/>
      <c r="C1007" s="256"/>
      <c r="D1007" s="1601"/>
      <c r="E1007" s="1602"/>
      <c r="F1007" s="1602"/>
      <c r="G1007" s="1602"/>
      <c r="H1007" s="1602"/>
      <c r="I1007" s="1602"/>
      <c r="J1007" s="1602"/>
      <c r="K1007" s="1602"/>
      <c r="L1007" s="1602"/>
      <c r="M1007" s="1602"/>
      <c r="N1007" s="1602"/>
      <c r="O1007" s="1602"/>
      <c r="P1007" s="1602"/>
      <c r="Q1007" s="1602"/>
      <c r="R1007" s="1602"/>
      <c r="S1007" s="1602"/>
      <c r="T1007" s="1602"/>
      <c r="U1007" s="1602"/>
      <c r="V1007" s="1602"/>
      <c r="W1007" s="1602"/>
      <c r="X1007" s="1602"/>
      <c r="Y1007" s="1602"/>
      <c r="Z1007" s="1602"/>
      <c r="AA1007" s="1602"/>
      <c r="AB1007" s="1602"/>
      <c r="AC1007" s="1602"/>
      <c r="AD1007" s="1602"/>
      <c r="AE1007" s="1603"/>
      <c r="AF1007" s="73"/>
      <c r="AG1007" s="14"/>
      <c r="AH1007" s="14"/>
      <c r="AI1007" s="83"/>
      <c r="AJ1007" s="1328"/>
      <c r="AK1007" s="1329"/>
      <c r="AL1007" s="1329"/>
      <c r="AM1007" s="1329"/>
      <c r="AN1007" s="1329"/>
      <c r="AO1007" s="1329"/>
      <c r="AP1007" s="1329"/>
      <c r="AQ1007" s="1330"/>
      <c r="AR1007" s="68"/>
      <c r="AS1007" s="68"/>
      <c r="AT1007" s="68"/>
      <c r="AU1007" s="68"/>
      <c r="AV1007" s="68"/>
      <c r="AW1007" s="68"/>
      <c r="AX1007" s="68"/>
      <c r="AY1007" s="68"/>
      <c r="AZ1007" s="34"/>
      <c r="BA1007" s="34"/>
      <c r="BB1007" s="34"/>
      <c r="BC1007" s="34"/>
    </row>
    <row r="1008" spans="1:55" ht="12.95" customHeight="1">
      <c r="A1008" s="14"/>
      <c r="B1008" s="257"/>
      <c r="C1008" s="256"/>
      <c r="D1008" s="1604" t="s">
        <v>2152</v>
      </c>
      <c r="E1008" s="1605"/>
      <c r="F1008" s="1605"/>
      <c r="G1008" s="1605"/>
      <c r="H1008" s="1605"/>
      <c r="I1008" s="1605"/>
      <c r="J1008" s="1605"/>
      <c r="K1008" s="1605"/>
      <c r="L1008" s="1605"/>
      <c r="M1008" s="1605"/>
      <c r="N1008" s="1605"/>
      <c r="O1008" s="1605"/>
      <c r="P1008" s="1605"/>
      <c r="Q1008" s="1605"/>
      <c r="R1008" s="1605"/>
      <c r="S1008" s="1605"/>
      <c r="T1008" s="1605"/>
      <c r="U1008" s="1605"/>
      <c r="V1008" s="1605"/>
      <c r="W1008" s="1605"/>
      <c r="X1008" s="1605"/>
      <c r="Y1008" s="1605"/>
      <c r="Z1008" s="1605"/>
      <c r="AA1008" s="1605"/>
      <c r="AB1008" s="1605"/>
      <c r="AC1008" s="1605"/>
      <c r="AD1008" s="1605"/>
      <c r="AE1008" s="1606"/>
      <c r="AF1008" s="73"/>
      <c r="AG1008" s="14"/>
      <c r="AH1008" s="14"/>
      <c r="AI1008" s="83"/>
      <c r="AJ1008" s="1328"/>
      <c r="AK1008" s="1329"/>
      <c r="AL1008" s="1329"/>
      <c r="AM1008" s="1329"/>
      <c r="AN1008" s="1329"/>
      <c r="AO1008" s="1329"/>
      <c r="AP1008" s="1329"/>
      <c r="AQ1008" s="1330"/>
      <c r="AR1008" s="68"/>
      <c r="AS1008" s="68"/>
      <c r="AT1008" s="68"/>
      <c r="AU1008" s="68"/>
      <c r="AV1008" s="68"/>
      <c r="AW1008" s="68"/>
      <c r="AX1008" s="68"/>
      <c r="AY1008" s="68"/>
      <c r="AZ1008" s="34"/>
      <c r="BA1008" s="34"/>
      <c r="BB1008" s="34"/>
      <c r="BC1008" s="34"/>
    </row>
    <row r="1009" spans="1:55" ht="12.95" customHeight="1">
      <c r="A1009" s="14"/>
      <c r="B1009" s="257"/>
      <c r="C1009" s="256"/>
      <c r="D1009" s="1589" t="s">
        <v>2782</v>
      </c>
      <c r="E1009" s="1590"/>
      <c r="F1009" s="1590"/>
      <c r="G1009" s="1590"/>
      <c r="H1009" s="1590"/>
      <c r="I1009" s="1590"/>
      <c r="J1009" s="1590"/>
      <c r="K1009" s="1590"/>
      <c r="L1009" s="1590"/>
      <c r="M1009" s="1590"/>
      <c r="N1009" s="1590"/>
      <c r="O1009" s="1590"/>
      <c r="P1009" s="1590"/>
      <c r="Q1009" s="1590"/>
      <c r="R1009" s="1590"/>
      <c r="S1009" s="1590"/>
      <c r="T1009" s="1590"/>
      <c r="U1009" s="1590"/>
      <c r="V1009" s="1590"/>
      <c r="W1009" s="1590"/>
      <c r="X1009" s="1590"/>
      <c r="Y1009" s="1590"/>
      <c r="Z1009" s="1590"/>
      <c r="AA1009" s="1590"/>
      <c r="AB1009" s="1590"/>
      <c r="AC1009" s="1590"/>
      <c r="AD1009" s="1590"/>
      <c r="AE1009" s="1591"/>
      <c r="AF1009" s="77"/>
      <c r="AG1009" s="7"/>
      <c r="AH1009" s="7"/>
      <c r="AI1009" s="78"/>
      <c r="AJ1009" s="1331"/>
      <c r="AK1009" s="1332"/>
      <c r="AL1009" s="1332"/>
      <c r="AM1009" s="1332"/>
      <c r="AN1009" s="1332"/>
      <c r="AO1009" s="1332"/>
      <c r="AP1009" s="1332"/>
      <c r="AQ1009" s="1333"/>
      <c r="AR1009" s="68"/>
      <c r="AS1009" s="68"/>
      <c r="AT1009" s="68"/>
      <c r="AU1009" s="68"/>
      <c r="AV1009" s="68"/>
      <c r="AW1009" s="68"/>
      <c r="AX1009" s="68"/>
      <c r="AY1009" s="68"/>
      <c r="AZ1009" s="34"/>
      <c r="BA1009" s="34"/>
      <c r="BB1009" s="34"/>
      <c r="BC1009" s="34"/>
    </row>
    <row r="1010" spans="1:55" ht="12.95" customHeight="1">
      <c r="A1010" s="14"/>
      <c r="B1010" s="255"/>
      <c r="C1010" s="315"/>
      <c r="D1010" s="1527" t="s">
        <v>1283</v>
      </c>
      <c r="E1010" s="1528"/>
      <c r="F1010" s="1528"/>
      <c r="G1010" s="1528"/>
      <c r="H1010" s="1528"/>
      <c r="I1010" s="1528"/>
      <c r="J1010" s="1528"/>
      <c r="K1010" s="1528"/>
      <c r="L1010" s="1528"/>
      <c r="M1010" s="1528"/>
      <c r="N1010" s="1528"/>
      <c r="O1010" s="1528"/>
      <c r="P1010" s="1528"/>
      <c r="Q1010" s="1528"/>
      <c r="R1010" s="1528"/>
      <c r="S1010" s="1528"/>
      <c r="T1010" s="1528"/>
      <c r="U1010" s="1528"/>
      <c r="V1010" s="1528"/>
      <c r="W1010" s="1528"/>
      <c r="X1010" s="1528"/>
      <c r="Y1010" s="1528"/>
      <c r="Z1010" s="1528"/>
      <c r="AA1010" s="1528"/>
      <c r="AB1010" s="1528"/>
      <c r="AC1010" s="1528"/>
      <c r="AD1010" s="1528"/>
      <c r="AE1010" s="1529"/>
      <c r="AF1010" s="79"/>
      <c r="AG1010" s="1539" t="s">
        <v>543</v>
      </c>
      <c r="AH1010" s="1540"/>
      <c r="AI1010" s="87"/>
      <c r="AJ1010" s="1325">
        <f>ROUND(IF(AG1010="yes",AJ1001*0.05,0),0)</f>
        <v>3233854</v>
      </c>
      <c r="AK1010" s="1326"/>
      <c r="AL1010" s="1326"/>
      <c r="AM1010" s="1326"/>
      <c r="AN1010" s="1326"/>
      <c r="AO1010" s="1326"/>
      <c r="AP1010" s="1326"/>
      <c r="AQ1010" s="1327"/>
      <c r="AR1010" s="68"/>
      <c r="AS1010" s="68"/>
      <c r="AT1010" s="68"/>
      <c r="AU1010" s="68"/>
      <c r="AV1010" s="68"/>
      <c r="AW1010" s="68"/>
      <c r="AX1010" s="68"/>
      <c r="AY1010" s="68"/>
      <c r="AZ1010" s="34"/>
      <c r="BA1010" s="34"/>
      <c r="BB1010" s="34"/>
      <c r="BC1010" s="34"/>
    </row>
    <row r="1011" spans="1:55" ht="12.95" customHeight="1">
      <c r="A1011" s="14"/>
      <c r="B1011" s="257"/>
      <c r="C1011" s="82"/>
      <c r="D1011" s="1601" t="s">
        <v>1281</v>
      </c>
      <c r="E1011" s="1602"/>
      <c r="F1011" s="1602"/>
      <c r="G1011" s="1602"/>
      <c r="H1011" s="1602"/>
      <c r="I1011" s="1602"/>
      <c r="J1011" s="1602"/>
      <c r="K1011" s="1602"/>
      <c r="L1011" s="1602"/>
      <c r="M1011" s="1602"/>
      <c r="N1011" s="1602"/>
      <c r="O1011" s="1602"/>
      <c r="P1011" s="1602"/>
      <c r="Q1011" s="1602"/>
      <c r="R1011" s="1602"/>
      <c r="S1011" s="1602"/>
      <c r="T1011" s="1602"/>
      <c r="U1011" s="1602"/>
      <c r="V1011" s="1602"/>
      <c r="W1011" s="1602"/>
      <c r="X1011" s="1602"/>
      <c r="Y1011" s="1602"/>
      <c r="Z1011" s="1602"/>
      <c r="AA1011" s="1602"/>
      <c r="AB1011" s="1602"/>
      <c r="AC1011" s="1602"/>
      <c r="AD1011" s="1602"/>
      <c r="AE1011" s="1603"/>
      <c r="AF1011" s="73"/>
      <c r="AG1011" s="14"/>
      <c r="AH1011" s="14"/>
      <c r="AI1011" s="83"/>
      <c r="AJ1011" s="1328"/>
      <c r="AK1011" s="1329"/>
      <c r="AL1011" s="1329"/>
      <c r="AM1011" s="1329"/>
      <c r="AN1011" s="1329"/>
      <c r="AO1011" s="1329"/>
      <c r="AP1011" s="1329"/>
      <c r="AQ1011" s="1330"/>
      <c r="AR1011" s="68"/>
      <c r="AS1011" s="68"/>
      <c r="AT1011" s="68"/>
      <c r="AU1011" s="68"/>
      <c r="AV1011" s="68"/>
      <c r="AW1011" s="68"/>
      <c r="AX1011" s="68"/>
      <c r="AY1011" s="34"/>
      <c r="AZ1011" s="34"/>
      <c r="BB1011" s="34"/>
    </row>
    <row r="1012" spans="1:55" ht="12.95" customHeight="1">
      <c r="A1012" s="14"/>
      <c r="B1012" s="257"/>
      <c r="C1012" s="82"/>
      <c r="D1012" s="1601"/>
      <c r="E1012" s="1602"/>
      <c r="F1012" s="1602"/>
      <c r="G1012" s="1602"/>
      <c r="H1012" s="1602"/>
      <c r="I1012" s="1602"/>
      <c r="J1012" s="1602"/>
      <c r="K1012" s="1602"/>
      <c r="L1012" s="1602"/>
      <c r="M1012" s="1602"/>
      <c r="N1012" s="1602"/>
      <c r="O1012" s="1602"/>
      <c r="P1012" s="1602"/>
      <c r="Q1012" s="1602"/>
      <c r="R1012" s="1602"/>
      <c r="S1012" s="1602"/>
      <c r="T1012" s="1602"/>
      <c r="U1012" s="1602"/>
      <c r="V1012" s="1602"/>
      <c r="W1012" s="1602"/>
      <c r="X1012" s="1602"/>
      <c r="Y1012" s="1602"/>
      <c r="Z1012" s="1602"/>
      <c r="AA1012" s="1602"/>
      <c r="AB1012" s="1602"/>
      <c r="AC1012" s="1602"/>
      <c r="AD1012" s="1602"/>
      <c r="AE1012" s="1603"/>
      <c r="AF1012" s="73"/>
      <c r="AG1012" s="14"/>
      <c r="AH1012" s="14"/>
      <c r="AI1012" s="83"/>
      <c r="AJ1012" s="1328"/>
      <c r="AK1012" s="1329"/>
      <c r="AL1012" s="1329"/>
      <c r="AM1012" s="1329"/>
      <c r="AN1012" s="1329"/>
      <c r="AO1012" s="1329"/>
      <c r="AP1012" s="1329"/>
      <c r="AQ1012" s="1330"/>
      <c r="AR1012" s="68"/>
      <c r="AS1012" s="68"/>
      <c r="AT1012" s="68"/>
      <c r="AU1012" s="68"/>
      <c r="AV1012" s="68"/>
      <c r="AW1012" s="68"/>
      <c r="AX1012" s="68"/>
      <c r="AY1012" s="905">
        <f>G761+O805</f>
        <v>108</v>
      </c>
      <c r="AZ1012" s="34"/>
      <c r="BB1012" s="34"/>
    </row>
    <row r="1013" spans="1:55" ht="12.95" customHeight="1">
      <c r="A1013" s="14"/>
      <c r="B1013" s="257"/>
      <c r="C1013" s="82"/>
      <c r="D1013" s="1601"/>
      <c r="E1013" s="1602"/>
      <c r="F1013" s="1602"/>
      <c r="G1013" s="1602"/>
      <c r="H1013" s="1602"/>
      <c r="I1013" s="1602"/>
      <c r="J1013" s="1602"/>
      <c r="K1013" s="1602"/>
      <c r="L1013" s="1602"/>
      <c r="M1013" s="1602"/>
      <c r="N1013" s="1602"/>
      <c r="O1013" s="1602"/>
      <c r="P1013" s="1602"/>
      <c r="Q1013" s="1602"/>
      <c r="R1013" s="1602"/>
      <c r="S1013" s="1602"/>
      <c r="T1013" s="1602"/>
      <c r="U1013" s="1602"/>
      <c r="V1013" s="1602"/>
      <c r="W1013" s="1602"/>
      <c r="X1013" s="1602"/>
      <c r="Y1013" s="1602"/>
      <c r="Z1013" s="1602"/>
      <c r="AA1013" s="1602"/>
      <c r="AB1013" s="1602"/>
      <c r="AC1013" s="1602"/>
      <c r="AD1013" s="1602"/>
      <c r="AE1013" s="1603"/>
      <c r="AF1013" s="73"/>
      <c r="AG1013" s="14"/>
      <c r="AH1013" s="14"/>
      <c r="AI1013" s="83"/>
      <c r="AJ1013" s="1328"/>
      <c r="AK1013" s="1329"/>
      <c r="AL1013" s="1329"/>
      <c r="AM1013" s="1329"/>
      <c r="AN1013" s="1329"/>
      <c r="AO1013" s="1329"/>
      <c r="AP1013" s="1329"/>
      <c r="AQ1013" s="1330"/>
      <c r="AR1013" s="68"/>
      <c r="AS1013" s="68"/>
      <c r="AT1013" s="68"/>
      <c r="AU1013" s="68"/>
      <c r="AV1013" s="68"/>
      <c r="AW1013" s="68"/>
      <c r="AX1013" s="68"/>
      <c r="AY1013" s="14"/>
      <c r="AZ1013" s="34"/>
      <c r="BB1013" s="34"/>
    </row>
    <row r="1014" spans="1:55" ht="12.95" customHeight="1">
      <c r="A1014" s="14"/>
      <c r="B1014" s="257"/>
      <c r="C1014" s="82"/>
      <c r="D1014" s="1601"/>
      <c r="E1014" s="1602"/>
      <c r="F1014" s="1602"/>
      <c r="G1014" s="1602"/>
      <c r="H1014" s="1602"/>
      <c r="I1014" s="1602"/>
      <c r="J1014" s="1602"/>
      <c r="K1014" s="1602"/>
      <c r="L1014" s="1602"/>
      <c r="M1014" s="1602"/>
      <c r="N1014" s="1602"/>
      <c r="O1014" s="1602"/>
      <c r="P1014" s="1602"/>
      <c r="Q1014" s="1602"/>
      <c r="R1014" s="1602"/>
      <c r="S1014" s="1602"/>
      <c r="T1014" s="1602"/>
      <c r="U1014" s="1602"/>
      <c r="V1014" s="1602"/>
      <c r="W1014" s="1602"/>
      <c r="X1014" s="1602"/>
      <c r="Y1014" s="1602"/>
      <c r="Z1014" s="1602"/>
      <c r="AA1014" s="1602"/>
      <c r="AB1014" s="1602"/>
      <c r="AC1014" s="1602"/>
      <c r="AD1014" s="1602"/>
      <c r="AE1014" s="1603"/>
      <c r="AF1014" s="73"/>
      <c r="AG1014" s="14"/>
      <c r="AH1014" s="14"/>
      <c r="AI1014" s="83"/>
      <c r="AJ1014" s="1328"/>
      <c r="AK1014" s="1329"/>
      <c r="AL1014" s="1329"/>
      <c r="AM1014" s="1329"/>
      <c r="AN1014" s="1329"/>
      <c r="AO1014" s="1329"/>
      <c r="AP1014" s="1329"/>
      <c r="AQ1014" s="1330"/>
      <c r="AR1014" s="68"/>
      <c r="AS1014" s="68"/>
      <c r="AT1014" s="68"/>
      <c r="AU1014" s="68"/>
      <c r="AV1014" s="68"/>
      <c r="AW1014" s="68"/>
      <c r="AX1014" s="68"/>
      <c r="AY1014" s="904">
        <f>ROUNDDOWN(X1057/I1057,2)</f>
        <v>0.01</v>
      </c>
      <c r="AZ1014" s="34"/>
      <c r="BB1014" s="34"/>
    </row>
    <row r="1015" spans="1:55" ht="12.95" customHeight="1">
      <c r="A1015" s="14"/>
      <c r="B1015" s="75"/>
      <c r="C1015" s="76"/>
      <c r="D1015" s="1604"/>
      <c r="E1015" s="1605"/>
      <c r="F1015" s="1605"/>
      <c r="G1015" s="1605"/>
      <c r="H1015" s="1605"/>
      <c r="I1015" s="1605"/>
      <c r="J1015" s="1605"/>
      <c r="K1015" s="1605"/>
      <c r="L1015" s="1605"/>
      <c r="M1015" s="1605"/>
      <c r="N1015" s="1605"/>
      <c r="O1015" s="1605"/>
      <c r="P1015" s="1605"/>
      <c r="Q1015" s="1605"/>
      <c r="R1015" s="1605"/>
      <c r="S1015" s="1605"/>
      <c r="T1015" s="1605"/>
      <c r="U1015" s="1605"/>
      <c r="V1015" s="1605"/>
      <c r="W1015" s="1605"/>
      <c r="X1015" s="1605"/>
      <c r="Y1015" s="1605"/>
      <c r="Z1015" s="1605"/>
      <c r="AA1015" s="1605"/>
      <c r="AB1015" s="1605"/>
      <c r="AC1015" s="1605"/>
      <c r="AD1015" s="1605"/>
      <c r="AE1015" s="1606"/>
      <c r="AF1015" s="77"/>
      <c r="AG1015" s="7"/>
      <c r="AH1015" s="7"/>
      <c r="AI1015" s="78"/>
      <c r="AJ1015" s="1331"/>
      <c r="AK1015" s="1332"/>
      <c r="AL1015" s="1332"/>
      <c r="AM1015" s="1332"/>
      <c r="AN1015" s="1332"/>
      <c r="AO1015" s="1332"/>
      <c r="AP1015" s="1332"/>
      <c r="AQ1015" s="1333"/>
      <c r="AR1015" s="68"/>
      <c r="AS1015" s="68"/>
      <c r="AT1015" s="68"/>
      <c r="AU1015" s="68"/>
      <c r="AV1015" s="68"/>
      <c r="AW1015" s="68"/>
      <c r="AX1015" s="68"/>
      <c r="AY1015" s="904">
        <f>ROUNDDOWN(X1061/I1061,2)</f>
        <v>0.49</v>
      </c>
      <c r="AZ1015" s="34"/>
      <c r="BB1015" s="34"/>
    </row>
    <row r="1016" spans="1:55" ht="12.95" customHeight="1">
      <c r="A1016" s="14"/>
      <c r="B1016" s="255"/>
      <c r="C1016" s="80" t="s">
        <v>670</v>
      </c>
      <c r="D1016" s="1527" t="s">
        <v>1669</v>
      </c>
      <c r="E1016" s="1528"/>
      <c r="F1016" s="1528"/>
      <c r="G1016" s="1528"/>
      <c r="H1016" s="1528"/>
      <c r="I1016" s="1528"/>
      <c r="J1016" s="1528"/>
      <c r="K1016" s="1528"/>
      <c r="L1016" s="1528"/>
      <c r="M1016" s="1528"/>
      <c r="N1016" s="1528"/>
      <c r="O1016" s="1528"/>
      <c r="P1016" s="1528"/>
      <c r="Q1016" s="1528"/>
      <c r="R1016" s="1528"/>
      <c r="S1016" s="1528"/>
      <c r="T1016" s="1528"/>
      <c r="U1016" s="1528"/>
      <c r="V1016" s="1528"/>
      <c r="W1016" s="1528"/>
      <c r="X1016" s="1528"/>
      <c r="Y1016" s="1528"/>
      <c r="Z1016" s="1528"/>
      <c r="AA1016" s="1528"/>
      <c r="AB1016" s="1528"/>
      <c r="AC1016" s="1528"/>
      <c r="AD1016" s="1528"/>
      <c r="AE1016" s="1529"/>
      <c r="AF1016" s="86"/>
      <c r="AG1016" s="1539" t="s">
        <v>543</v>
      </c>
      <c r="AH1016" s="1540"/>
      <c r="AI1016" s="87"/>
      <c r="AJ1016" s="1325">
        <f>ROUND(IF(AG1016="yes",AJ1001*0.1,0),0)</f>
        <v>6467708</v>
      </c>
      <c r="AK1016" s="1326"/>
      <c r="AL1016" s="1326"/>
      <c r="AM1016" s="1326"/>
      <c r="AN1016" s="1326"/>
      <c r="AO1016" s="1326"/>
      <c r="AP1016" s="1326"/>
      <c r="AQ1016" s="1327"/>
      <c r="AR1016" s="68"/>
      <c r="AS1016" s="68"/>
      <c r="AT1016" s="68"/>
      <c r="AU1016" s="68"/>
      <c r="AV1016" s="68"/>
      <c r="AW1016" s="68"/>
      <c r="AX1016" s="68"/>
      <c r="BB1016" s="34"/>
    </row>
    <row r="1017" spans="1:55" ht="12.95" customHeight="1">
      <c r="A1017" s="14"/>
      <c r="B1017" s="73"/>
      <c r="C1017" s="74"/>
      <c r="D1017" s="1530" t="s">
        <v>1282</v>
      </c>
      <c r="E1017" s="1531"/>
      <c r="F1017" s="1531"/>
      <c r="G1017" s="1531"/>
      <c r="H1017" s="1531"/>
      <c r="I1017" s="1531"/>
      <c r="J1017" s="1531"/>
      <c r="K1017" s="1531"/>
      <c r="L1017" s="1531"/>
      <c r="M1017" s="1531"/>
      <c r="N1017" s="1531"/>
      <c r="O1017" s="1531"/>
      <c r="P1017" s="1531"/>
      <c r="Q1017" s="1531"/>
      <c r="R1017" s="1531"/>
      <c r="S1017" s="1531"/>
      <c r="T1017" s="1531"/>
      <c r="U1017" s="1531"/>
      <c r="V1017" s="1531"/>
      <c r="W1017" s="1531"/>
      <c r="X1017" s="1531"/>
      <c r="Y1017" s="1531"/>
      <c r="Z1017" s="1531"/>
      <c r="AA1017" s="1531"/>
      <c r="AB1017" s="1531"/>
      <c r="AC1017" s="1531"/>
      <c r="AD1017" s="1531"/>
      <c r="AE1017" s="1532"/>
      <c r="AF1017" s="73"/>
      <c r="AI1017" s="83"/>
      <c r="AJ1017" s="1328"/>
      <c r="AK1017" s="1329"/>
      <c r="AL1017" s="1329"/>
      <c r="AM1017" s="1329"/>
      <c r="AN1017" s="1329"/>
      <c r="AO1017" s="1329"/>
      <c r="AP1017" s="1329"/>
      <c r="AQ1017" s="1330"/>
      <c r="AR1017" s="68"/>
      <c r="AS1017" s="68"/>
      <c r="AT1017" s="68"/>
      <c r="AU1017" s="68"/>
      <c r="AV1017" s="68"/>
      <c r="AW1017" s="68"/>
      <c r="AX1017" s="68"/>
    </row>
    <row r="1018" spans="1:55" ht="12.95" customHeight="1">
      <c r="A1018" s="14"/>
      <c r="B1018" s="73"/>
      <c r="C1018" s="74"/>
      <c r="D1018" s="1530"/>
      <c r="E1018" s="1531"/>
      <c r="F1018" s="1531"/>
      <c r="G1018" s="1531"/>
      <c r="H1018" s="1531"/>
      <c r="I1018" s="1531"/>
      <c r="J1018" s="1531"/>
      <c r="K1018" s="1531"/>
      <c r="L1018" s="1531"/>
      <c r="M1018" s="1531"/>
      <c r="N1018" s="1531"/>
      <c r="O1018" s="1531"/>
      <c r="P1018" s="1531"/>
      <c r="Q1018" s="1531"/>
      <c r="R1018" s="1531"/>
      <c r="S1018" s="1531"/>
      <c r="T1018" s="1531"/>
      <c r="U1018" s="1531"/>
      <c r="V1018" s="1531"/>
      <c r="W1018" s="1531"/>
      <c r="X1018" s="1531"/>
      <c r="Y1018" s="1531"/>
      <c r="Z1018" s="1531"/>
      <c r="AA1018" s="1531"/>
      <c r="AB1018" s="1531"/>
      <c r="AC1018" s="1531"/>
      <c r="AD1018" s="1531"/>
      <c r="AE1018" s="1532"/>
      <c r="AF1018" s="73"/>
      <c r="AG1018" s="14"/>
      <c r="AH1018" s="14"/>
      <c r="AI1018" s="83"/>
      <c r="AJ1018" s="1328"/>
      <c r="AK1018" s="1329"/>
      <c r="AL1018" s="1329"/>
      <c r="AM1018" s="1329"/>
      <c r="AN1018" s="1329"/>
      <c r="AO1018" s="1329"/>
      <c r="AP1018" s="1329"/>
      <c r="AQ1018" s="1330"/>
      <c r="AR1018" s="68"/>
      <c r="AS1018" s="68"/>
      <c r="AT1018" s="68"/>
      <c r="AU1018" s="68"/>
      <c r="AV1018" s="68"/>
      <c r="AW1018" s="68"/>
      <c r="AX1018" s="68"/>
    </row>
    <row r="1019" spans="1:55" ht="12.95" customHeight="1">
      <c r="A1019" s="14"/>
      <c r="B1019" s="85"/>
      <c r="C1019" s="76"/>
      <c r="D1019" s="1551"/>
      <c r="E1019" s="1552"/>
      <c r="F1019" s="1552"/>
      <c r="G1019" s="1552"/>
      <c r="H1019" s="1552"/>
      <c r="I1019" s="1552"/>
      <c r="J1019" s="1552"/>
      <c r="K1019" s="1552"/>
      <c r="L1019" s="1552"/>
      <c r="M1019" s="1552"/>
      <c r="N1019" s="1552"/>
      <c r="O1019" s="1552"/>
      <c r="P1019" s="1552"/>
      <c r="Q1019" s="1552"/>
      <c r="R1019" s="1552"/>
      <c r="S1019" s="1552"/>
      <c r="T1019" s="1552"/>
      <c r="U1019" s="1552"/>
      <c r="V1019" s="1552"/>
      <c r="W1019" s="1552"/>
      <c r="X1019" s="1552"/>
      <c r="Y1019" s="1552"/>
      <c r="Z1019" s="1552"/>
      <c r="AA1019" s="1552"/>
      <c r="AB1019" s="1552"/>
      <c r="AC1019" s="1552"/>
      <c r="AD1019" s="1552"/>
      <c r="AE1019" s="1553"/>
      <c r="AF1019" s="77"/>
      <c r="AG1019" s="7"/>
      <c r="AH1019" s="7"/>
      <c r="AI1019" s="78"/>
      <c r="AJ1019" s="1331"/>
      <c r="AK1019" s="1332"/>
      <c r="AL1019" s="1332"/>
      <c r="AM1019" s="1332"/>
      <c r="AN1019" s="1332"/>
      <c r="AO1019" s="1332"/>
      <c r="AP1019" s="1332"/>
      <c r="AQ1019" s="1333"/>
      <c r="AR1019" s="68"/>
      <c r="AS1019" s="68"/>
      <c r="AT1019" s="68"/>
      <c r="AU1019" s="68"/>
      <c r="AV1019" s="68"/>
      <c r="AW1019" s="68"/>
      <c r="AX1019" s="68"/>
    </row>
    <row r="1020" spans="1:55" ht="12.95" customHeight="1">
      <c r="A1020" s="14"/>
      <c r="B1020" s="79"/>
      <c r="C1020" s="80" t="s">
        <v>211</v>
      </c>
      <c r="D1020" s="1527" t="s">
        <v>1284</v>
      </c>
      <c r="E1020" s="1528"/>
      <c r="F1020" s="1528"/>
      <c r="G1020" s="1528"/>
      <c r="H1020" s="1528"/>
      <c r="I1020" s="1528"/>
      <c r="J1020" s="1528"/>
      <c r="K1020" s="1528"/>
      <c r="L1020" s="1528"/>
      <c r="M1020" s="1528"/>
      <c r="N1020" s="1528"/>
      <c r="O1020" s="1528"/>
      <c r="P1020" s="1528"/>
      <c r="Q1020" s="1528"/>
      <c r="R1020" s="1528"/>
      <c r="S1020" s="1528"/>
      <c r="T1020" s="1528"/>
      <c r="U1020" s="1528"/>
      <c r="V1020" s="1528"/>
      <c r="W1020" s="1528"/>
      <c r="X1020" s="1528"/>
      <c r="Y1020" s="1528"/>
      <c r="Z1020" s="1528"/>
      <c r="AA1020" s="1528"/>
      <c r="AB1020" s="1528"/>
      <c r="AC1020" s="1528"/>
      <c r="AD1020" s="1528"/>
      <c r="AE1020" s="1529"/>
      <c r="AF1020" s="79"/>
      <c r="AG1020" s="1539" t="s">
        <v>667</v>
      </c>
      <c r="AH1020" s="1540"/>
      <c r="AI1020" s="87"/>
      <c r="AJ1020" s="1325">
        <f>ROUND(IF(AG1020="yes",AJ1001*0.02,0),0)</f>
        <v>0</v>
      </c>
      <c r="AK1020" s="1326"/>
      <c r="AL1020" s="1326"/>
      <c r="AM1020" s="1326"/>
      <c r="AN1020" s="1326"/>
      <c r="AO1020" s="1326"/>
      <c r="AP1020" s="1326"/>
      <c r="AQ1020" s="1327"/>
      <c r="AR1020" s="68"/>
      <c r="AS1020" s="68"/>
      <c r="AT1020" s="68"/>
      <c r="AU1020" s="68"/>
      <c r="AV1020" s="68"/>
      <c r="AW1020" s="68"/>
      <c r="AX1020" s="68"/>
    </row>
    <row r="1021" spans="1:55" ht="14.25" customHeight="1">
      <c r="A1021" s="14"/>
      <c r="B1021" s="73"/>
      <c r="C1021" s="74"/>
      <c r="D1021" s="1551" t="s">
        <v>1285</v>
      </c>
      <c r="E1021" s="1552"/>
      <c r="F1021" s="1552"/>
      <c r="G1021" s="1552"/>
      <c r="H1021" s="1552"/>
      <c r="I1021" s="1552"/>
      <c r="J1021" s="1552"/>
      <c r="K1021" s="1552"/>
      <c r="L1021" s="1552"/>
      <c r="M1021" s="1552"/>
      <c r="N1021" s="1552"/>
      <c r="O1021" s="1552"/>
      <c r="P1021" s="1552"/>
      <c r="Q1021" s="1552"/>
      <c r="R1021" s="1552"/>
      <c r="S1021" s="1552"/>
      <c r="T1021" s="1552"/>
      <c r="U1021" s="1552"/>
      <c r="V1021" s="1552"/>
      <c r="W1021" s="1552"/>
      <c r="X1021" s="1552"/>
      <c r="Y1021" s="1552"/>
      <c r="Z1021" s="1552"/>
      <c r="AA1021" s="1552"/>
      <c r="AB1021" s="1552"/>
      <c r="AC1021" s="1552"/>
      <c r="AD1021" s="1552"/>
      <c r="AE1021" s="1553"/>
      <c r="AF1021" s="77"/>
      <c r="AG1021" s="7"/>
      <c r="AH1021" s="7"/>
      <c r="AI1021" s="78"/>
      <c r="AJ1021" s="1331"/>
      <c r="AK1021" s="1332"/>
      <c r="AL1021" s="1332"/>
      <c r="AM1021" s="1332"/>
      <c r="AN1021" s="1332"/>
      <c r="AO1021" s="1332"/>
      <c r="AP1021" s="1332"/>
      <c r="AQ1021" s="1333"/>
      <c r="AR1021" s="68"/>
      <c r="AS1021" s="68"/>
      <c r="AT1021" s="68"/>
      <c r="AU1021" s="68"/>
      <c r="AV1021" s="68"/>
      <c r="AW1021" s="68"/>
      <c r="AX1021" s="3" t="s">
        <v>1810</v>
      </c>
      <c r="AZ1021" s="3" t="s">
        <v>2523</v>
      </c>
    </row>
    <row r="1022" spans="1:55" ht="12.95" customHeight="1">
      <c r="A1022" s="14"/>
      <c r="B1022" s="79"/>
      <c r="C1022" s="80" t="s">
        <v>214</v>
      </c>
      <c r="D1022" s="1527" t="s">
        <v>1286</v>
      </c>
      <c r="E1022" s="1528"/>
      <c r="F1022" s="1528"/>
      <c r="G1022" s="1528"/>
      <c r="H1022" s="1528"/>
      <c r="I1022" s="1528"/>
      <c r="J1022" s="1528"/>
      <c r="K1022" s="1528"/>
      <c r="L1022" s="1528"/>
      <c r="M1022" s="1528"/>
      <c r="N1022" s="1528"/>
      <c r="O1022" s="1528"/>
      <c r="P1022" s="1528"/>
      <c r="Q1022" s="1528"/>
      <c r="R1022" s="1528"/>
      <c r="S1022" s="1528"/>
      <c r="T1022" s="1528"/>
      <c r="U1022" s="1528"/>
      <c r="V1022" s="1528"/>
      <c r="W1022" s="1528"/>
      <c r="X1022" s="1528"/>
      <c r="Y1022" s="1528"/>
      <c r="Z1022" s="1528"/>
      <c r="AA1022" s="1528"/>
      <c r="AB1022" s="1528"/>
      <c r="AC1022" s="1528"/>
      <c r="AD1022" s="1528"/>
      <c r="AE1022" s="1529"/>
      <c r="AF1022" s="79"/>
      <c r="AG1022" s="1539" t="s">
        <v>667</v>
      </c>
      <c r="AH1022" s="1540"/>
      <c r="AI1022" s="79"/>
      <c r="AJ1022" s="1325">
        <f>ROUND(IF(AG1022="yes",AJ1001*0.02,0),0)</f>
        <v>0</v>
      </c>
      <c r="AK1022" s="1326"/>
      <c r="AL1022" s="1326"/>
      <c r="AM1022" s="1326"/>
      <c r="AN1022" s="1326"/>
      <c r="AO1022" s="1326"/>
      <c r="AP1022" s="1326"/>
      <c r="AQ1022" s="1327"/>
      <c r="AR1022" s="68"/>
      <c r="AS1022" s="68"/>
      <c r="AT1022" s="68"/>
      <c r="AU1022" s="68"/>
      <c r="AV1022" s="68"/>
      <c r="AW1022" s="68"/>
      <c r="AX1022" s="3">
        <v>1</v>
      </c>
      <c r="AY1022" s="200">
        <f>IF((_xlfn.XLOOKUP(AX1022,$C$1074:$C$1112,$A$1074:$A$1112,"",0,1))="Yes",AZ1022,0)</f>
        <v>0.2</v>
      </c>
      <c r="AZ1022" s="1184">
        <v>0.2</v>
      </c>
    </row>
    <row r="1023" spans="1:55" ht="12.95" customHeight="1">
      <c r="A1023" s="14"/>
      <c r="B1023" s="73"/>
      <c r="C1023" s="74"/>
      <c r="D1023" s="1530" t="s">
        <v>1287</v>
      </c>
      <c r="E1023" s="1531"/>
      <c r="F1023" s="1531"/>
      <c r="G1023" s="1531"/>
      <c r="H1023" s="1531"/>
      <c r="I1023" s="1531"/>
      <c r="J1023" s="1531"/>
      <c r="K1023" s="1531"/>
      <c r="L1023" s="1531"/>
      <c r="M1023" s="1531"/>
      <c r="N1023" s="1531"/>
      <c r="O1023" s="1531"/>
      <c r="P1023" s="1531"/>
      <c r="Q1023" s="1531"/>
      <c r="R1023" s="1531"/>
      <c r="S1023" s="1531"/>
      <c r="T1023" s="1531"/>
      <c r="U1023" s="1531"/>
      <c r="V1023" s="1531"/>
      <c r="W1023" s="1531"/>
      <c r="X1023" s="1531"/>
      <c r="Y1023" s="1531"/>
      <c r="Z1023" s="1531"/>
      <c r="AA1023" s="1531"/>
      <c r="AB1023" s="1531"/>
      <c r="AC1023" s="1531"/>
      <c r="AD1023" s="1531"/>
      <c r="AE1023" s="1532"/>
      <c r="AF1023" s="1309" t="str">
        <f>IF(AND(AG1022="yes",T212&lt;&gt;1),"The project may not be eligible for this boost","")</f>
        <v/>
      </c>
      <c r="AG1023" s="1310"/>
      <c r="AH1023" s="1310"/>
      <c r="AI1023" s="1311"/>
      <c r="AJ1023" s="1328"/>
      <c r="AK1023" s="1329"/>
      <c r="AL1023" s="1329"/>
      <c r="AM1023" s="1329"/>
      <c r="AN1023" s="1329"/>
      <c r="AO1023" s="1329"/>
      <c r="AP1023" s="1329"/>
      <c r="AQ1023" s="1330"/>
      <c r="AR1023" s="68"/>
      <c r="AS1023" s="68"/>
      <c r="AT1023" s="68"/>
      <c r="AU1023" s="68"/>
      <c r="AV1023" s="68"/>
      <c r="AW1023" s="68"/>
      <c r="AX1023" s="3">
        <v>2</v>
      </c>
      <c r="AY1023" s="200">
        <f t="shared" ref="AY1023:AY1032" si="54">IF((_xlfn.XLOOKUP(AX1023,$C$1074:$C$1112,$A$1074:$A$1112,"",0,1))="Yes",AZ1023,0)</f>
        <v>0</v>
      </c>
      <c r="AZ1023" s="1184">
        <v>0.15</v>
      </c>
    </row>
    <row r="1024" spans="1:55" ht="12.95" customHeight="1">
      <c r="A1024" s="14"/>
      <c r="B1024" s="75"/>
      <c r="C1024" s="76"/>
      <c r="D1024" s="1551"/>
      <c r="E1024" s="1552"/>
      <c r="F1024" s="1552"/>
      <c r="G1024" s="1552"/>
      <c r="H1024" s="1552"/>
      <c r="I1024" s="1552"/>
      <c r="J1024" s="1552"/>
      <c r="K1024" s="1552"/>
      <c r="L1024" s="1552"/>
      <c r="M1024" s="1552"/>
      <c r="N1024" s="1552"/>
      <c r="O1024" s="1552"/>
      <c r="P1024" s="1552"/>
      <c r="Q1024" s="1552"/>
      <c r="R1024" s="1552"/>
      <c r="S1024" s="1552"/>
      <c r="T1024" s="1552"/>
      <c r="U1024" s="1552"/>
      <c r="V1024" s="1552"/>
      <c r="W1024" s="1552"/>
      <c r="X1024" s="1552"/>
      <c r="Y1024" s="1552"/>
      <c r="Z1024" s="1552"/>
      <c r="AA1024" s="1552"/>
      <c r="AB1024" s="1552"/>
      <c r="AC1024" s="1552"/>
      <c r="AD1024" s="1552"/>
      <c r="AE1024" s="1553"/>
      <c r="AF1024" s="1312"/>
      <c r="AG1024" s="1313"/>
      <c r="AH1024" s="1313"/>
      <c r="AI1024" s="1314"/>
      <c r="AJ1024" s="1331"/>
      <c r="AK1024" s="1332"/>
      <c r="AL1024" s="1332"/>
      <c r="AM1024" s="1332"/>
      <c r="AN1024" s="1332"/>
      <c r="AO1024" s="1332"/>
      <c r="AP1024" s="1332"/>
      <c r="AQ1024" s="1333"/>
      <c r="AR1024" s="68"/>
      <c r="AS1024" s="68"/>
      <c r="AT1024" s="68"/>
      <c r="AU1024" s="68"/>
      <c r="AV1024" s="68"/>
      <c r="AW1024" s="68"/>
      <c r="AX1024" s="3">
        <v>3</v>
      </c>
      <c r="AY1024" s="200">
        <f t="shared" si="54"/>
        <v>0</v>
      </c>
      <c r="AZ1024" s="1184">
        <v>0.05</v>
      </c>
    </row>
    <row r="1025" spans="1:52" ht="12.95" customHeight="1">
      <c r="A1025" s="14"/>
      <c r="B1025" s="79"/>
      <c r="C1025" s="80" t="s">
        <v>217</v>
      </c>
      <c r="D1025" s="1548" t="s">
        <v>2182</v>
      </c>
      <c r="E1025" s="1549"/>
      <c r="F1025" s="1549"/>
      <c r="G1025" s="1549"/>
      <c r="H1025" s="1549"/>
      <c r="I1025" s="1549"/>
      <c r="J1025" s="1549"/>
      <c r="K1025" s="1549"/>
      <c r="L1025" s="1549"/>
      <c r="M1025" s="1549"/>
      <c r="N1025" s="1549"/>
      <c r="O1025" s="1549"/>
      <c r="P1025" s="1549"/>
      <c r="Q1025" s="1549"/>
      <c r="R1025" s="1549"/>
      <c r="S1025" s="1549"/>
      <c r="T1025" s="1549"/>
      <c r="U1025" s="1549"/>
      <c r="V1025" s="1549"/>
      <c r="W1025" s="1549"/>
      <c r="X1025" s="1549"/>
      <c r="Y1025" s="1549"/>
      <c r="Z1025" s="1549"/>
      <c r="AA1025" s="1549"/>
      <c r="AB1025" s="1549"/>
      <c r="AC1025" s="1549"/>
      <c r="AD1025" s="1549"/>
      <c r="AE1025" s="1550"/>
      <c r="AF1025" s="79"/>
      <c r="AG1025" s="1539" t="s">
        <v>543</v>
      </c>
      <c r="AH1025" s="1540"/>
      <c r="AI1025" s="87"/>
      <c r="AJ1025" s="1325">
        <f>IF(AG1025="yes",AJ1001*AY1033,0)</f>
        <v>12935415</v>
      </c>
      <c r="AK1025" s="1326"/>
      <c r="AL1025" s="1326"/>
      <c r="AM1025" s="1326"/>
      <c r="AN1025" s="1326"/>
      <c r="AO1025" s="1326"/>
      <c r="AP1025" s="1326"/>
      <c r="AQ1025" s="1327"/>
      <c r="AR1025" s="68"/>
      <c r="AS1025" s="68"/>
      <c r="AT1025" s="68"/>
      <c r="AU1025" s="68"/>
      <c r="AV1025" s="68"/>
      <c r="AW1025" s="68"/>
      <c r="AX1025" s="3">
        <v>4</v>
      </c>
      <c r="AY1025" s="200">
        <f t="shared" si="54"/>
        <v>0</v>
      </c>
      <c r="AZ1025" s="1184">
        <v>0.02</v>
      </c>
    </row>
    <row r="1026" spans="1:52" ht="12.95" customHeight="1">
      <c r="A1026" s="14"/>
      <c r="B1026" s="73"/>
      <c r="C1026" s="74"/>
      <c r="D1026" s="1530" t="s">
        <v>2586</v>
      </c>
      <c r="E1026" s="1531"/>
      <c r="F1026" s="1531"/>
      <c r="G1026" s="1531"/>
      <c r="H1026" s="1531"/>
      <c r="I1026" s="1531"/>
      <c r="J1026" s="1531"/>
      <c r="K1026" s="1531"/>
      <c r="L1026" s="1531"/>
      <c r="M1026" s="1531"/>
      <c r="N1026" s="1531"/>
      <c r="O1026" s="1531"/>
      <c r="P1026" s="1531"/>
      <c r="Q1026" s="1531"/>
      <c r="R1026" s="1531"/>
      <c r="S1026" s="1531"/>
      <c r="T1026" s="1531"/>
      <c r="U1026" s="1531"/>
      <c r="V1026" s="1531"/>
      <c r="W1026" s="1531"/>
      <c r="X1026" s="1531"/>
      <c r="Y1026" s="1531"/>
      <c r="Z1026" s="1531"/>
      <c r="AA1026" s="1531"/>
      <c r="AB1026" s="1531"/>
      <c r="AC1026" s="1531"/>
      <c r="AD1026" s="1531"/>
      <c r="AE1026" s="1532"/>
      <c r="AF1026" s="1303" t="str">
        <f>IF(AND(AG1025="Yes",AY1033=0),AY1036,"")</f>
        <v/>
      </c>
      <c r="AG1026" s="1304"/>
      <c r="AH1026" s="1304"/>
      <c r="AI1026" s="1305"/>
      <c r="AJ1026" s="1328"/>
      <c r="AK1026" s="1329"/>
      <c r="AL1026" s="1329"/>
      <c r="AM1026" s="1329"/>
      <c r="AN1026" s="1329"/>
      <c r="AO1026" s="1329"/>
      <c r="AP1026" s="1329"/>
      <c r="AQ1026" s="1330"/>
      <c r="AR1026" s="68"/>
      <c r="AS1026" s="68"/>
      <c r="AT1026" s="68"/>
      <c r="AU1026" s="68"/>
      <c r="AV1026" s="68"/>
      <c r="AW1026" s="68"/>
      <c r="AX1026" s="3">
        <v>5</v>
      </c>
      <c r="AY1026" s="200">
        <f t="shared" si="54"/>
        <v>0</v>
      </c>
      <c r="AZ1026" s="1184">
        <v>0.04</v>
      </c>
    </row>
    <row r="1027" spans="1:52" ht="12.95" customHeight="1">
      <c r="A1027" s="14"/>
      <c r="B1027" s="73"/>
      <c r="C1027" s="74"/>
      <c r="D1027" s="1530"/>
      <c r="E1027" s="1531"/>
      <c r="F1027" s="1531"/>
      <c r="G1027" s="1531"/>
      <c r="H1027" s="1531"/>
      <c r="I1027" s="1531"/>
      <c r="J1027" s="1531"/>
      <c r="K1027" s="1531"/>
      <c r="L1027" s="1531"/>
      <c r="M1027" s="1531"/>
      <c r="N1027" s="1531"/>
      <c r="O1027" s="1531"/>
      <c r="P1027" s="1531"/>
      <c r="Q1027" s="1531"/>
      <c r="R1027" s="1531"/>
      <c r="S1027" s="1531"/>
      <c r="T1027" s="1531"/>
      <c r="U1027" s="1531"/>
      <c r="V1027" s="1531"/>
      <c r="W1027" s="1531"/>
      <c r="X1027" s="1531"/>
      <c r="Y1027" s="1531"/>
      <c r="Z1027" s="1531"/>
      <c r="AA1027" s="1531"/>
      <c r="AB1027" s="1531"/>
      <c r="AC1027" s="1531"/>
      <c r="AD1027" s="1531"/>
      <c r="AE1027" s="1532"/>
      <c r="AF1027" s="1303"/>
      <c r="AG1027" s="1304"/>
      <c r="AH1027" s="1304"/>
      <c r="AI1027" s="1305"/>
      <c r="AJ1027" s="1328"/>
      <c r="AK1027" s="1329"/>
      <c r="AL1027" s="1329"/>
      <c r="AM1027" s="1329"/>
      <c r="AN1027" s="1329"/>
      <c r="AO1027" s="1329"/>
      <c r="AP1027" s="1329"/>
      <c r="AQ1027" s="1330"/>
      <c r="AR1027" s="68"/>
      <c r="AS1027" s="68"/>
      <c r="AT1027" s="68"/>
      <c r="AU1027" s="68"/>
      <c r="AV1027" s="68"/>
      <c r="AW1027" s="68"/>
      <c r="AX1027" s="3">
        <v>6</v>
      </c>
      <c r="AY1027" s="200">
        <f t="shared" si="54"/>
        <v>0</v>
      </c>
      <c r="AZ1027" s="1184">
        <v>0.04</v>
      </c>
    </row>
    <row r="1028" spans="1:52" ht="12.95" customHeight="1">
      <c r="A1028" s="14"/>
      <c r="B1028" s="81"/>
      <c r="C1028" s="82"/>
      <c r="D1028" s="1551"/>
      <c r="E1028" s="1552"/>
      <c r="F1028" s="1552"/>
      <c r="G1028" s="1552"/>
      <c r="H1028" s="1552"/>
      <c r="I1028" s="1552"/>
      <c r="J1028" s="1552"/>
      <c r="K1028" s="1552"/>
      <c r="L1028" s="1552"/>
      <c r="M1028" s="1552"/>
      <c r="N1028" s="1552"/>
      <c r="O1028" s="1552"/>
      <c r="P1028" s="1552"/>
      <c r="Q1028" s="1552"/>
      <c r="R1028" s="1552"/>
      <c r="S1028" s="1552"/>
      <c r="T1028" s="1552"/>
      <c r="U1028" s="1552"/>
      <c r="V1028" s="1552"/>
      <c r="W1028" s="1552"/>
      <c r="X1028" s="1552"/>
      <c r="Y1028" s="1552"/>
      <c r="Z1028" s="1552"/>
      <c r="AA1028" s="1552"/>
      <c r="AB1028" s="1552"/>
      <c r="AC1028" s="1552"/>
      <c r="AD1028" s="1552"/>
      <c r="AE1028" s="1553"/>
      <c r="AF1028" s="1306"/>
      <c r="AG1028" s="1307"/>
      <c r="AH1028" s="1307"/>
      <c r="AI1028" s="1308"/>
      <c r="AJ1028" s="1331"/>
      <c r="AK1028" s="1332"/>
      <c r="AL1028" s="1332"/>
      <c r="AM1028" s="1332"/>
      <c r="AN1028" s="1332"/>
      <c r="AO1028" s="1332"/>
      <c r="AP1028" s="1332"/>
      <c r="AQ1028" s="1333"/>
      <c r="AR1028" s="68"/>
      <c r="AS1028" s="68"/>
      <c r="AT1028" s="68"/>
      <c r="AU1028" s="68"/>
      <c r="AV1028" s="68"/>
      <c r="AW1028" s="68"/>
      <c r="AX1028" s="3">
        <v>7</v>
      </c>
      <c r="AY1028" s="200">
        <f t="shared" si="54"/>
        <v>0</v>
      </c>
      <c r="AZ1028" s="1184">
        <v>0.01</v>
      </c>
    </row>
    <row r="1029" spans="1:52" ht="12.95" customHeight="1">
      <c r="A1029" s="14"/>
      <c r="B1029" s="79"/>
      <c r="C1029" s="80" t="s">
        <v>222</v>
      </c>
      <c r="D1029" s="1574" t="s">
        <v>1288</v>
      </c>
      <c r="E1029" s="1575"/>
      <c r="F1029" s="1575"/>
      <c r="G1029" s="1575"/>
      <c r="H1029" s="1575"/>
      <c r="I1029" s="1575"/>
      <c r="J1029" s="1575"/>
      <c r="K1029" s="1575"/>
      <c r="L1029" s="1575"/>
      <c r="M1029" s="1575"/>
      <c r="N1029" s="1575"/>
      <c r="O1029" s="1575"/>
      <c r="P1029" s="1575"/>
      <c r="Q1029" s="1575"/>
      <c r="R1029" s="1575"/>
      <c r="S1029" s="1575"/>
      <c r="T1029" s="1575"/>
      <c r="U1029" s="1575"/>
      <c r="V1029" s="1575"/>
      <c r="W1029" s="1575"/>
      <c r="X1029" s="1575"/>
      <c r="Y1029" s="1575"/>
      <c r="Z1029" s="1575"/>
      <c r="AA1029" s="1575"/>
      <c r="AB1029" s="1575"/>
      <c r="AC1029" s="1575"/>
      <c r="AD1029" s="1575"/>
      <c r="AE1029" s="1576"/>
      <c r="AF1029" s="79"/>
      <c r="AG1029" s="1539" t="s">
        <v>667</v>
      </c>
      <c r="AH1029" s="1540"/>
      <c r="AI1029" s="87"/>
      <c r="AJ1029" s="1325">
        <f>ROUND(IF(AND(AG1029="Yes",J1033&lt;&gt;"N/A",AF1032&lt;&gt;""),MIN(AF1032,(0.15*AJ1001)),0),0)</f>
        <v>0</v>
      </c>
      <c r="AK1029" s="1326"/>
      <c r="AL1029" s="1326"/>
      <c r="AM1029" s="1326"/>
      <c r="AN1029" s="1326"/>
      <c r="AO1029" s="1326"/>
      <c r="AP1029" s="1326"/>
      <c r="AQ1029" s="1327"/>
      <c r="AR1029" s="68"/>
      <c r="AS1029" s="68"/>
      <c r="AT1029" s="68"/>
      <c r="AU1029" s="68"/>
      <c r="AV1029" s="68"/>
      <c r="AW1029" s="68"/>
      <c r="AX1029" s="3">
        <v>8</v>
      </c>
      <c r="AY1029" s="200">
        <f t="shared" si="54"/>
        <v>0</v>
      </c>
      <c r="AZ1029" s="1184">
        <v>0.01</v>
      </c>
    </row>
    <row r="1030" spans="1:52" ht="12.95" customHeight="1">
      <c r="A1030" s="14"/>
      <c r="B1030" s="81"/>
      <c r="C1030" s="84"/>
      <c r="D1030" s="1577"/>
      <c r="E1030" s="1578"/>
      <c r="F1030" s="1578"/>
      <c r="G1030" s="1578"/>
      <c r="H1030" s="1578"/>
      <c r="I1030" s="1578"/>
      <c r="J1030" s="1578"/>
      <c r="K1030" s="1578"/>
      <c r="L1030" s="1578"/>
      <c r="M1030" s="1578"/>
      <c r="N1030" s="1578"/>
      <c r="O1030" s="1578"/>
      <c r="P1030" s="1578"/>
      <c r="Q1030" s="1578"/>
      <c r="R1030" s="1578"/>
      <c r="S1030" s="1578"/>
      <c r="T1030" s="1578"/>
      <c r="U1030" s="1578"/>
      <c r="V1030" s="1578"/>
      <c r="W1030" s="1578"/>
      <c r="X1030" s="1578"/>
      <c r="Y1030" s="1578"/>
      <c r="Z1030" s="1578"/>
      <c r="AA1030" s="1578"/>
      <c r="AB1030" s="1578"/>
      <c r="AC1030" s="1578"/>
      <c r="AD1030" s="1578"/>
      <c r="AE1030" s="1579"/>
      <c r="AF1030" s="1350" t="str">
        <f>IF(AG1029="yes","Please Select Type and Enter Amount:","")</f>
        <v/>
      </c>
      <c r="AG1030" s="1351"/>
      <c r="AH1030" s="1351"/>
      <c r="AI1030" s="1352"/>
      <c r="AJ1030" s="1328"/>
      <c r="AK1030" s="1329"/>
      <c r="AL1030" s="1329"/>
      <c r="AM1030" s="1329"/>
      <c r="AN1030" s="1329"/>
      <c r="AO1030" s="1329"/>
      <c r="AP1030" s="1329"/>
      <c r="AQ1030" s="1330"/>
      <c r="AR1030" s="68"/>
      <c r="AS1030" s="68"/>
      <c r="AT1030" s="68"/>
      <c r="AU1030" s="68"/>
      <c r="AV1030" s="68"/>
      <c r="AW1030" s="68"/>
      <c r="AX1030" s="3">
        <v>9</v>
      </c>
      <c r="AY1030" s="200">
        <f t="shared" si="54"/>
        <v>0</v>
      </c>
      <c r="AZ1030" s="1184">
        <v>0.01</v>
      </c>
    </row>
    <row r="1031" spans="1:52" ht="12.95" customHeight="1">
      <c r="A1031" s="14"/>
      <c r="B1031" s="81"/>
      <c r="C1031" s="84"/>
      <c r="D1031" s="1530" t="s">
        <v>1289</v>
      </c>
      <c r="E1031" s="1531"/>
      <c r="F1031" s="1531"/>
      <c r="G1031" s="1531"/>
      <c r="H1031" s="1531"/>
      <c r="I1031" s="1531"/>
      <c r="J1031" s="1531"/>
      <c r="K1031" s="1531"/>
      <c r="L1031" s="1531"/>
      <c r="M1031" s="1531"/>
      <c r="N1031" s="1531"/>
      <c r="O1031" s="1531"/>
      <c r="P1031" s="1531"/>
      <c r="Q1031" s="1531"/>
      <c r="R1031" s="1531"/>
      <c r="S1031" s="1531"/>
      <c r="T1031" s="1531"/>
      <c r="U1031" s="1531"/>
      <c r="V1031" s="1531"/>
      <c r="W1031" s="1531"/>
      <c r="X1031" s="1531"/>
      <c r="Y1031" s="1531"/>
      <c r="Z1031" s="1531"/>
      <c r="AA1031" s="1531"/>
      <c r="AB1031" s="1531"/>
      <c r="AC1031" s="1531"/>
      <c r="AD1031" s="1531"/>
      <c r="AE1031" s="1532"/>
      <c r="AF1031" s="1350"/>
      <c r="AG1031" s="1351"/>
      <c r="AH1031" s="1351"/>
      <c r="AI1031" s="1352"/>
      <c r="AJ1031" s="1328"/>
      <c r="AK1031" s="1329"/>
      <c r="AL1031" s="1329"/>
      <c r="AM1031" s="1329"/>
      <c r="AN1031" s="1329"/>
      <c r="AO1031" s="1329"/>
      <c r="AP1031" s="1329"/>
      <c r="AQ1031" s="1330"/>
      <c r="AR1031" s="68"/>
      <c r="AS1031" s="68"/>
      <c r="AT1031" s="68"/>
      <c r="AU1031" s="68"/>
      <c r="AV1031" s="68"/>
      <c r="AW1031" s="68"/>
      <c r="AX1031" s="3">
        <v>10</v>
      </c>
      <c r="AY1031" s="200">
        <f t="shared" si="54"/>
        <v>0</v>
      </c>
      <c r="AZ1031" s="1184">
        <v>0.02</v>
      </c>
    </row>
    <row r="1032" spans="1:52" ht="12.95" customHeight="1">
      <c r="A1032" s="14"/>
      <c r="B1032" s="81"/>
      <c r="C1032" s="84"/>
      <c r="D1032" s="1530"/>
      <c r="E1032" s="1531"/>
      <c r="F1032" s="1531"/>
      <c r="G1032" s="1531"/>
      <c r="H1032" s="1531"/>
      <c r="I1032" s="1531"/>
      <c r="J1032" s="1531"/>
      <c r="K1032" s="1531"/>
      <c r="L1032" s="1531"/>
      <c r="M1032" s="1531"/>
      <c r="N1032" s="1531"/>
      <c r="O1032" s="1531"/>
      <c r="P1032" s="1531"/>
      <c r="Q1032" s="1531"/>
      <c r="R1032" s="1531"/>
      <c r="S1032" s="1531"/>
      <c r="T1032" s="1531"/>
      <c r="U1032" s="1531"/>
      <c r="V1032" s="1531"/>
      <c r="W1032" s="1531"/>
      <c r="X1032" s="1531"/>
      <c r="Y1032" s="1531"/>
      <c r="Z1032" s="1531"/>
      <c r="AA1032" s="1531"/>
      <c r="AB1032" s="1531"/>
      <c r="AC1032" s="1531"/>
      <c r="AD1032" s="1531"/>
      <c r="AE1032" s="1532"/>
      <c r="AF1032" s="1346"/>
      <c r="AG1032" s="1346"/>
      <c r="AH1032" s="1346"/>
      <c r="AI1032" s="1346"/>
      <c r="AJ1032" s="1328"/>
      <c r="AK1032" s="1329"/>
      <c r="AL1032" s="1329"/>
      <c r="AM1032" s="1329"/>
      <c r="AN1032" s="1329"/>
      <c r="AO1032" s="1329"/>
      <c r="AP1032" s="1329"/>
      <c r="AQ1032" s="1330"/>
      <c r="AR1032" s="68"/>
      <c r="AS1032" s="68"/>
      <c r="AT1032" s="68"/>
      <c r="AU1032" s="68"/>
      <c r="AV1032" s="68"/>
      <c r="AW1032" s="68"/>
      <c r="AX1032" s="3">
        <v>11</v>
      </c>
      <c r="AY1032" s="200">
        <f t="shared" si="54"/>
        <v>0</v>
      </c>
      <c r="AZ1032" s="1184">
        <v>0.02</v>
      </c>
    </row>
    <row r="1033" spans="1:52" ht="12.95" customHeight="1">
      <c r="A1033" s="14"/>
      <c r="B1033" s="81"/>
      <c r="C1033" s="84"/>
      <c r="D1033" s="522" t="s">
        <v>358</v>
      </c>
      <c r="E1033" s="90"/>
      <c r="F1033" s="90"/>
      <c r="G1033" s="104"/>
      <c r="H1033" s="104"/>
      <c r="I1033" s="49"/>
      <c r="J1033" s="1559" t="s">
        <v>589</v>
      </c>
      <c r="K1033" s="1560"/>
      <c r="L1033" s="1560"/>
      <c r="M1033" s="1560"/>
      <c r="N1033" s="1560"/>
      <c r="O1033" s="1560"/>
      <c r="P1033" s="1560"/>
      <c r="Q1033" s="1560"/>
      <c r="R1033" s="1560"/>
      <c r="S1033" s="1560"/>
      <c r="T1033" s="1560"/>
      <c r="U1033" s="1560"/>
      <c r="V1033" s="1560"/>
      <c r="W1033" s="1560"/>
      <c r="X1033" s="1560"/>
      <c r="Y1033" s="1560"/>
      <c r="Z1033" s="1560"/>
      <c r="AA1033" s="1560"/>
      <c r="AB1033" s="1560"/>
      <c r="AC1033" s="1560"/>
      <c r="AD1033" s="1560"/>
      <c r="AE1033" s="1561"/>
      <c r="AF1033" s="1346"/>
      <c r="AG1033" s="1346"/>
      <c r="AH1033" s="1346"/>
      <c r="AI1033" s="1346"/>
      <c r="AJ1033" s="1331"/>
      <c r="AK1033" s="1332"/>
      <c r="AL1033" s="1332"/>
      <c r="AM1033" s="1332"/>
      <c r="AN1033" s="1332"/>
      <c r="AO1033" s="1332"/>
      <c r="AP1033" s="1332"/>
      <c r="AQ1033" s="1333"/>
      <c r="AR1033" s="68"/>
      <c r="AS1033" s="68"/>
      <c r="AT1033" s="68"/>
      <c r="AU1033" s="68"/>
      <c r="AV1033" s="68"/>
      <c r="AW1033" s="68"/>
      <c r="AX1033" s="1022" t="s">
        <v>2522</v>
      </c>
      <c r="AY1033" s="201">
        <f>IF(SUM(AY1022:AY1032)&lt;=0.2,SUM(AY1022:AY1032),0.2)</f>
        <v>0.2</v>
      </c>
    </row>
    <row r="1034" spans="1:52" ht="12.95" customHeight="1">
      <c r="A1034" s="14"/>
      <c r="B1034" s="79"/>
      <c r="C1034" s="80" t="s">
        <v>228</v>
      </c>
      <c r="D1034" s="1527" t="s">
        <v>1290</v>
      </c>
      <c r="E1034" s="1528"/>
      <c r="F1034" s="1528"/>
      <c r="G1034" s="1528"/>
      <c r="H1034" s="1528"/>
      <c r="I1034" s="1528"/>
      <c r="J1034" s="1528"/>
      <c r="K1034" s="1528"/>
      <c r="L1034" s="1528"/>
      <c r="M1034" s="1528"/>
      <c r="N1034" s="1528"/>
      <c r="O1034" s="1528"/>
      <c r="P1034" s="1528"/>
      <c r="Q1034" s="1528"/>
      <c r="R1034" s="1528"/>
      <c r="S1034" s="1528"/>
      <c r="T1034" s="1528"/>
      <c r="U1034" s="1528"/>
      <c r="V1034" s="1528"/>
      <c r="W1034" s="1528"/>
      <c r="X1034" s="1528"/>
      <c r="Y1034" s="1528"/>
      <c r="Z1034" s="1528"/>
      <c r="AA1034" s="1528"/>
      <c r="AB1034" s="1528"/>
      <c r="AC1034" s="1528"/>
      <c r="AD1034" s="1528"/>
      <c r="AE1034" s="1529"/>
      <c r="AF1034" s="79"/>
      <c r="AG1034" s="1539" t="s">
        <v>667</v>
      </c>
      <c r="AH1034" s="1540"/>
      <c r="AI1034" s="87"/>
      <c r="AJ1034" s="1325">
        <f>ROUND(IF(AG1034="Yes",AF1036,0),0)</f>
        <v>0</v>
      </c>
      <c r="AK1034" s="1326"/>
      <c r="AL1034" s="1326"/>
      <c r="AM1034" s="1326"/>
      <c r="AN1034" s="1326"/>
      <c r="AO1034" s="1326"/>
      <c r="AP1034" s="1326"/>
      <c r="AQ1034" s="1327"/>
      <c r="AR1034" s="68"/>
      <c r="AS1034" s="68"/>
      <c r="AT1034" s="68"/>
      <c r="AU1034" s="68"/>
      <c r="AV1034" s="68"/>
      <c r="AW1034" s="68"/>
      <c r="AX1034" s="68"/>
      <c r="AY1034" s="68"/>
    </row>
    <row r="1035" spans="1:52" ht="12.95" customHeight="1">
      <c r="A1035" s="14"/>
      <c r="B1035" s="73"/>
      <c r="C1035" s="74"/>
      <c r="D1035" s="1530" t="s">
        <v>1676</v>
      </c>
      <c r="E1035" s="1531"/>
      <c r="F1035" s="1531"/>
      <c r="G1035" s="1531"/>
      <c r="H1035" s="1531"/>
      <c r="I1035" s="1531"/>
      <c r="J1035" s="1531"/>
      <c r="K1035" s="1531"/>
      <c r="L1035" s="1531"/>
      <c r="M1035" s="1531"/>
      <c r="N1035" s="1531"/>
      <c r="O1035" s="1531"/>
      <c r="P1035" s="1531"/>
      <c r="Q1035" s="1531"/>
      <c r="R1035" s="1531"/>
      <c r="S1035" s="1531"/>
      <c r="T1035" s="1531"/>
      <c r="U1035" s="1531"/>
      <c r="V1035" s="1531"/>
      <c r="W1035" s="1531"/>
      <c r="X1035" s="1531"/>
      <c r="Y1035" s="1531"/>
      <c r="Z1035" s="1531"/>
      <c r="AA1035" s="1531"/>
      <c r="AB1035" s="1531"/>
      <c r="AC1035" s="1531"/>
      <c r="AD1035" s="1531"/>
      <c r="AE1035" s="1532"/>
      <c r="AF1035" s="1583" t="str">
        <f>IF(AG1034="yes","Enter Amount:","")</f>
        <v/>
      </c>
      <c r="AG1035" s="1584"/>
      <c r="AH1035" s="1584"/>
      <c r="AI1035" s="1585"/>
      <c r="AJ1035" s="1328"/>
      <c r="AK1035" s="1329"/>
      <c r="AL1035" s="1329"/>
      <c r="AM1035" s="1329"/>
      <c r="AN1035" s="1329"/>
      <c r="AO1035" s="1329"/>
      <c r="AP1035" s="1329"/>
      <c r="AQ1035" s="1330"/>
      <c r="AR1035" s="68"/>
      <c r="AS1035" s="68"/>
      <c r="AT1035" s="68"/>
      <c r="AU1035" s="68"/>
      <c r="AV1035" s="68"/>
      <c r="AW1035" s="68"/>
      <c r="AX1035" s="68"/>
      <c r="AY1035" s="68"/>
    </row>
    <row r="1036" spans="1:52" ht="12.95" customHeight="1">
      <c r="A1036" s="14"/>
      <c r="B1036" s="73"/>
      <c r="C1036" s="74"/>
      <c r="D1036" s="1530"/>
      <c r="E1036" s="1531"/>
      <c r="F1036" s="1531"/>
      <c r="G1036" s="1531"/>
      <c r="H1036" s="1531"/>
      <c r="I1036" s="1531"/>
      <c r="J1036" s="1531"/>
      <c r="K1036" s="1531"/>
      <c r="L1036" s="1531"/>
      <c r="M1036" s="1531"/>
      <c r="N1036" s="1531"/>
      <c r="O1036" s="1531"/>
      <c r="P1036" s="1531"/>
      <c r="Q1036" s="1531"/>
      <c r="R1036" s="1531"/>
      <c r="S1036" s="1531"/>
      <c r="T1036" s="1531"/>
      <c r="U1036" s="1531"/>
      <c r="V1036" s="1531"/>
      <c r="W1036" s="1531"/>
      <c r="X1036" s="1531"/>
      <c r="Y1036" s="1531"/>
      <c r="Z1036" s="1531"/>
      <c r="AA1036" s="1531"/>
      <c r="AB1036" s="1531"/>
      <c r="AC1036" s="1531"/>
      <c r="AD1036" s="1531"/>
      <c r="AE1036" s="1532"/>
      <c r="AF1036" s="1346"/>
      <c r="AG1036" s="1346"/>
      <c r="AH1036" s="1346"/>
      <c r="AI1036" s="1346"/>
      <c r="AJ1036" s="1328"/>
      <c r="AK1036" s="1329"/>
      <c r="AL1036" s="1329"/>
      <c r="AM1036" s="1329"/>
      <c r="AN1036" s="1329"/>
      <c r="AO1036" s="1329"/>
      <c r="AP1036" s="1329"/>
      <c r="AQ1036" s="1330"/>
      <c r="AR1036" s="68"/>
      <c r="AS1036" s="68"/>
      <c r="AT1036" s="68"/>
      <c r="AU1036" s="68"/>
      <c r="AV1036" s="68"/>
      <c r="AW1036" s="68"/>
      <c r="AX1036" s="68"/>
      <c r="AY1036" s="14" t="str">
        <f>"Select items beginning on row #"&amp;TEXT(ROW(A1070),"#")&amp;" to claim this boost"</f>
        <v>Select items beginning on row #1070 to claim this boost</v>
      </c>
    </row>
    <row r="1037" spans="1:52" ht="12.95" customHeight="1">
      <c r="A1037" s="14"/>
      <c r="B1037" s="85"/>
      <c r="C1037" s="84"/>
      <c r="D1037" s="1551"/>
      <c r="E1037" s="1552"/>
      <c r="F1037" s="1552"/>
      <c r="G1037" s="1552"/>
      <c r="H1037" s="1552"/>
      <c r="I1037" s="1552"/>
      <c r="J1037" s="1552"/>
      <c r="K1037" s="1552"/>
      <c r="L1037" s="1552"/>
      <c r="M1037" s="1552"/>
      <c r="N1037" s="1552"/>
      <c r="O1037" s="1552"/>
      <c r="P1037" s="1552"/>
      <c r="Q1037" s="1552"/>
      <c r="R1037" s="1552"/>
      <c r="S1037" s="1552"/>
      <c r="T1037" s="1552"/>
      <c r="U1037" s="1552"/>
      <c r="V1037" s="1552"/>
      <c r="W1037" s="1552"/>
      <c r="X1037" s="1552"/>
      <c r="Y1037" s="1552"/>
      <c r="Z1037" s="1552"/>
      <c r="AA1037" s="1552"/>
      <c r="AB1037" s="1552"/>
      <c r="AC1037" s="1552"/>
      <c r="AD1037" s="1552"/>
      <c r="AE1037" s="1553"/>
      <c r="AF1037" s="1346"/>
      <c r="AG1037" s="1346"/>
      <c r="AH1037" s="1346"/>
      <c r="AI1037" s="1346"/>
      <c r="AJ1037" s="1331"/>
      <c r="AK1037" s="1332"/>
      <c r="AL1037" s="1332"/>
      <c r="AM1037" s="1332"/>
      <c r="AN1037" s="1332"/>
      <c r="AO1037" s="1332"/>
      <c r="AP1037" s="1332"/>
      <c r="AQ1037" s="1333"/>
      <c r="AR1037" s="68"/>
      <c r="AS1037" s="68"/>
      <c r="AT1037" s="68"/>
      <c r="AU1037" s="68"/>
      <c r="AV1037" s="68"/>
      <c r="AW1037" s="68"/>
      <c r="AX1037" s="68"/>
      <c r="AY1037" s="68"/>
    </row>
    <row r="1038" spans="1:52" ht="12.95" customHeight="1">
      <c r="A1038" s="14"/>
      <c r="B1038" s="79"/>
      <c r="C1038" s="80" t="s">
        <v>233</v>
      </c>
      <c r="D1038" s="1548" t="s">
        <v>1291</v>
      </c>
      <c r="E1038" s="1549"/>
      <c r="F1038" s="1549"/>
      <c r="G1038" s="1549"/>
      <c r="H1038" s="1549"/>
      <c r="I1038" s="1549"/>
      <c r="J1038" s="1549"/>
      <c r="K1038" s="1549"/>
      <c r="L1038" s="1549"/>
      <c r="M1038" s="1549"/>
      <c r="N1038" s="1549"/>
      <c r="O1038" s="1549"/>
      <c r="P1038" s="1549"/>
      <c r="Q1038" s="1549"/>
      <c r="R1038" s="1549"/>
      <c r="S1038" s="1549"/>
      <c r="T1038" s="1549"/>
      <c r="U1038" s="1549"/>
      <c r="V1038" s="1549"/>
      <c r="W1038" s="1549"/>
      <c r="X1038" s="1549"/>
      <c r="Y1038" s="1549"/>
      <c r="Z1038" s="1549"/>
      <c r="AA1038" s="1549"/>
      <c r="AB1038" s="1549"/>
      <c r="AC1038" s="1549"/>
      <c r="AD1038" s="1549"/>
      <c r="AE1038" s="1550"/>
      <c r="AF1038" s="79"/>
      <c r="AG1038" s="1539" t="s">
        <v>543</v>
      </c>
      <c r="AH1038" s="1540"/>
      <c r="AI1038" s="87"/>
      <c r="AJ1038" s="1325">
        <f>ROUND(IF(AG1038="yes",(AJ1001*0.1),0),0)</f>
        <v>6467708</v>
      </c>
      <c r="AK1038" s="1326"/>
      <c r="AL1038" s="1326"/>
      <c r="AM1038" s="1326"/>
      <c r="AN1038" s="1326"/>
      <c r="AO1038" s="1326"/>
      <c r="AP1038" s="1326"/>
      <c r="AQ1038" s="1327"/>
      <c r="AR1038" s="68"/>
      <c r="AS1038" s="68"/>
      <c r="AT1038" s="68"/>
      <c r="AU1038" s="68"/>
      <c r="AV1038" s="68"/>
      <c r="AW1038" s="68"/>
      <c r="AX1038" s="68"/>
      <c r="AY1038" s="68"/>
    </row>
    <row r="1039" spans="1:52" ht="12.95" customHeight="1">
      <c r="A1039" s="14"/>
      <c r="B1039" s="73"/>
      <c r="C1039" s="74"/>
      <c r="D1039" s="1530" t="s">
        <v>1292</v>
      </c>
      <c r="E1039" s="1531"/>
      <c r="F1039" s="1531"/>
      <c r="G1039" s="1531"/>
      <c r="H1039" s="1531"/>
      <c r="I1039" s="1531"/>
      <c r="J1039" s="1531"/>
      <c r="K1039" s="1531"/>
      <c r="L1039" s="1531"/>
      <c r="M1039" s="1531"/>
      <c r="N1039" s="1531"/>
      <c r="O1039" s="1531"/>
      <c r="P1039" s="1531"/>
      <c r="Q1039" s="1531"/>
      <c r="R1039" s="1531"/>
      <c r="S1039" s="1531"/>
      <c r="T1039" s="1531"/>
      <c r="U1039" s="1531"/>
      <c r="V1039" s="1531"/>
      <c r="W1039" s="1531"/>
      <c r="X1039" s="1531"/>
      <c r="Y1039" s="1531"/>
      <c r="Z1039" s="1531"/>
      <c r="AA1039" s="1531"/>
      <c r="AB1039" s="1531"/>
      <c r="AC1039" s="1531"/>
      <c r="AD1039" s="1531"/>
      <c r="AE1039" s="1532"/>
      <c r="AF1039" s="73"/>
      <c r="AG1039" s="14"/>
      <c r="AH1039" s="14"/>
      <c r="AI1039" s="83"/>
      <c r="AJ1039" s="1328"/>
      <c r="AK1039" s="1329"/>
      <c r="AL1039" s="1329"/>
      <c r="AM1039" s="1329"/>
      <c r="AN1039" s="1329"/>
      <c r="AO1039" s="1329"/>
      <c r="AP1039" s="1329"/>
      <c r="AQ1039" s="1330"/>
      <c r="AR1039" s="68"/>
      <c r="AS1039" s="68"/>
      <c r="AT1039" s="68"/>
      <c r="AU1039" s="68"/>
      <c r="AV1039" s="68"/>
      <c r="AW1039" s="68"/>
      <c r="AX1039" s="68"/>
      <c r="AY1039" s="68"/>
    </row>
    <row r="1040" spans="1:52" ht="12.95" customHeight="1">
      <c r="A1040" s="14"/>
      <c r="B1040" s="77"/>
      <c r="C1040" s="74"/>
      <c r="D1040" s="1551"/>
      <c r="E1040" s="1552"/>
      <c r="F1040" s="1552"/>
      <c r="G1040" s="1552"/>
      <c r="H1040" s="1552"/>
      <c r="I1040" s="1552"/>
      <c r="J1040" s="1552"/>
      <c r="K1040" s="1552"/>
      <c r="L1040" s="1552"/>
      <c r="M1040" s="1552"/>
      <c r="N1040" s="1552"/>
      <c r="O1040" s="1552"/>
      <c r="P1040" s="1552"/>
      <c r="Q1040" s="1552"/>
      <c r="R1040" s="1552"/>
      <c r="S1040" s="1552"/>
      <c r="T1040" s="1552"/>
      <c r="U1040" s="1552"/>
      <c r="V1040" s="1552"/>
      <c r="W1040" s="1552"/>
      <c r="X1040" s="1552"/>
      <c r="Y1040" s="1552"/>
      <c r="Z1040" s="1552"/>
      <c r="AA1040" s="1552"/>
      <c r="AB1040" s="1552"/>
      <c r="AC1040" s="1552"/>
      <c r="AD1040" s="1552"/>
      <c r="AE1040" s="1553"/>
      <c r="AF1040" s="73"/>
      <c r="AG1040" s="14"/>
      <c r="AH1040" s="14"/>
      <c r="AI1040" s="83"/>
      <c r="AJ1040" s="1331"/>
      <c r="AK1040" s="1332"/>
      <c r="AL1040" s="1332"/>
      <c r="AM1040" s="1332"/>
      <c r="AN1040" s="1332"/>
      <c r="AO1040" s="1332"/>
      <c r="AP1040" s="1332"/>
      <c r="AQ1040" s="1333"/>
      <c r="AR1040" s="68"/>
      <c r="AS1040" s="68"/>
      <c r="AT1040" s="68"/>
      <c r="AU1040" s="68"/>
      <c r="AV1040" s="68"/>
      <c r="AW1040" s="68"/>
      <c r="AX1040" s="68"/>
      <c r="AY1040" s="68"/>
    </row>
    <row r="1041" spans="1:57" ht="12.95" customHeight="1">
      <c r="A1041" s="14"/>
      <c r="B1041" s="73"/>
      <c r="C1041" s="336" t="s">
        <v>685</v>
      </c>
      <c r="D1041" s="1527" t="s">
        <v>1672</v>
      </c>
      <c r="E1041" s="1528"/>
      <c r="F1041" s="1528"/>
      <c r="G1041" s="1528"/>
      <c r="H1041" s="1528"/>
      <c r="I1041" s="1528"/>
      <c r="J1041" s="1528"/>
      <c r="K1041" s="1528"/>
      <c r="L1041" s="1528"/>
      <c r="M1041" s="1528"/>
      <c r="N1041" s="1528"/>
      <c r="O1041" s="1528"/>
      <c r="P1041" s="1528"/>
      <c r="Q1041" s="1528"/>
      <c r="R1041" s="1528"/>
      <c r="S1041" s="1528"/>
      <c r="T1041" s="1528"/>
      <c r="U1041" s="1528"/>
      <c r="V1041" s="1528"/>
      <c r="W1041" s="1528"/>
      <c r="X1041" s="1528"/>
      <c r="Y1041" s="1528"/>
      <c r="Z1041" s="1528"/>
      <c r="AA1041" s="1528"/>
      <c r="AB1041" s="1528"/>
      <c r="AC1041" s="1528"/>
      <c r="AD1041" s="1528"/>
      <c r="AE1041" s="1529"/>
      <c r="AF1041" s="79"/>
      <c r="AG1041" s="1539" t="s">
        <v>667</v>
      </c>
      <c r="AH1041" s="1540"/>
      <c r="AI1041" s="87"/>
      <c r="AJ1041" s="1325">
        <f>ROUND(IF(AG1041="yes",(AJ1001*0.15),0),0)</f>
        <v>0</v>
      </c>
      <c r="AK1041" s="1326"/>
      <c r="AL1041" s="1326"/>
      <c r="AM1041" s="1326"/>
      <c r="AN1041" s="1326"/>
      <c r="AO1041" s="1326"/>
      <c r="AP1041" s="1326"/>
      <c r="AQ1041" s="1327"/>
      <c r="AR1041" s="68"/>
      <c r="AS1041" s="68"/>
      <c r="AT1041" s="68"/>
      <c r="AU1041" s="68"/>
      <c r="AV1041" s="68"/>
      <c r="AW1041" s="68"/>
      <c r="AX1041" s="68"/>
      <c r="AY1041" s="68"/>
    </row>
    <row r="1042" spans="1:57" ht="12.95" customHeight="1">
      <c r="A1042" s="14"/>
      <c r="B1042" s="73"/>
      <c r="C1042" s="74"/>
      <c r="D1042" s="1554" t="s">
        <v>1673</v>
      </c>
      <c r="E1042" s="1362"/>
      <c r="F1042" s="1362"/>
      <c r="G1042" s="1362"/>
      <c r="H1042" s="1362"/>
      <c r="I1042" s="1362"/>
      <c r="J1042" s="1362"/>
      <c r="K1042" s="1362"/>
      <c r="L1042" s="1362"/>
      <c r="M1042" s="1362"/>
      <c r="N1042" s="1362"/>
      <c r="O1042" s="1362"/>
      <c r="P1042" s="1362"/>
      <c r="Q1042" s="1362"/>
      <c r="R1042" s="1362"/>
      <c r="S1042" s="1362"/>
      <c r="T1042" s="1362"/>
      <c r="U1042" s="1362"/>
      <c r="V1042" s="1362"/>
      <c r="W1042" s="1362"/>
      <c r="X1042" s="1362"/>
      <c r="Y1042" s="1362"/>
      <c r="Z1042" s="1362"/>
      <c r="AA1042" s="1362"/>
      <c r="AB1042" s="1362"/>
      <c r="AC1042" s="1362"/>
      <c r="AD1042" s="1362"/>
      <c r="AE1042" s="1555"/>
      <c r="AF1042" s="906"/>
      <c r="AG1042" s="907"/>
      <c r="AH1042" s="907"/>
      <c r="AI1042" s="908"/>
      <c r="AJ1042" s="1328"/>
      <c r="AK1042" s="1329"/>
      <c r="AL1042" s="1329"/>
      <c r="AM1042" s="1329"/>
      <c r="AN1042" s="1329"/>
      <c r="AO1042" s="1329"/>
      <c r="AP1042" s="1329"/>
      <c r="AQ1042" s="1330"/>
      <c r="AR1042" s="68"/>
      <c r="AS1042" s="68"/>
      <c r="AT1042" s="68"/>
      <c r="AU1042" s="68"/>
      <c r="AV1042" s="68"/>
      <c r="AW1042" s="68"/>
      <c r="AX1042" s="68"/>
      <c r="AY1042" s="68"/>
    </row>
    <row r="1043" spans="1:57" ht="12.95" customHeight="1">
      <c r="A1043" s="14"/>
      <c r="B1043" s="73"/>
      <c r="C1043" s="74"/>
      <c r="D1043" s="1554"/>
      <c r="E1043" s="1362"/>
      <c r="F1043" s="1362"/>
      <c r="G1043" s="1362"/>
      <c r="H1043" s="1362"/>
      <c r="I1043" s="1362"/>
      <c r="J1043" s="1362"/>
      <c r="K1043" s="1362"/>
      <c r="L1043" s="1362"/>
      <c r="M1043" s="1362"/>
      <c r="N1043" s="1362"/>
      <c r="O1043" s="1362"/>
      <c r="P1043" s="1362"/>
      <c r="Q1043" s="1362"/>
      <c r="R1043" s="1362"/>
      <c r="S1043" s="1362"/>
      <c r="T1043" s="1362"/>
      <c r="U1043" s="1362"/>
      <c r="V1043" s="1362"/>
      <c r="W1043" s="1362"/>
      <c r="X1043" s="1362"/>
      <c r="Y1043" s="1362"/>
      <c r="Z1043" s="1362"/>
      <c r="AA1043" s="1362"/>
      <c r="AB1043" s="1362"/>
      <c r="AC1043" s="1362"/>
      <c r="AD1043" s="1362"/>
      <c r="AE1043" s="1555"/>
      <c r="AF1043" s="906"/>
      <c r="AG1043" s="907"/>
      <c r="AH1043" s="907"/>
      <c r="AI1043" s="908"/>
      <c r="AJ1043" s="1328"/>
      <c r="AK1043" s="1329"/>
      <c r="AL1043" s="1329"/>
      <c r="AM1043" s="1329"/>
      <c r="AN1043" s="1329"/>
      <c r="AO1043" s="1329"/>
      <c r="AP1043" s="1329"/>
      <c r="AQ1043" s="1330"/>
      <c r="AR1043" s="68"/>
      <c r="AS1043" s="68"/>
      <c r="AT1043" s="68"/>
      <c r="AU1043" s="68"/>
      <c r="AV1043" s="68"/>
      <c r="AW1043" s="68"/>
      <c r="AX1043" s="68"/>
      <c r="AY1043" s="68"/>
    </row>
    <row r="1044" spans="1:57" ht="12.95" customHeight="1">
      <c r="A1044" s="14"/>
      <c r="B1044" s="73"/>
      <c r="C1044" s="74"/>
      <c r="D1044" s="1556"/>
      <c r="E1044" s="1557"/>
      <c r="F1044" s="1557"/>
      <c r="G1044" s="1557"/>
      <c r="H1044" s="1557"/>
      <c r="I1044" s="1557"/>
      <c r="J1044" s="1557"/>
      <c r="K1044" s="1557"/>
      <c r="L1044" s="1557"/>
      <c r="M1044" s="1557"/>
      <c r="N1044" s="1557"/>
      <c r="O1044" s="1557"/>
      <c r="P1044" s="1557"/>
      <c r="Q1044" s="1557"/>
      <c r="R1044" s="1557"/>
      <c r="S1044" s="1557"/>
      <c r="T1044" s="1557"/>
      <c r="U1044" s="1557"/>
      <c r="V1044" s="1557"/>
      <c r="W1044" s="1557"/>
      <c r="X1044" s="1557"/>
      <c r="Y1044" s="1557"/>
      <c r="Z1044" s="1557"/>
      <c r="AA1044" s="1557"/>
      <c r="AB1044" s="1557"/>
      <c r="AC1044" s="1557"/>
      <c r="AD1044" s="1557"/>
      <c r="AE1044" s="1558"/>
      <c r="AF1044" s="909"/>
      <c r="AG1044" s="910"/>
      <c r="AH1044" s="910"/>
      <c r="AI1044" s="911"/>
      <c r="AJ1044" s="1331"/>
      <c r="AK1044" s="1332"/>
      <c r="AL1044" s="1332"/>
      <c r="AM1044" s="1332"/>
      <c r="AN1044" s="1332"/>
      <c r="AO1044" s="1332"/>
      <c r="AP1044" s="1332"/>
      <c r="AQ1044" s="1333"/>
      <c r="AR1044" s="68"/>
      <c r="AS1044" s="68"/>
      <c r="AT1044" s="68"/>
      <c r="AU1044" s="68"/>
      <c r="AV1044" s="68"/>
      <c r="AW1044" s="68"/>
      <c r="AX1044" s="68"/>
      <c r="AY1044" s="68"/>
    </row>
    <row r="1045" spans="1:57" ht="12.95" customHeight="1">
      <c r="A1045" s="14"/>
      <c r="B1045" s="73"/>
      <c r="C1045" s="336" t="s">
        <v>685</v>
      </c>
      <c r="D1045" s="1548" t="s">
        <v>1674</v>
      </c>
      <c r="E1045" s="1549"/>
      <c r="F1045" s="1549"/>
      <c r="G1045" s="1549"/>
      <c r="H1045" s="1549"/>
      <c r="I1045" s="1549"/>
      <c r="J1045" s="1549"/>
      <c r="K1045" s="1549"/>
      <c r="L1045" s="1549"/>
      <c r="M1045" s="1549"/>
      <c r="N1045" s="1549"/>
      <c r="O1045" s="1549"/>
      <c r="P1045" s="1549"/>
      <c r="Q1045" s="1549"/>
      <c r="R1045" s="1549"/>
      <c r="S1045" s="1549"/>
      <c r="T1045" s="1549"/>
      <c r="U1045" s="1549"/>
      <c r="V1045" s="1549"/>
      <c r="W1045" s="1549"/>
      <c r="X1045" s="1549"/>
      <c r="Y1045" s="1549"/>
      <c r="Z1045" s="1549"/>
      <c r="AA1045" s="1549"/>
      <c r="AB1045" s="1549"/>
      <c r="AC1045" s="1549"/>
      <c r="AD1045" s="1549"/>
      <c r="AE1045" s="1550"/>
      <c r="AF1045" s="73"/>
      <c r="AG1045" s="1562" t="s">
        <v>667</v>
      </c>
      <c r="AH1045" s="1563"/>
      <c r="AI1045" s="83"/>
      <c r="AJ1045" s="1325">
        <f>ROUND(IF(AND(AG1045="yes",AJ1041=0),(AJ1001*0.1),0),0)</f>
        <v>0</v>
      </c>
      <c r="AK1045" s="1326"/>
      <c r="AL1045" s="1326"/>
      <c r="AM1045" s="1326"/>
      <c r="AN1045" s="1326"/>
      <c r="AO1045" s="1326"/>
      <c r="AP1045" s="1326"/>
      <c r="AQ1045" s="1327"/>
      <c r="AR1045" s="68"/>
      <c r="AS1045" s="68"/>
      <c r="AT1045" s="68"/>
      <c r="AU1045" s="68"/>
      <c r="AV1045" s="68"/>
      <c r="AW1045" s="68"/>
      <c r="AX1045" s="68"/>
      <c r="AY1045" s="68"/>
    </row>
    <row r="1046" spans="1:57" ht="12.95" customHeight="1">
      <c r="A1046" s="14"/>
      <c r="B1046" s="73"/>
      <c r="C1046" s="74"/>
      <c r="D1046" s="1554" t="s">
        <v>1675</v>
      </c>
      <c r="E1046" s="1362"/>
      <c r="F1046" s="1362"/>
      <c r="G1046" s="1362"/>
      <c r="H1046" s="1362"/>
      <c r="I1046" s="1362"/>
      <c r="J1046" s="1362"/>
      <c r="K1046" s="1362"/>
      <c r="L1046" s="1362"/>
      <c r="M1046" s="1362"/>
      <c r="N1046" s="1362"/>
      <c r="O1046" s="1362"/>
      <c r="P1046" s="1362"/>
      <c r="Q1046" s="1362"/>
      <c r="R1046" s="1362"/>
      <c r="S1046" s="1362"/>
      <c r="T1046" s="1362"/>
      <c r="U1046" s="1362"/>
      <c r="V1046" s="1362"/>
      <c r="W1046" s="1362"/>
      <c r="X1046" s="1362"/>
      <c r="Y1046" s="1362"/>
      <c r="Z1046" s="1362"/>
      <c r="AA1046" s="1362"/>
      <c r="AB1046" s="1362"/>
      <c r="AC1046" s="1362"/>
      <c r="AD1046" s="1362"/>
      <c r="AE1046" s="1555"/>
      <c r="AF1046" s="73"/>
      <c r="AG1046" s="14"/>
      <c r="AH1046" s="14"/>
      <c r="AI1046" s="83"/>
      <c r="AJ1046" s="1328"/>
      <c r="AK1046" s="1329"/>
      <c r="AL1046" s="1329"/>
      <c r="AM1046" s="1329"/>
      <c r="AN1046" s="1329"/>
      <c r="AO1046" s="1329"/>
      <c r="AP1046" s="1329"/>
      <c r="AQ1046" s="1330"/>
      <c r="AR1046" s="68"/>
      <c r="AS1046" s="68"/>
      <c r="AT1046" s="68"/>
      <c r="AU1046" s="68"/>
      <c r="AV1046" s="68"/>
      <c r="AW1046" s="68"/>
      <c r="AX1046" s="68"/>
      <c r="AY1046" s="68"/>
    </row>
    <row r="1047" spans="1:57" ht="12.95" customHeight="1">
      <c r="A1047" s="14"/>
      <c r="B1047" s="73"/>
      <c r="C1047" s="74"/>
      <c r="D1047" s="1554"/>
      <c r="E1047" s="1362"/>
      <c r="F1047" s="1362"/>
      <c r="G1047" s="1362"/>
      <c r="H1047" s="1362"/>
      <c r="I1047" s="1362"/>
      <c r="J1047" s="1362"/>
      <c r="K1047" s="1362"/>
      <c r="L1047" s="1362"/>
      <c r="M1047" s="1362"/>
      <c r="N1047" s="1362"/>
      <c r="O1047" s="1362"/>
      <c r="P1047" s="1362"/>
      <c r="Q1047" s="1362"/>
      <c r="R1047" s="1362"/>
      <c r="S1047" s="1362"/>
      <c r="T1047" s="1362"/>
      <c r="U1047" s="1362"/>
      <c r="V1047" s="1362"/>
      <c r="W1047" s="1362"/>
      <c r="X1047" s="1362"/>
      <c r="Y1047" s="1362"/>
      <c r="Z1047" s="1362"/>
      <c r="AA1047" s="1362"/>
      <c r="AB1047" s="1362"/>
      <c r="AC1047" s="1362"/>
      <c r="AD1047" s="1362"/>
      <c r="AE1047" s="1555"/>
      <c r="AF1047" s="73"/>
      <c r="AG1047" s="14"/>
      <c r="AH1047" s="14"/>
      <c r="AI1047" s="83"/>
      <c r="AJ1047" s="1328"/>
      <c r="AK1047" s="1329"/>
      <c r="AL1047" s="1329"/>
      <c r="AM1047" s="1329"/>
      <c r="AN1047" s="1329"/>
      <c r="AO1047" s="1329"/>
      <c r="AP1047" s="1329"/>
      <c r="AQ1047" s="1330"/>
      <c r="AR1047" s="68"/>
      <c r="AS1047" s="68"/>
      <c r="AT1047" s="68"/>
      <c r="AU1047" s="68"/>
      <c r="AV1047" s="68"/>
      <c r="AW1047" s="68"/>
      <c r="AX1047" s="68"/>
      <c r="AY1047" s="68"/>
      <c r="BA1047" s="1171">
        <f>IFERROR(('Sources and Uses Budget'!$C$17+'Sources and Uses Budget'!$C$18+'Sources and Uses Budget'!$C$22)/$AG$446,0)</f>
        <v>0</v>
      </c>
      <c r="BB1047" s="1171" t="s">
        <v>2411</v>
      </c>
      <c r="BC1047" s="1171"/>
      <c r="BD1047" s="1171"/>
      <c r="BE1047" s="1171"/>
    </row>
    <row r="1048" spans="1:57" ht="12.95" customHeight="1">
      <c r="A1048" s="14"/>
      <c r="B1048" s="73"/>
      <c r="C1048" s="74"/>
      <c r="D1048" s="1554"/>
      <c r="E1048" s="1362"/>
      <c r="F1048" s="1362"/>
      <c r="G1048" s="1362"/>
      <c r="H1048" s="1362"/>
      <c r="I1048" s="1362"/>
      <c r="J1048" s="1362"/>
      <c r="K1048" s="1362"/>
      <c r="L1048" s="1362"/>
      <c r="M1048" s="1362"/>
      <c r="N1048" s="1362"/>
      <c r="O1048" s="1362"/>
      <c r="P1048" s="1362"/>
      <c r="Q1048" s="1362"/>
      <c r="R1048" s="1362"/>
      <c r="S1048" s="1362"/>
      <c r="T1048" s="1362"/>
      <c r="U1048" s="1362"/>
      <c r="V1048" s="1362"/>
      <c r="W1048" s="1362"/>
      <c r="X1048" s="1362"/>
      <c r="Y1048" s="1362"/>
      <c r="Z1048" s="1362"/>
      <c r="AA1048" s="1362"/>
      <c r="AB1048" s="1362"/>
      <c r="AC1048" s="1362"/>
      <c r="AD1048" s="1362"/>
      <c r="AE1048" s="1555"/>
      <c r="AF1048" s="73"/>
      <c r="AG1048" s="14"/>
      <c r="AH1048" s="14"/>
      <c r="AI1048" s="83"/>
      <c r="AJ1048" s="1328"/>
      <c r="AK1048" s="1329"/>
      <c r="AL1048" s="1329"/>
      <c r="AM1048" s="1329"/>
      <c r="AN1048" s="1329"/>
      <c r="AO1048" s="1329"/>
      <c r="AP1048" s="1329"/>
      <c r="AQ1048" s="1330"/>
      <c r="AR1048" s="68"/>
      <c r="AS1048" s="68"/>
      <c r="AT1048" s="68"/>
      <c r="AU1048" s="68"/>
      <c r="AV1048" s="68"/>
      <c r="AW1048" s="68"/>
      <c r="AX1048" s="68"/>
      <c r="AY1048" s="68"/>
      <c r="BA1048">
        <f>IFERROR((($CI$761+$CM$761)/$AG$449),0)</f>
        <v>0.5092592592592593</v>
      </c>
      <c r="BB1048" s="3" t="s">
        <v>2415</v>
      </c>
    </row>
    <row r="1049" spans="1:57" ht="12.95" customHeight="1">
      <c r="A1049" s="14"/>
      <c r="B1049" s="73"/>
      <c r="C1049" s="74"/>
      <c r="D1049" s="1556"/>
      <c r="E1049" s="1557"/>
      <c r="F1049" s="1557"/>
      <c r="G1049" s="1557"/>
      <c r="H1049" s="1557"/>
      <c r="I1049" s="1557"/>
      <c r="J1049" s="1557"/>
      <c r="K1049" s="1557"/>
      <c r="L1049" s="1557"/>
      <c r="M1049" s="1557"/>
      <c r="N1049" s="1557"/>
      <c r="O1049" s="1557"/>
      <c r="P1049" s="1557"/>
      <c r="Q1049" s="1557"/>
      <c r="R1049" s="1557"/>
      <c r="S1049" s="1557"/>
      <c r="T1049" s="1557"/>
      <c r="U1049" s="1557"/>
      <c r="V1049" s="1557"/>
      <c r="W1049" s="1557"/>
      <c r="X1049" s="1557"/>
      <c r="Y1049" s="1557"/>
      <c r="Z1049" s="1557"/>
      <c r="AA1049" s="1557"/>
      <c r="AB1049" s="1557"/>
      <c r="AC1049" s="1557"/>
      <c r="AD1049" s="1557"/>
      <c r="AE1049" s="1558"/>
      <c r="AF1049" s="73"/>
      <c r="AG1049" s="14"/>
      <c r="AH1049" s="14"/>
      <c r="AI1049" s="83"/>
      <c r="AJ1049" s="1328"/>
      <c r="AK1049" s="1329"/>
      <c r="AL1049" s="1329"/>
      <c r="AM1049" s="1329"/>
      <c r="AN1049" s="1329"/>
      <c r="AO1049" s="1329"/>
      <c r="AP1049" s="1329"/>
      <c r="AQ1049" s="1330"/>
      <c r="AR1049" s="68"/>
      <c r="AS1049" s="68"/>
      <c r="AT1049" s="68"/>
      <c r="AU1049" s="68"/>
      <c r="AV1049" s="68"/>
      <c r="AW1049" s="68"/>
      <c r="AX1049" s="68"/>
      <c r="AY1049" s="68"/>
      <c r="BA1049" t="b">
        <f>'Points System'!AJ163="Yes"</f>
        <v>0</v>
      </c>
      <c r="BB1049" s="3" t="s">
        <v>2412</v>
      </c>
    </row>
    <row r="1050" spans="1:57" ht="12.95" customHeight="1">
      <c r="A1050" s="14"/>
      <c r="B1050" s="79"/>
      <c r="C1050" s="131" t="s">
        <v>1008</v>
      </c>
      <c r="D1050" s="1527" t="s">
        <v>1293</v>
      </c>
      <c r="E1050" s="1528"/>
      <c r="F1050" s="1528"/>
      <c r="G1050" s="1528"/>
      <c r="H1050" s="1528"/>
      <c r="I1050" s="1528"/>
      <c r="J1050" s="1528"/>
      <c r="K1050" s="1528"/>
      <c r="L1050" s="1528"/>
      <c r="M1050" s="1528"/>
      <c r="N1050" s="1528"/>
      <c r="O1050" s="1528"/>
      <c r="P1050" s="1528"/>
      <c r="Q1050" s="1528"/>
      <c r="R1050" s="1528"/>
      <c r="S1050" s="1528"/>
      <c r="T1050" s="1528"/>
      <c r="U1050" s="1528"/>
      <c r="V1050" s="1528"/>
      <c r="W1050" s="1528"/>
      <c r="X1050" s="1528"/>
      <c r="Y1050" s="1528"/>
      <c r="Z1050" s="1528"/>
      <c r="AA1050" s="1528"/>
      <c r="AB1050" s="1528"/>
      <c r="AC1050" s="1528"/>
      <c r="AD1050" s="1528"/>
      <c r="AE1050" s="1529"/>
      <c r="AF1050" s="79"/>
      <c r="AG1050" s="1539" t="s">
        <v>667</v>
      </c>
      <c r="AH1050" s="1540"/>
      <c r="AI1050" s="87"/>
      <c r="AJ1050" s="1325">
        <f>ROUND(IF(AG1050="yes",(AJ1001*0.1),0),0)</f>
        <v>0</v>
      </c>
      <c r="AK1050" s="1326"/>
      <c r="AL1050" s="1326"/>
      <c r="AM1050" s="1326"/>
      <c r="AN1050" s="1326"/>
      <c r="AO1050" s="1326"/>
      <c r="AP1050" s="1326"/>
      <c r="AQ1050" s="1327"/>
      <c r="AR1050" s="68"/>
      <c r="AS1050" s="68"/>
      <c r="AT1050" s="68"/>
      <c r="AU1050" s="68"/>
      <c r="AV1050" s="68"/>
      <c r="AW1050" s="68"/>
      <c r="AX1050" s="68"/>
      <c r="AY1050" s="68"/>
      <c r="BA1050">
        <f>Q212</f>
        <v>0</v>
      </c>
      <c r="BB1050" s="3" t="s">
        <v>2413</v>
      </c>
    </row>
    <row r="1051" spans="1:57" ht="12.95" customHeight="1">
      <c r="A1051" s="14"/>
      <c r="B1051" s="73"/>
      <c r="C1051" s="74"/>
      <c r="D1051" s="1530" t="s">
        <v>2091</v>
      </c>
      <c r="E1051" s="1531"/>
      <c r="F1051" s="1531"/>
      <c r="G1051" s="1531"/>
      <c r="H1051" s="1531"/>
      <c r="I1051" s="1531"/>
      <c r="J1051" s="1531"/>
      <c r="K1051" s="1531"/>
      <c r="L1051" s="1531"/>
      <c r="M1051" s="1531"/>
      <c r="N1051" s="1531"/>
      <c r="O1051" s="1531"/>
      <c r="P1051" s="1531"/>
      <c r="Q1051" s="1531"/>
      <c r="R1051" s="1531"/>
      <c r="S1051" s="1531"/>
      <c r="T1051" s="1531"/>
      <c r="U1051" s="1531"/>
      <c r="V1051" s="1531"/>
      <c r="W1051" s="1531"/>
      <c r="X1051" s="1531"/>
      <c r="Y1051" s="1531"/>
      <c r="Z1051" s="1531"/>
      <c r="AA1051" s="1531"/>
      <c r="AB1051" s="1531"/>
      <c r="AC1051" s="1531"/>
      <c r="AD1051" s="1531"/>
      <c r="AE1051" s="1532"/>
      <c r="AF1051" s="73"/>
      <c r="AG1051" s="14"/>
      <c r="AH1051" s="14"/>
      <c r="AI1051" s="83"/>
      <c r="AJ1051" s="1328"/>
      <c r="AK1051" s="1329"/>
      <c r="AL1051" s="1329"/>
      <c r="AM1051" s="1329"/>
      <c r="AN1051" s="1329"/>
      <c r="AO1051" s="1329"/>
      <c r="AP1051" s="1329"/>
      <c r="AQ1051" s="1330"/>
      <c r="AR1051" s="68"/>
      <c r="AS1051" s="68"/>
      <c r="AT1051" s="68"/>
      <c r="AU1051" s="68"/>
      <c r="AV1051" s="68"/>
      <c r="AW1051" s="68"/>
      <c r="AX1051" s="68"/>
      <c r="AY1051" s="68"/>
      <c r="BA1051" s="1172">
        <f>T212</f>
        <v>0</v>
      </c>
      <c r="BB1051" s="3" t="s">
        <v>2414</v>
      </c>
    </row>
    <row r="1052" spans="1:57" ht="12.95" customHeight="1">
      <c r="A1052" s="14"/>
      <c r="B1052" s="73"/>
      <c r="C1052" s="74"/>
      <c r="D1052" s="1530"/>
      <c r="E1052" s="1531"/>
      <c r="F1052" s="1531"/>
      <c r="G1052" s="1531"/>
      <c r="H1052" s="1531"/>
      <c r="I1052" s="1531"/>
      <c r="J1052" s="1531"/>
      <c r="K1052" s="1531"/>
      <c r="L1052" s="1531"/>
      <c r="M1052" s="1531"/>
      <c r="N1052" s="1531"/>
      <c r="O1052" s="1531"/>
      <c r="P1052" s="1531"/>
      <c r="Q1052" s="1531"/>
      <c r="R1052" s="1531"/>
      <c r="S1052" s="1531"/>
      <c r="T1052" s="1531"/>
      <c r="U1052" s="1531"/>
      <c r="V1052" s="1531"/>
      <c r="W1052" s="1531"/>
      <c r="X1052" s="1531"/>
      <c r="Y1052" s="1531"/>
      <c r="Z1052" s="1531"/>
      <c r="AA1052" s="1531"/>
      <c r="AB1052" s="1531"/>
      <c r="AC1052" s="1531"/>
      <c r="AD1052" s="1531"/>
      <c r="AE1052" s="1532"/>
      <c r="AF1052" s="73"/>
      <c r="AG1052" s="14"/>
      <c r="AH1052" s="14"/>
      <c r="AI1052" s="83"/>
      <c r="AJ1052" s="1328"/>
      <c r="AK1052" s="1329"/>
      <c r="AL1052" s="1329"/>
      <c r="AM1052" s="1329"/>
      <c r="AN1052" s="1329"/>
      <c r="AO1052" s="1329"/>
      <c r="AP1052" s="1329"/>
      <c r="AQ1052" s="1330"/>
      <c r="AR1052" s="68"/>
      <c r="AS1052" s="68"/>
      <c r="AT1052" s="68"/>
      <c r="AU1052" s="68"/>
      <c r="AV1052" s="68"/>
      <c r="AW1052" s="68"/>
      <c r="AX1052" s="68"/>
      <c r="AY1052" s="68"/>
    </row>
    <row r="1053" spans="1:57" ht="12.95" customHeight="1">
      <c r="A1053" s="14"/>
      <c r="B1053" s="73"/>
      <c r="C1053" s="74"/>
      <c r="D1053" s="1551"/>
      <c r="E1053" s="1552"/>
      <c r="F1053" s="1552"/>
      <c r="G1053" s="1552"/>
      <c r="H1053" s="1552"/>
      <c r="I1053" s="1552"/>
      <c r="J1053" s="1552"/>
      <c r="K1053" s="1552"/>
      <c r="L1053" s="1552"/>
      <c r="M1053" s="1552"/>
      <c r="N1053" s="1552"/>
      <c r="O1053" s="1552"/>
      <c r="P1053" s="1552"/>
      <c r="Q1053" s="1552"/>
      <c r="R1053" s="1552"/>
      <c r="S1053" s="1552"/>
      <c r="T1053" s="1552"/>
      <c r="U1053" s="1552"/>
      <c r="V1053" s="1552"/>
      <c r="W1053" s="1552"/>
      <c r="X1053" s="1552"/>
      <c r="Y1053" s="1552"/>
      <c r="Z1053" s="1552"/>
      <c r="AA1053" s="1552"/>
      <c r="AB1053" s="1552"/>
      <c r="AC1053" s="1552"/>
      <c r="AD1053" s="1552"/>
      <c r="AE1053" s="1553"/>
      <c r="AF1053" s="73"/>
      <c r="AG1053" s="14"/>
      <c r="AH1053" s="14"/>
      <c r="AI1053" s="83"/>
      <c r="AJ1053" s="1331"/>
      <c r="AK1053" s="1332"/>
      <c r="AL1053" s="1332"/>
      <c r="AM1053" s="1332"/>
      <c r="AN1053" s="1332"/>
      <c r="AO1053" s="1332"/>
      <c r="AP1053" s="1332"/>
      <c r="AQ1053" s="1333"/>
      <c r="AR1053" s="68"/>
      <c r="AS1053" s="68"/>
      <c r="AT1053" s="68"/>
      <c r="AU1053" s="68"/>
      <c r="AV1053" s="68"/>
      <c r="AW1053" s="68"/>
      <c r="AX1053" s="68"/>
      <c r="AY1053" s="68"/>
    </row>
    <row r="1054" spans="1:57" ht="12.95" customHeight="1">
      <c r="A1054" s="14"/>
      <c r="B1054" s="79"/>
      <c r="C1054" s="131" t="s">
        <v>1670</v>
      </c>
      <c r="D1054" s="1548" t="s">
        <v>1831</v>
      </c>
      <c r="E1054" s="1549"/>
      <c r="F1054" s="1549"/>
      <c r="G1054" s="1549"/>
      <c r="H1054" s="1549"/>
      <c r="I1054" s="1549"/>
      <c r="J1054" s="1549"/>
      <c r="K1054" s="1549"/>
      <c r="L1054" s="1549"/>
      <c r="M1054" s="1549"/>
      <c r="N1054" s="1549"/>
      <c r="O1054" s="1549"/>
      <c r="P1054" s="1549"/>
      <c r="Q1054" s="1549"/>
      <c r="R1054" s="1549"/>
      <c r="S1054" s="1549"/>
      <c r="T1054" s="1549"/>
      <c r="U1054" s="1549"/>
      <c r="V1054" s="1549"/>
      <c r="W1054" s="1549"/>
      <c r="X1054" s="1549"/>
      <c r="Y1054" s="1549"/>
      <c r="Z1054" s="1549"/>
      <c r="AA1054" s="1549"/>
      <c r="AB1054" s="1549"/>
      <c r="AC1054" s="1549"/>
      <c r="AD1054" s="1549"/>
      <c r="AE1054" s="1550"/>
      <c r="AF1054" s="79"/>
      <c r="AG1054" s="1537" t="str">
        <f>IF(X1057&gt;0,"Yes","No")</f>
        <v>Yes</v>
      </c>
      <c r="AH1054" s="1538"/>
      <c r="AI1054" s="87"/>
      <c r="AJ1054" s="1325">
        <f>IF((X1057=0),0,AY1014*AJ1001)</f>
        <v>646770.75</v>
      </c>
      <c r="AK1054" s="1326"/>
      <c r="AL1054" s="1326"/>
      <c r="AM1054" s="1326"/>
      <c r="AN1054" s="1326"/>
      <c r="AO1054" s="1326"/>
      <c r="AP1054" s="1326"/>
      <c r="AQ1054" s="1327"/>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2400</v>
      </c>
      <c r="BB1054" s="3"/>
      <c r="BC1054" s="3"/>
      <c r="BD1054" s="3"/>
    </row>
    <row r="1055" spans="1:57" ht="12.95" customHeight="1">
      <c r="A1055" s="14"/>
      <c r="B1055" s="73"/>
      <c r="C1055" s="438"/>
      <c r="D1055" s="1530" t="s">
        <v>1295</v>
      </c>
      <c r="E1055" s="1531"/>
      <c r="F1055" s="1531"/>
      <c r="G1055" s="1531"/>
      <c r="H1055" s="1531"/>
      <c r="I1055" s="1531"/>
      <c r="J1055" s="1531"/>
      <c r="K1055" s="1531"/>
      <c r="L1055" s="1531"/>
      <c r="M1055" s="1531"/>
      <c r="N1055" s="1531"/>
      <c r="O1055" s="1531"/>
      <c r="P1055" s="1531"/>
      <c r="Q1055" s="1531"/>
      <c r="R1055" s="1531"/>
      <c r="S1055" s="1531"/>
      <c r="T1055" s="1531"/>
      <c r="U1055" s="1531"/>
      <c r="V1055" s="1531"/>
      <c r="W1055" s="1531"/>
      <c r="X1055" s="1531"/>
      <c r="Y1055" s="1531"/>
      <c r="Z1055" s="1531"/>
      <c r="AA1055" s="1531"/>
      <c r="AB1055" s="1531"/>
      <c r="AC1055" s="1531"/>
      <c r="AD1055" s="1531"/>
      <c r="AE1055" s="1532"/>
      <c r="AF1055" s="73"/>
      <c r="AG1055" s="439"/>
      <c r="AH1055" s="439"/>
      <c r="AI1055" s="83"/>
      <c r="AJ1055" s="1328"/>
      <c r="AK1055" s="1329"/>
      <c r="AL1055" s="1329"/>
      <c r="AM1055" s="1329"/>
      <c r="AN1055" s="1329"/>
      <c r="AO1055" s="1329"/>
      <c r="AP1055" s="1329"/>
      <c r="AQ1055" s="1330"/>
      <c r="AR1055" s="68"/>
      <c r="AS1055" s="68"/>
      <c r="AT1055" s="68"/>
      <c r="AU1055" s="13"/>
      <c r="AV1055" s="68"/>
      <c r="AW1055" s="68"/>
      <c r="AX1055" s="68"/>
      <c r="AY1055" s="68"/>
      <c r="AZ1055" s="953">
        <f>'Sources and Uses Budget'!S97*BA1055</f>
        <v>9603409.1999999993</v>
      </c>
      <c r="BA1055" s="1170">
        <f>IF(BA1049,20%,15%)</f>
        <v>0.15</v>
      </c>
      <c r="BB1055" s="3" t="s">
        <v>2401</v>
      </c>
      <c r="BC1055" s="3" t="s">
        <v>2402</v>
      </c>
      <c r="BD1055" s="3"/>
    </row>
    <row r="1056" spans="1:57" ht="12.95" customHeight="1">
      <c r="A1056" s="14"/>
      <c r="B1056" s="73"/>
      <c r="C1056" s="438"/>
      <c r="D1056" s="1530"/>
      <c r="E1056" s="1531"/>
      <c r="F1056" s="1531"/>
      <c r="G1056" s="1531"/>
      <c r="H1056" s="1531"/>
      <c r="I1056" s="1531"/>
      <c r="J1056" s="1531"/>
      <c r="K1056" s="1531"/>
      <c r="L1056" s="1531"/>
      <c r="M1056" s="1531"/>
      <c r="N1056" s="1531"/>
      <c r="O1056" s="1531"/>
      <c r="P1056" s="1531"/>
      <c r="Q1056" s="1531"/>
      <c r="R1056" s="1531"/>
      <c r="S1056" s="1531"/>
      <c r="T1056" s="1531"/>
      <c r="U1056" s="1531"/>
      <c r="V1056" s="1531"/>
      <c r="W1056" s="1531"/>
      <c r="X1056" s="1531"/>
      <c r="Y1056" s="1531"/>
      <c r="Z1056" s="1531"/>
      <c r="AA1056" s="1531"/>
      <c r="AB1056" s="1531"/>
      <c r="AC1056" s="1531"/>
      <c r="AD1056" s="1531"/>
      <c r="AE1056" s="1532"/>
      <c r="AF1056" s="73"/>
      <c r="AG1056" s="439"/>
      <c r="AH1056" s="439"/>
      <c r="AI1056" s="83"/>
      <c r="AJ1056" s="1328"/>
      <c r="AK1056" s="1329"/>
      <c r="AL1056" s="1329"/>
      <c r="AM1056" s="1329"/>
      <c r="AN1056" s="1329"/>
      <c r="AO1056" s="1329"/>
      <c r="AP1056" s="1329"/>
      <c r="AQ1056" s="1330"/>
      <c r="AR1056" s="68"/>
      <c r="AS1056" s="68"/>
      <c r="AT1056" s="68"/>
      <c r="AU1056" s="13"/>
      <c r="AV1056" s="68"/>
      <c r="AW1056" s="68"/>
      <c r="AX1056" s="68"/>
      <c r="AY1056" s="68"/>
      <c r="AZ1056" s="953">
        <f>IF(M365="N/A",0,'Sources and Uses Budget'!T97*BA1056)</f>
        <v>0</v>
      </c>
      <c r="BA1056" s="1170">
        <v>0.15</v>
      </c>
      <c r="BB1056" s="3" t="s">
        <v>2401</v>
      </c>
      <c r="BC1056" s="3" t="s">
        <v>2403</v>
      </c>
      <c r="BD1056" s="3"/>
    </row>
    <row r="1057" spans="1:56" ht="12.95" customHeight="1">
      <c r="A1057" s="14"/>
      <c r="B1057" s="77"/>
      <c r="C1057" s="78"/>
      <c r="D1057" s="132" t="s">
        <v>970</v>
      </c>
      <c r="E1057" s="133"/>
      <c r="F1057" s="133"/>
      <c r="G1057" s="133"/>
      <c r="H1057" s="133"/>
      <c r="I1057" s="1535">
        <f>AY1012</f>
        <v>108</v>
      </c>
      <c r="J1057" s="1536"/>
      <c r="K1057" s="7"/>
      <c r="L1057" s="133"/>
      <c r="M1057" s="133"/>
      <c r="N1057" s="133"/>
      <c r="O1057" s="133"/>
      <c r="P1057" s="133"/>
      <c r="Q1057" s="133"/>
      <c r="R1057" s="133"/>
      <c r="S1057" s="133"/>
      <c r="T1057" s="133"/>
      <c r="U1057" s="133"/>
      <c r="V1057" s="134" t="s">
        <v>971</v>
      </c>
      <c r="W1057" s="48"/>
      <c r="X1057" s="1533">
        <f>CI761</f>
        <v>2</v>
      </c>
      <c r="Y1057" s="1534"/>
      <c r="Z1057" s="48"/>
      <c r="AA1057" s="48"/>
      <c r="AB1057" s="48"/>
      <c r="AC1057" s="48"/>
      <c r="AD1057" s="48"/>
      <c r="AE1057" s="49"/>
      <c r="AF1057" s="915"/>
      <c r="AG1057" s="916"/>
      <c r="AH1057" s="916"/>
      <c r="AI1057" s="917"/>
      <c r="AJ1057" s="1331"/>
      <c r="AK1057" s="1332"/>
      <c r="AL1057" s="1332"/>
      <c r="AM1057" s="1332"/>
      <c r="AN1057" s="1332"/>
      <c r="AO1057" s="1332"/>
      <c r="AP1057" s="1332"/>
      <c r="AQ1057" s="1333"/>
      <c r="AR1057" s="68"/>
      <c r="AS1057" s="68"/>
      <c r="AT1057" s="68"/>
      <c r="AU1057" s="14"/>
      <c r="AV1057" s="68"/>
      <c r="AW1057" s="68"/>
      <c r="AX1057" s="68"/>
      <c r="AY1057" s="68"/>
      <c r="AZ1057" s="953">
        <f>IF(M367="N/A",0,'Sources and Uses Budget'!T97*BA1057)</f>
        <v>0</v>
      </c>
      <c r="BA1057" s="1170" cm="1">
        <f t="array" ref="BA1057">_xlfn.IFS(X180="Yes",5%,$BA$1047&gt;50000,15%,BA1048&gt;=30%,15%,TRUE,5%)</f>
        <v>0.15</v>
      </c>
      <c r="BB1057" s="3" t="s">
        <v>2401</v>
      </c>
      <c r="BC1057" s="3" t="s">
        <v>2404</v>
      </c>
      <c r="BD1057" s="3"/>
    </row>
    <row r="1058" spans="1:56" ht="12.95" customHeight="1">
      <c r="A1058" s="14"/>
      <c r="B1058" s="79"/>
      <c r="C1058" s="131" t="s">
        <v>1671</v>
      </c>
      <c r="D1058" s="1527" t="s">
        <v>2117</v>
      </c>
      <c r="E1058" s="1528"/>
      <c r="F1058" s="1528"/>
      <c r="G1058" s="1528"/>
      <c r="H1058" s="1528"/>
      <c r="I1058" s="1528"/>
      <c r="J1058" s="1528"/>
      <c r="K1058" s="1528"/>
      <c r="L1058" s="1528"/>
      <c r="M1058" s="1528"/>
      <c r="N1058" s="1528"/>
      <c r="O1058" s="1528"/>
      <c r="P1058" s="1528"/>
      <c r="Q1058" s="1528"/>
      <c r="R1058" s="1528"/>
      <c r="S1058" s="1528"/>
      <c r="T1058" s="1528"/>
      <c r="U1058" s="1528"/>
      <c r="V1058" s="1528"/>
      <c r="W1058" s="1528"/>
      <c r="X1058" s="1528"/>
      <c r="Y1058" s="1528"/>
      <c r="Z1058" s="1528"/>
      <c r="AA1058" s="1528"/>
      <c r="AB1058" s="1528"/>
      <c r="AC1058" s="1528"/>
      <c r="AD1058" s="1528"/>
      <c r="AE1058" s="1529"/>
      <c r="AF1058" s="73"/>
      <c r="AG1058" s="1537" t="str">
        <f>IF(X1061&gt;0,"Yes","No")</f>
        <v>Yes</v>
      </c>
      <c r="AH1058" s="1538"/>
      <c r="AI1058" s="83"/>
      <c r="AJ1058" s="1325">
        <f>IF((X1061=0),0,(2*AY1015)*AJ1001)</f>
        <v>63383533.5</v>
      </c>
      <c r="AK1058" s="1326"/>
      <c r="AL1058" s="1326"/>
      <c r="AM1058" s="1326"/>
      <c r="AN1058" s="1326"/>
      <c r="AO1058" s="1326"/>
      <c r="AP1058" s="1326"/>
      <c r="AQ1058" s="1327"/>
      <c r="AR1058" s="68"/>
      <c r="AS1058" s="68"/>
      <c r="AT1058" s="68"/>
      <c r="AU1058" s="14"/>
      <c r="AV1058" s="68"/>
      <c r="AW1058" s="68"/>
      <c r="AX1058" s="68"/>
      <c r="AY1058" s="68"/>
      <c r="AZ1058" s="953">
        <f>AZ1054*BA1058</f>
        <v>0</v>
      </c>
      <c r="BA1058" s="1170">
        <v>0.15</v>
      </c>
      <c r="BB1058" s="3" t="s">
        <v>2401</v>
      </c>
      <c r="BC1058" s="3" t="s">
        <v>2405</v>
      </c>
      <c r="BD1058" s="3"/>
    </row>
    <row r="1059" spans="1:56" ht="12.95" customHeight="1">
      <c r="A1059" s="14"/>
      <c r="B1059" s="73"/>
      <c r="C1059" s="438"/>
      <c r="D1059" s="1530" t="s">
        <v>1294</v>
      </c>
      <c r="E1059" s="1531"/>
      <c r="F1059" s="1531"/>
      <c r="G1059" s="1531"/>
      <c r="H1059" s="1531"/>
      <c r="I1059" s="1531"/>
      <c r="J1059" s="1531"/>
      <c r="K1059" s="1531"/>
      <c r="L1059" s="1531"/>
      <c r="M1059" s="1531"/>
      <c r="N1059" s="1531"/>
      <c r="O1059" s="1531"/>
      <c r="P1059" s="1531"/>
      <c r="Q1059" s="1531"/>
      <c r="R1059" s="1531"/>
      <c r="S1059" s="1531"/>
      <c r="T1059" s="1531"/>
      <c r="U1059" s="1531"/>
      <c r="V1059" s="1531"/>
      <c r="W1059" s="1531"/>
      <c r="X1059" s="1531"/>
      <c r="Y1059" s="1531"/>
      <c r="Z1059" s="1531"/>
      <c r="AA1059" s="1531"/>
      <c r="AB1059" s="1531"/>
      <c r="AC1059" s="1531"/>
      <c r="AD1059" s="1531"/>
      <c r="AE1059" s="1532"/>
      <c r="AF1059" s="73"/>
      <c r="AG1059" s="439"/>
      <c r="AH1059" s="439"/>
      <c r="AI1059" s="83"/>
      <c r="AJ1059" s="1328"/>
      <c r="AK1059" s="1329"/>
      <c r="AL1059" s="1329"/>
      <c r="AM1059" s="1329"/>
      <c r="AN1059" s="1329"/>
      <c r="AO1059" s="1329"/>
      <c r="AP1059" s="1329"/>
      <c r="AQ1059" s="1330"/>
      <c r="AR1059" s="68"/>
      <c r="AS1059" s="68"/>
      <c r="AT1059" s="68"/>
      <c r="AU1059" s="68"/>
      <c r="AV1059" s="68"/>
      <c r="AW1059" s="68"/>
      <c r="AX1059" s="68"/>
      <c r="AY1059" s="68"/>
      <c r="AZ1059" s="953"/>
      <c r="BA1059" s="3"/>
      <c r="BB1059" s="3"/>
      <c r="BC1059" s="3"/>
      <c r="BD1059" s="3"/>
    </row>
    <row r="1060" spans="1:56" ht="12.95" customHeight="1">
      <c r="A1060" s="14"/>
      <c r="B1060" s="73"/>
      <c r="C1060" s="83"/>
      <c r="D1060" s="1530"/>
      <c r="E1060" s="1531"/>
      <c r="F1060" s="1531"/>
      <c r="G1060" s="1531"/>
      <c r="H1060" s="1531"/>
      <c r="I1060" s="1531"/>
      <c r="J1060" s="1531"/>
      <c r="K1060" s="1531"/>
      <c r="L1060" s="1531"/>
      <c r="M1060" s="1531"/>
      <c r="N1060" s="1531"/>
      <c r="O1060" s="1531"/>
      <c r="P1060" s="1531"/>
      <c r="Q1060" s="1531"/>
      <c r="R1060" s="1531"/>
      <c r="S1060" s="1531"/>
      <c r="T1060" s="1531"/>
      <c r="U1060" s="1531"/>
      <c r="V1060" s="1531"/>
      <c r="W1060" s="1531"/>
      <c r="X1060" s="1531"/>
      <c r="Y1060" s="1531"/>
      <c r="Z1060" s="1531"/>
      <c r="AA1060" s="1531"/>
      <c r="AB1060" s="1531"/>
      <c r="AC1060" s="1531"/>
      <c r="AD1060" s="1531"/>
      <c r="AE1060" s="1532"/>
      <c r="AF1060" s="912"/>
      <c r="AG1060" s="913"/>
      <c r="AH1060" s="913"/>
      <c r="AI1060" s="914"/>
      <c r="AJ1060" s="1328"/>
      <c r="AK1060" s="1329"/>
      <c r="AL1060" s="1329"/>
      <c r="AM1060" s="1329"/>
      <c r="AN1060" s="1329"/>
      <c r="AO1060" s="1329"/>
      <c r="AP1060" s="1329"/>
      <c r="AQ1060" s="1330"/>
      <c r="AR1060" s="68"/>
      <c r="AS1060" s="68"/>
      <c r="AT1060" s="68"/>
      <c r="AU1060" s="68"/>
      <c r="AV1060" s="68"/>
      <c r="AW1060" s="68"/>
      <c r="AX1060" s="68"/>
      <c r="AY1060" s="68"/>
      <c r="AZ1060" s="953">
        <f>ROUNDDOWN(MIN(SUM(AZ1055,AZ1056,AZ1057,AZ1058),BD1060),0)</f>
        <v>2500000</v>
      </c>
      <c r="BA1060" s="3" t="s">
        <v>2406</v>
      </c>
      <c r="BB1060" s="3"/>
      <c r="BC1060" s="3"/>
      <c r="BD1060" s="3" cm="1">
        <f t="array" ref="BD1060">_xlfn.IFS(BA1049,3000000,AND(BA1050&gt;=25%,BA1051&gt;=15),2800000,TRUE,2500000)</f>
        <v>2500000</v>
      </c>
    </row>
    <row r="1061" spans="1:56" ht="12.95" customHeight="1">
      <c r="A1061" s="14"/>
      <c r="B1061" s="77"/>
      <c r="C1061" s="78"/>
      <c r="D1061" s="132" t="s">
        <v>970</v>
      </c>
      <c r="E1061" s="133"/>
      <c r="F1061" s="133"/>
      <c r="G1061" s="133"/>
      <c r="H1061" s="133"/>
      <c r="I1061" s="1535">
        <f>AY1012</f>
        <v>108</v>
      </c>
      <c r="J1061" s="1536"/>
      <c r="K1061" s="14"/>
      <c r="L1061" s="133"/>
      <c r="M1061" s="133"/>
      <c r="N1061" s="133"/>
      <c r="O1061" s="133"/>
      <c r="P1061" s="133"/>
      <c r="Q1061" s="133"/>
      <c r="R1061" s="133"/>
      <c r="S1061" s="133"/>
      <c r="T1061" s="133"/>
      <c r="U1061" s="133"/>
      <c r="V1061" s="134" t="s">
        <v>972</v>
      </c>
      <c r="X1061" s="1533">
        <f>CM761</f>
        <v>53</v>
      </c>
      <c r="Y1061" s="1534"/>
      <c r="AF1061" s="915"/>
      <c r="AG1061" s="916"/>
      <c r="AH1061" s="916"/>
      <c r="AI1061" s="917"/>
      <c r="AJ1061" s="1331"/>
      <c r="AK1061" s="1332"/>
      <c r="AL1061" s="1332"/>
      <c r="AM1061" s="1332"/>
      <c r="AN1061" s="1332"/>
      <c r="AO1061" s="1332"/>
      <c r="AP1061" s="1332"/>
      <c r="AQ1061" s="1333"/>
      <c r="AR1061" s="68"/>
      <c r="AS1061" s="68"/>
      <c r="AT1061" s="68"/>
      <c r="AU1061" s="68"/>
      <c r="AV1061" s="68"/>
      <c r="AW1061" s="68"/>
      <c r="AX1061" s="68"/>
      <c r="AY1061" s="68"/>
      <c r="AZ1061" s="953">
        <f>ROUNDDOWN(MAX(0,BA1061*(SUM(AG1102,AL1102,AZ1054)-BD1061))+BF1061,0)</f>
        <v>0</v>
      </c>
      <c r="BA1061" s="1170">
        <f>IF(L1051,7%,5%)</f>
        <v>0.05</v>
      </c>
      <c r="BB1061" s="3" t="s">
        <v>2407</v>
      </c>
      <c r="BC1061" s="3"/>
      <c r="BD1061" s="3">
        <v>6666667</v>
      </c>
    </row>
    <row r="1062" spans="1:56" ht="12.95" customHeight="1">
      <c r="A1062" s="14"/>
      <c r="B1062" s="102"/>
      <c r="C1062" s="103"/>
      <c r="D1062" s="1525" t="s">
        <v>511</v>
      </c>
      <c r="E1062" s="1525"/>
      <c r="F1062" s="1525"/>
      <c r="G1062" s="1525"/>
      <c r="H1062" s="1525"/>
      <c r="I1062" s="1525"/>
      <c r="J1062" s="1525"/>
      <c r="K1062" s="1525"/>
      <c r="L1062" s="1525"/>
      <c r="M1062" s="1525"/>
      <c r="N1062" s="1525"/>
      <c r="O1062" s="1525"/>
      <c r="P1062" s="1525"/>
      <c r="Q1062" s="1525"/>
      <c r="R1062" s="1525"/>
      <c r="S1062" s="1525"/>
      <c r="T1062" s="1525"/>
      <c r="U1062" s="1525"/>
      <c r="V1062" s="1525"/>
      <c r="W1062" s="1525"/>
      <c r="X1062" s="1525"/>
      <c r="Y1062" s="1525"/>
      <c r="Z1062" s="1525"/>
      <c r="AA1062" s="1525"/>
      <c r="AB1062" s="1525"/>
      <c r="AC1062" s="1525"/>
      <c r="AD1062" s="1525"/>
      <c r="AE1062" s="1525"/>
      <c r="AF1062" s="1525"/>
      <c r="AG1062" s="1525"/>
      <c r="AH1062" s="1525"/>
      <c r="AI1062" s="1526"/>
      <c r="AJ1062" s="1293">
        <f>SUM(AJ1001:AQ1061)</f>
        <v>170747479.25</v>
      </c>
      <c r="AK1062" s="1294"/>
      <c r="AL1062" s="1294"/>
      <c r="AM1062" s="1294"/>
      <c r="AN1062" s="1294"/>
      <c r="AO1062" s="1294"/>
      <c r="AP1062" s="1294"/>
      <c r="AQ1062" s="1295"/>
      <c r="AR1062" s="68"/>
      <c r="AS1062" s="68"/>
      <c r="AT1062" s="68"/>
      <c r="AU1062" s="68"/>
      <c r="AV1062" s="68"/>
      <c r="AW1062" s="68"/>
      <c r="AX1062" s="68"/>
      <c r="AY1062" s="68"/>
      <c r="AZ1062" s="1169">
        <v>6000000</v>
      </c>
      <c r="BA1062" s="3" t="s">
        <v>2408</v>
      </c>
      <c r="BB1062" s="3"/>
      <c r="BC1062" s="3"/>
      <c r="BD1062" s="3"/>
    </row>
    <row r="1063" spans="1:56" ht="12.95"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2.95" customHeight="1">
      <c r="A1064" s="14"/>
      <c r="B1064" s="68"/>
      <c r="C1064" s="68"/>
      <c r="D1064" s="68"/>
      <c r="E1064" s="68"/>
      <c r="F1064" s="68"/>
      <c r="G1064" s="1161" t="s">
        <v>2393</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2409</v>
      </c>
      <c r="BC1064" s="3"/>
      <c r="BD1064" s="3"/>
    </row>
    <row r="1065" spans="1:56" ht="12.95" customHeight="1">
      <c r="A1065" s="14"/>
      <c r="B1065" s="68"/>
      <c r="C1065" s="68"/>
      <c r="D1065" s="68"/>
      <c r="E1065" s="68"/>
      <c r="F1065" s="68"/>
      <c r="G1065" s="1164" t="s">
        <v>2394</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819">
        <f>'Sources and Uses Budget'!S107+'Sources and Uses Budget'!T107</f>
        <v>73626137</v>
      </c>
      <c r="AB1065" s="1819"/>
      <c r="AC1065" s="1819"/>
      <c r="AD1065" s="1819"/>
      <c r="AE1065" s="1819"/>
      <c r="AF1065" s="1819"/>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9603409.1999999993</v>
      </c>
      <c r="BB1065" s="3" t="s">
        <v>2410</v>
      </c>
      <c r="BC1065" s="3"/>
      <c r="BD1065" s="3"/>
    </row>
    <row r="1066" spans="1:56" ht="12.95" customHeight="1">
      <c r="A1066" s="14"/>
      <c r="B1066" s="68"/>
      <c r="C1066" s="68"/>
      <c r="D1066" s="68"/>
      <c r="E1066" s="68"/>
      <c r="F1066" s="68"/>
      <c r="G1066" s="1164"/>
      <c r="H1066" s="1164" t="s">
        <v>2395</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820">
        <f>IFERROR((AA1065-BA1068)/(AJ1062-AJ1054-AJ1058),"")</f>
        <v>0.62335540647510579</v>
      </c>
      <c r="AB1066" s="1821"/>
      <c r="AC1066" s="1821"/>
      <c r="AD1066" s="1821"/>
      <c r="AE1066" s="1821"/>
      <c r="AF1066" s="1822"/>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2.95" customHeight="1">
      <c r="A1067" s="14"/>
      <c r="B1067" s="68"/>
      <c r="C1067" s="68"/>
      <c r="D1067" s="68"/>
      <c r="E1067" s="68"/>
      <c r="F1067" s="68"/>
      <c r="G1067" s="1823"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823"/>
      <c r="I1067" s="1823"/>
      <c r="J1067" s="1823"/>
      <c r="K1067" s="1823"/>
      <c r="L1067" s="1823"/>
      <c r="M1067" s="1823"/>
      <c r="N1067" s="1823"/>
      <c r="O1067" s="1823"/>
      <c r="P1067" s="1823"/>
      <c r="Q1067" s="1823"/>
      <c r="R1067" s="1823"/>
      <c r="S1067" s="1823"/>
      <c r="T1067" s="1823"/>
      <c r="U1067" s="1823"/>
      <c r="V1067" s="1823"/>
      <c r="W1067" s="1823"/>
      <c r="X1067" s="1823"/>
      <c r="Y1067" s="1823"/>
      <c r="Z1067" s="1823"/>
      <c r="AA1067" s="1823"/>
      <c r="AB1067" s="1823"/>
      <c r="AC1067" s="1823"/>
      <c r="AD1067" s="1823"/>
      <c r="AE1067" s="1823"/>
      <c r="AF1067" s="1823"/>
      <c r="AG1067" s="1823"/>
      <c r="AH1067" s="1823"/>
      <c r="AI1067" s="1823"/>
      <c r="AJ1067" s="1823"/>
      <c r="AK1067" s="1823"/>
      <c r="AL1067" s="1823"/>
      <c r="AM1067" s="1823"/>
      <c r="AN1067" s="1823"/>
      <c r="AO1067" s="68"/>
      <c r="AP1067" s="68"/>
      <c r="AQ1067" s="68"/>
      <c r="AR1067" s="68"/>
      <c r="AS1067" s="68"/>
      <c r="AT1067" s="68"/>
      <c r="AU1067" s="68"/>
      <c r="AV1067" s="14"/>
      <c r="AW1067" s="14"/>
      <c r="AX1067" s="14"/>
      <c r="AY1067" s="14"/>
      <c r="BA1067" s="1173">
        <f>'Sources and Uses Budget'!$S$104+'Sources and Uses Budget'!$T$104</f>
        <v>9603409</v>
      </c>
      <c r="BB1067" s="3" t="s">
        <v>2416</v>
      </c>
    </row>
    <row r="1068" spans="1:56" ht="12.95" customHeight="1">
      <c r="A1068" s="14"/>
      <c r="B1068" s="14"/>
      <c r="C1068" s="208"/>
      <c r="D1068" s="849"/>
      <c r="E1068" s="849"/>
      <c r="F1068" s="849"/>
      <c r="G1068" s="1823"/>
      <c r="H1068" s="1823"/>
      <c r="I1068" s="1823"/>
      <c r="J1068" s="1823"/>
      <c r="K1068" s="1823"/>
      <c r="L1068" s="1823"/>
      <c r="M1068" s="1823"/>
      <c r="N1068" s="1823"/>
      <c r="O1068" s="1823"/>
      <c r="P1068" s="1823"/>
      <c r="Q1068" s="1823"/>
      <c r="R1068" s="1823"/>
      <c r="S1068" s="1823"/>
      <c r="T1068" s="1823"/>
      <c r="U1068" s="1823"/>
      <c r="V1068" s="1823"/>
      <c r="W1068" s="1823"/>
      <c r="X1068" s="1823"/>
      <c r="Y1068" s="1823"/>
      <c r="Z1068" s="1823"/>
      <c r="AA1068" s="1823"/>
      <c r="AB1068" s="1823"/>
      <c r="AC1068" s="1823"/>
      <c r="AD1068" s="1823"/>
      <c r="AE1068" s="1823"/>
      <c r="AF1068" s="1823"/>
      <c r="AG1068" s="1823"/>
      <c r="AH1068" s="1823"/>
      <c r="AI1068" s="1823"/>
      <c r="AJ1068" s="1823"/>
      <c r="AK1068" s="1823"/>
      <c r="AL1068" s="1823"/>
      <c r="AM1068" s="1823"/>
      <c r="AN1068" s="1823"/>
      <c r="AO1068" s="68"/>
      <c r="AP1068" s="68"/>
      <c r="AQ1068" s="68"/>
      <c r="AR1068" s="68"/>
      <c r="AS1068" s="68"/>
      <c r="AT1068" s="68"/>
      <c r="AU1068" s="68"/>
      <c r="AV1068" s="14"/>
      <c r="AW1068" s="14"/>
      <c r="AX1068" s="14"/>
      <c r="AY1068" s="14"/>
      <c r="BA1068" s="1174">
        <f>MAX($BA$1067-$BA$1064,0)</f>
        <v>7103409</v>
      </c>
      <c r="BB1068" s="3" t="s">
        <v>2417</v>
      </c>
    </row>
    <row r="1069" spans="1:56" ht="12.95" customHeight="1">
      <c r="A1069" s="88"/>
      <c r="B1069" s="1160"/>
      <c r="C1069" s="1160"/>
      <c r="D1069" s="1160"/>
      <c r="E1069" s="1160"/>
      <c r="F1069" s="1160"/>
      <c r="G1069" s="1823"/>
      <c r="H1069" s="1823"/>
      <c r="I1069" s="1823"/>
      <c r="J1069" s="1823"/>
      <c r="K1069" s="1823"/>
      <c r="L1069" s="1823"/>
      <c r="M1069" s="1823"/>
      <c r="N1069" s="1823"/>
      <c r="O1069" s="1823"/>
      <c r="P1069" s="1823"/>
      <c r="Q1069" s="1823"/>
      <c r="R1069" s="1823"/>
      <c r="S1069" s="1823"/>
      <c r="T1069" s="1823"/>
      <c r="U1069" s="1823"/>
      <c r="V1069" s="1823"/>
      <c r="W1069" s="1823"/>
      <c r="X1069" s="1823"/>
      <c r="Y1069" s="1823"/>
      <c r="Z1069" s="1823"/>
      <c r="AA1069" s="1823"/>
      <c r="AB1069" s="1823"/>
      <c r="AC1069" s="1823"/>
      <c r="AD1069" s="1823"/>
      <c r="AE1069" s="1823"/>
      <c r="AF1069" s="1823"/>
      <c r="AG1069" s="1823"/>
      <c r="AH1069" s="1823"/>
      <c r="AI1069" s="1823"/>
      <c r="AJ1069" s="1823"/>
      <c r="AK1069" s="1823"/>
      <c r="AL1069" s="1823"/>
      <c r="AM1069" s="1823"/>
      <c r="AN1069" s="1823"/>
      <c r="AO1069" s="1160"/>
      <c r="AP1069" s="1160"/>
      <c r="AQ1069" s="68"/>
      <c r="AR1069" s="68"/>
      <c r="AS1069" s="68"/>
      <c r="AT1069" s="68"/>
      <c r="AU1069" s="68"/>
      <c r="AV1069" s="68"/>
      <c r="AW1069" s="68"/>
      <c r="AX1069" s="68"/>
      <c r="AY1069" s="68"/>
    </row>
    <row r="1070" spans="1:56" ht="12.95" customHeight="1">
      <c r="A1070" s="1302" t="s">
        <v>792</v>
      </c>
      <c r="B1070" s="1302"/>
      <c r="C1070" s="1302"/>
      <c r="D1070" s="1302"/>
      <c r="E1070" s="1302"/>
      <c r="F1070" s="1302"/>
      <c r="G1070" s="1302"/>
      <c r="H1070" s="1302"/>
      <c r="I1070" s="1302"/>
      <c r="J1070" s="1302"/>
      <c r="K1070" s="1302"/>
      <c r="L1070" s="1302"/>
      <c r="M1070" s="1302"/>
      <c r="N1070" s="1302"/>
      <c r="O1070" s="1302"/>
      <c r="P1070" s="1302"/>
      <c r="Q1070" s="1302"/>
      <c r="R1070" s="1302"/>
      <c r="S1070" s="1302"/>
      <c r="T1070" s="1302"/>
      <c r="U1070" s="1302"/>
      <c r="V1070" s="1302"/>
      <c r="W1070" s="1302"/>
      <c r="X1070" s="1302"/>
      <c r="Y1070" s="1302"/>
      <c r="Z1070" s="1302"/>
      <c r="AA1070" s="1302"/>
      <c r="AB1070" s="1302"/>
      <c r="AC1070" s="1302"/>
      <c r="AD1070" s="1302"/>
      <c r="AE1070" s="1302"/>
      <c r="AF1070" s="1302"/>
      <c r="AG1070" s="1302"/>
      <c r="AH1070" s="1302"/>
      <c r="AI1070" s="1302"/>
      <c r="AJ1070" s="1302"/>
      <c r="AK1070" s="1302"/>
      <c r="AL1070" s="1302"/>
      <c r="AM1070" s="1302"/>
      <c r="AN1070" s="1302"/>
      <c r="AO1070" s="1302"/>
      <c r="AP1070" s="1302"/>
      <c r="AQ1070" s="1302"/>
      <c r="AR1070" s="13"/>
      <c r="AS1070" s="13"/>
      <c r="AT1070" s="13"/>
      <c r="AV1070" s="68"/>
      <c r="AW1070" s="68"/>
      <c r="AX1070" s="68"/>
      <c r="AY1070" s="68"/>
    </row>
    <row r="1071" spans="1:56" ht="12.95"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2.95" customHeight="1">
      <c r="A1072" s="57" t="s">
        <v>793</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2.95" customHeight="1">
      <c r="A1073" s="198" t="s">
        <v>794</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2.95" customHeight="1">
      <c r="A1074" s="1296" t="s">
        <v>543</v>
      </c>
      <c r="B1074" s="1296"/>
      <c r="C1074" s="1297">
        <v>1</v>
      </c>
      <c r="D1074" s="1297"/>
      <c r="E1074" s="14" t="s">
        <v>2183</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2.95" customHeight="1">
      <c r="A1075" s="198"/>
      <c r="B1075" s="67"/>
      <c r="C1075" s="1297"/>
      <c r="D1075" s="1297"/>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2.95" customHeight="1">
      <c r="A1076" s="1296" t="s">
        <v>589</v>
      </c>
      <c r="B1076" s="1296"/>
      <c r="C1076" s="1297">
        <v>2</v>
      </c>
      <c r="D1076" s="1297"/>
      <c r="E1076" s="1300" t="s">
        <v>2184</v>
      </c>
      <c r="F1076" s="1300"/>
      <c r="G1076" s="1300"/>
      <c r="H1076" s="1300"/>
      <c r="I1076" s="1300"/>
      <c r="J1076" s="1300"/>
      <c r="K1076" s="1300"/>
      <c r="L1076" s="1300"/>
      <c r="M1076" s="1300"/>
      <c r="N1076" s="1300"/>
      <c r="O1076" s="1300"/>
      <c r="P1076" s="1300"/>
      <c r="Q1076" s="1300"/>
      <c r="R1076" s="1300"/>
      <c r="S1076" s="1300"/>
      <c r="T1076" s="1300"/>
      <c r="U1076" s="1300"/>
      <c r="V1076" s="1300"/>
      <c r="W1076" s="1300"/>
      <c r="X1076" s="1300"/>
      <c r="Y1076" s="1300"/>
      <c r="Z1076" s="1300"/>
      <c r="AA1076" s="1300"/>
      <c r="AB1076" s="1300"/>
      <c r="AC1076" s="1300"/>
      <c r="AD1076" s="1300"/>
      <c r="AE1076" s="1300"/>
      <c r="AF1076" s="1300"/>
      <c r="AG1076" s="1300"/>
      <c r="AH1076" s="1300"/>
      <c r="AI1076" s="1300"/>
      <c r="AJ1076" s="1300"/>
      <c r="AK1076" s="1300"/>
      <c r="AL1076" s="1300"/>
      <c r="AM1076" s="1300"/>
      <c r="AN1076" s="1300"/>
      <c r="AO1076" s="1300"/>
      <c r="AP1076" s="1300"/>
      <c r="AQ1076" s="1300"/>
      <c r="AR1076" s="1300"/>
      <c r="AS1076" s="14"/>
      <c r="AT1076" s="14"/>
      <c r="AV1076" s="68"/>
      <c r="AW1076" s="68"/>
      <c r="AX1076" s="68"/>
      <c r="AY1076" s="68"/>
    </row>
    <row r="1077" spans="1:51" ht="12.95" customHeight="1">
      <c r="A1077" s="198"/>
      <c r="B1077" s="67"/>
      <c r="C1077" s="1297"/>
      <c r="D1077" s="1297"/>
      <c r="E1077" s="1300"/>
      <c r="F1077" s="1300"/>
      <c r="G1077" s="1300"/>
      <c r="H1077" s="1300"/>
      <c r="I1077" s="1300"/>
      <c r="J1077" s="1300"/>
      <c r="K1077" s="1300"/>
      <c r="L1077" s="1300"/>
      <c r="M1077" s="1300"/>
      <c r="N1077" s="1300"/>
      <c r="O1077" s="1300"/>
      <c r="P1077" s="1300"/>
      <c r="Q1077" s="1300"/>
      <c r="R1077" s="1300"/>
      <c r="S1077" s="1300"/>
      <c r="T1077" s="1300"/>
      <c r="U1077" s="1300"/>
      <c r="V1077" s="1300"/>
      <c r="W1077" s="1300"/>
      <c r="X1077" s="1300"/>
      <c r="Y1077" s="1300"/>
      <c r="Z1077" s="1300"/>
      <c r="AA1077" s="1300"/>
      <c r="AB1077" s="1300"/>
      <c r="AC1077" s="1300"/>
      <c r="AD1077" s="1300"/>
      <c r="AE1077" s="1300"/>
      <c r="AF1077" s="1300"/>
      <c r="AG1077" s="1300"/>
      <c r="AH1077" s="1300"/>
      <c r="AI1077" s="1300"/>
      <c r="AJ1077" s="1300"/>
      <c r="AK1077" s="1300"/>
      <c r="AL1077" s="1300"/>
      <c r="AM1077" s="1300"/>
      <c r="AN1077" s="1300"/>
      <c r="AO1077" s="1300"/>
      <c r="AP1077" s="1300"/>
      <c r="AQ1077" s="1300"/>
      <c r="AR1077" s="1300"/>
      <c r="AS1077" s="14"/>
      <c r="AT1077" s="14"/>
      <c r="AV1077" s="68"/>
      <c r="AW1077" s="68"/>
      <c r="AX1077" s="68"/>
      <c r="AY1077" s="68"/>
    </row>
    <row r="1078" spans="1:51" ht="12.95" customHeight="1">
      <c r="A1078" s="198"/>
      <c r="B1078" s="67"/>
      <c r="C1078" s="1297"/>
      <c r="D1078" s="1297"/>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2.95" customHeight="1">
      <c r="A1079" s="1296" t="s">
        <v>589</v>
      </c>
      <c r="B1079" s="1296"/>
      <c r="C1079" s="1299">
        <v>3</v>
      </c>
      <c r="D1079" s="1299"/>
      <c r="E1079" s="1301" t="s">
        <v>1078</v>
      </c>
      <c r="F1079" s="1301"/>
      <c r="G1079" s="1301"/>
      <c r="H1079" s="1301"/>
      <c r="I1079" s="1301"/>
      <c r="J1079" s="1301"/>
      <c r="K1079" s="1301"/>
      <c r="L1079" s="1301"/>
      <c r="M1079" s="1301"/>
      <c r="N1079" s="1301"/>
      <c r="O1079" s="1301"/>
      <c r="P1079" s="1301"/>
      <c r="Q1079" s="1301"/>
      <c r="R1079" s="1301"/>
      <c r="S1079" s="1301"/>
      <c r="T1079" s="1301"/>
      <c r="U1079" s="1301"/>
      <c r="V1079" s="1301"/>
      <c r="W1079" s="1301"/>
      <c r="X1079" s="1301"/>
      <c r="Y1079" s="1301"/>
      <c r="Z1079" s="1301"/>
      <c r="AA1079" s="1301"/>
      <c r="AB1079" s="1301"/>
      <c r="AC1079" s="1301"/>
      <c r="AD1079" s="1301"/>
      <c r="AE1079" s="1301"/>
      <c r="AF1079" s="1301"/>
      <c r="AG1079" s="1301"/>
      <c r="AH1079" s="1301"/>
      <c r="AI1079" s="1301"/>
      <c r="AJ1079" s="1301"/>
      <c r="AK1079" s="1301"/>
      <c r="AL1079" s="1301"/>
      <c r="AM1079" s="1301"/>
      <c r="AN1079" s="1301"/>
      <c r="AO1079" s="1301"/>
      <c r="AP1079" s="1301"/>
      <c r="AQ1079" s="1301"/>
      <c r="AR1079" s="1301"/>
      <c r="AS1079" s="14"/>
      <c r="AT1079" s="68"/>
      <c r="AV1079" s="68"/>
      <c r="AW1079" s="68"/>
      <c r="AX1079" s="68"/>
      <c r="AY1079" s="68"/>
    </row>
    <row r="1080" spans="1:51" ht="12.95" customHeight="1">
      <c r="A1080" s="1"/>
      <c r="B1080" s="1"/>
      <c r="C1080" s="1299"/>
      <c r="D1080" s="1299"/>
      <c r="E1080" s="1301"/>
      <c r="F1080" s="1301"/>
      <c r="G1080" s="1301"/>
      <c r="H1080" s="1301"/>
      <c r="I1080" s="1301"/>
      <c r="J1080" s="1301"/>
      <c r="K1080" s="1301"/>
      <c r="L1080" s="1301"/>
      <c r="M1080" s="1301"/>
      <c r="N1080" s="1301"/>
      <c r="O1080" s="1301"/>
      <c r="P1080" s="1301"/>
      <c r="Q1080" s="1301"/>
      <c r="R1080" s="1301"/>
      <c r="S1080" s="1301"/>
      <c r="T1080" s="1301"/>
      <c r="U1080" s="1301"/>
      <c r="V1080" s="1301"/>
      <c r="W1080" s="1301"/>
      <c r="X1080" s="1301"/>
      <c r="Y1080" s="1301"/>
      <c r="Z1080" s="1301"/>
      <c r="AA1080" s="1301"/>
      <c r="AB1080" s="1301"/>
      <c r="AC1080" s="1301"/>
      <c r="AD1080" s="1301"/>
      <c r="AE1080" s="1301"/>
      <c r="AF1080" s="1301"/>
      <c r="AG1080" s="1301"/>
      <c r="AH1080" s="1301"/>
      <c r="AI1080" s="1301"/>
      <c r="AJ1080" s="1301"/>
      <c r="AK1080" s="1301"/>
      <c r="AL1080" s="1301"/>
      <c r="AM1080" s="1301"/>
      <c r="AN1080" s="1301"/>
      <c r="AO1080" s="1301"/>
      <c r="AP1080" s="1301"/>
      <c r="AQ1080" s="1301"/>
      <c r="AR1080" s="1301"/>
      <c r="AS1080" s="14"/>
      <c r="AT1080" s="68"/>
      <c r="AV1080" s="68"/>
      <c r="AW1080" s="68"/>
      <c r="AX1080" s="68"/>
      <c r="AY1080" s="68"/>
    </row>
    <row r="1081" spans="1:51" ht="12.95" customHeight="1">
      <c r="A1081" s="1"/>
      <c r="B1081" s="1"/>
      <c r="C1081" s="1299"/>
      <c r="D1081" s="1299"/>
      <c r="E1081" s="1301"/>
      <c r="F1081" s="1301"/>
      <c r="G1081" s="1301"/>
      <c r="H1081" s="1301"/>
      <c r="I1081" s="1301"/>
      <c r="J1081" s="1301"/>
      <c r="K1081" s="1301"/>
      <c r="L1081" s="1301"/>
      <c r="M1081" s="1301"/>
      <c r="N1081" s="1301"/>
      <c r="O1081" s="1301"/>
      <c r="P1081" s="1301"/>
      <c r="Q1081" s="1301"/>
      <c r="R1081" s="1301"/>
      <c r="S1081" s="1301"/>
      <c r="T1081" s="1301"/>
      <c r="U1081" s="1301"/>
      <c r="V1081" s="1301"/>
      <c r="W1081" s="1301"/>
      <c r="X1081" s="1301"/>
      <c r="Y1081" s="1301"/>
      <c r="Z1081" s="1301"/>
      <c r="AA1081" s="1301"/>
      <c r="AB1081" s="1301"/>
      <c r="AC1081" s="1301"/>
      <c r="AD1081" s="1301"/>
      <c r="AE1081" s="1301"/>
      <c r="AF1081" s="1301"/>
      <c r="AG1081" s="1301"/>
      <c r="AH1081" s="1301"/>
      <c r="AI1081" s="1301"/>
      <c r="AJ1081" s="1301"/>
      <c r="AK1081" s="1301"/>
      <c r="AL1081" s="1301"/>
      <c r="AM1081" s="1301"/>
      <c r="AN1081" s="1301"/>
      <c r="AO1081" s="1301"/>
      <c r="AP1081" s="1301"/>
      <c r="AQ1081" s="1301"/>
      <c r="AR1081" s="1301"/>
      <c r="AS1081" s="14"/>
      <c r="AT1081" s="68"/>
      <c r="AV1081" s="68"/>
      <c r="AW1081" s="68"/>
      <c r="AX1081" s="68"/>
      <c r="AY1081" s="68"/>
    </row>
    <row r="1082" spans="1:51" ht="12.95" customHeight="1">
      <c r="A1082" s="1"/>
      <c r="B1082" s="1"/>
      <c r="C1082" s="1299"/>
      <c r="D1082" s="1299"/>
      <c r="E1082" s="1301"/>
      <c r="F1082" s="1301"/>
      <c r="G1082" s="1301"/>
      <c r="H1082" s="1301"/>
      <c r="I1082" s="1301"/>
      <c r="J1082" s="1301"/>
      <c r="K1082" s="1301"/>
      <c r="L1082" s="1301"/>
      <c r="M1082" s="1301"/>
      <c r="N1082" s="1301"/>
      <c r="O1082" s="1301"/>
      <c r="P1082" s="1301"/>
      <c r="Q1082" s="1301"/>
      <c r="R1082" s="1301"/>
      <c r="S1082" s="1301"/>
      <c r="T1082" s="1301"/>
      <c r="U1082" s="1301"/>
      <c r="V1082" s="1301"/>
      <c r="W1082" s="1301"/>
      <c r="X1082" s="1301"/>
      <c r="Y1082" s="1301"/>
      <c r="Z1082" s="1301"/>
      <c r="AA1082" s="1301"/>
      <c r="AB1082" s="1301"/>
      <c r="AC1082" s="1301"/>
      <c r="AD1082" s="1301"/>
      <c r="AE1082" s="1301"/>
      <c r="AF1082" s="1301"/>
      <c r="AG1082" s="1301"/>
      <c r="AH1082" s="1301"/>
      <c r="AI1082" s="1301"/>
      <c r="AJ1082" s="1301"/>
      <c r="AK1082" s="1301"/>
      <c r="AL1082" s="1301"/>
      <c r="AM1082" s="1301"/>
      <c r="AN1082" s="1301"/>
      <c r="AO1082" s="1301"/>
      <c r="AP1082" s="1301"/>
      <c r="AQ1082" s="1301"/>
      <c r="AR1082" s="1301"/>
      <c r="AS1082" s="14"/>
      <c r="AT1082" s="68"/>
      <c r="AV1082" s="68"/>
      <c r="AW1082" s="68"/>
      <c r="AX1082" s="68"/>
      <c r="AY1082" s="68"/>
    </row>
    <row r="1083" spans="1:51" ht="12.95" customHeight="1">
      <c r="A1083" s="2"/>
      <c r="B1083" s="25"/>
      <c r="C1083" s="1299"/>
      <c r="D1083" s="1299"/>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2.95" customHeight="1">
      <c r="A1084" s="1296" t="s">
        <v>589</v>
      </c>
      <c r="B1084" s="1296"/>
      <c r="C1084" s="1299">
        <v>4</v>
      </c>
      <c r="D1084" s="1299"/>
      <c r="E1084" s="1301" t="s">
        <v>1077</v>
      </c>
      <c r="F1084" s="1301"/>
      <c r="G1084" s="1301"/>
      <c r="H1084" s="1301"/>
      <c r="I1084" s="1301"/>
      <c r="J1084" s="1301"/>
      <c r="K1084" s="1301"/>
      <c r="L1084" s="1301"/>
      <c r="M1084" s="1301"/>
      <c r="N1084" s="1301"/>
      <c r="O1084" s="1301"/>
      <c r="P1084" s="1301"/>
      <c r="Q1084" s="1301"/>
      <c r="R1084" s="1301"/>
      <c r="S1084" s="1301"/>
      <c r="T1084" s="1301"/>
      <c r="U1084" s="1301"/>
      <c r="V1084" s="1301"/>
      <c r="W1084" s="1301"/>
      <c r="X1084" s="1301"/>
      <c r="Y1084" s="1301"/>
      <c r="Z1084" s="1301"/>
      <c r="AA1084" s="1301"/>
      <c r="AB1084" s="1301"/>
      <c r="AC1084" s="1301"/>
      <c r="AD1084" s="1301"/>
      <c r="AE1084" s="1301"/>
      <c r="AF1084" s="1301"/>
      <c r="AG1084" s="1301"/>
      <c r="AH1084" s="1301"/>
      <c r="AI1084" s="1301"/>
      <c r="AJ1084" s="1301"/>
      <c r="AK1084" s="1301"/>
      <c r="AL1084" s="1301"/>
      <c r="AM1084" s="1301"/>
      <c r="AN1084" s="1301"/>
      <c r="AO1084" s="1301"/>
      <c r="AP1084" s="1301"/>
      <c r="AQ1084" s="1301"/>
      <c r="AR1084" s="1301"/>
      <c r="AS1084" s="14"/>
      <c r="AT1084" s="68"/>
    </row>
    <row r="1085" spans="1:51" ht="12.95" customHeight="1">
      <c r="A1085" s="1"/>
      <c r="B1085" s="1"/>
      <c r="C1085" s="1299"/>
      <c r="D1085" s="1299"/>
      <c r="E1085" s="1301"/>
      <c r="F1085" s="1301"/>
      <c r="G1085" s="1301"/>
      <c r="H1085" s="1301"/>
      <c r="I1085" s="1301"/>
      <c r="J1085" s="1301"/>
      <c r="K1085" s="1301"/>
      <c r="L1085" s="1301"/>
      <c r="M1085" s="1301"/>
      <c r="N1085" s="1301"/>
      <c r="O1085" s="1301"/>
      <c r="P1085" s="1301"/>
      <c r="Q1085" s="1301"/>
      <c r="R1085" s="1301"/>
      <c r="S1085" s="1301"/>
      <c r="T1085" s="1301"/>
      <c r="U1085" s="1301"/>
      <c r="V1085" s="1301"/>
      <c r="W1085" s="1301"/>
      <c r="X1085" s="1301"/>
      <c r="Y1085" s="1301"/>
      <c r="Z1085" s="1301"/>
      <c r="AA1085" s="1301"/>
      <c r="AB1085" s="1301"/>
      <c r="AC1085" s="1301"/>
      <c r="AD1085" s="1301"/>
      <c r="AE1085" s="1301"/>
      <c r="AF1085" s="1301"/>
      <c r="AG1085" s="1301"/>
      <c r="AH1085" s="1301"/>
      <c r="AI1085" s="1301"/>
      <c r="AJ1085" s="1301"/>
      <c r="AK1085" s="1301"/>
      <c r="AL1085" s="1301"/>
      <c r="AM1085" s="1301"/>
      <c r="AN1085" s="1301"/>
      <c r="AO1085" s="1301"/>
      <c r="AP1085" s="1301"/>
      <c r="AQ1085" s="1301"/>
      <c r="AR1085" s="1301"/>
      <c r="AS1085" s="14"/>
      <c r="AT1085" s="68"/>
    </row>
    <row r="1086" spans="1:51" ht="12.95" customHeight="1">
      <c r="A1086" s="1"/>
      <c r="B1086" s="1"/>
      <c r="C1086" s="1299"/>
      <c r="D1086" s="1299"/>
      <c r="E1086" s="1301"/>
      <c r="F1086" s="1301"/>
      <c r="G1086" s="1301"/>
      <c r="H1086" s="1301"/>
      <c r="I1086" s="1301"/>
      <c r="J1086" s="1301"/>
      <c r="K1086" s="1301"/>
      <c r="L1086" s="1301"/>
      <c r="M1086" s="1301"/>
      <c r="N1086" s="1301"/>
      <c r="O1086" s="1301"/>
      <c r="P1086" s="1301"/>
      <c r="Q1086" s="1301"/>
      <c r="R1086" s="1301"/>
      <c r="S1086" s="1301"/>
      <c r="T1086" s="1301"/>
      <c r="U1086" s="1301"/>
      <c r="V1086" s="1301"/>
      <c r="W1086" s="1301"/>
      <c r="X1086" s="1301"/>
      <c r="Y1086" s="1301"/>
      <c r="Z1086" s="1301"/>
      <c r="AA1086" s="1301"/>
      <c r="AB1086" s="1301"/>
      <c r="AC1086" s="1301"/>
      <c r="AD1086" s="1301"/>
      <c r="AE1086" s="1301"/>
      <c r="AF1086" s="1301"/>
      <c r="AG1086" s="1301"/>
      <c r="AH1086" s="1301"/>
      <c r="AI1086" s="1301"/>
      <c r="AJ1086" s="1301"/>
      <c r="AK1086" s="1301"/>
      <c r="AL1086" s="1301"/>
      <c r="AM1086" s="1301"/>
      <c r="AN1086" s="1301"/>
      <c r="AO1086" s="1301"/>
      <c r="AP1086" s="1301"/>
      <c r="AQ1086" s="1301"/>
      <c r="AR1086" s="1301"/>
      <c r="AS1086" s="14"/>
      <c r="AT1086" s="68"/>
    </row>
    <row r="1087" spans="1:51" ht="12.95" customHeight="1">
      <c r="A1087" s="1"/>
      <c r="B1087" s="1"/>
      <c r="C1087" s="1299"/>
      <c r="D1087" s="1299"/>
      <c r="E1087" s="1301"/>
      <c r="F1087" s="1301"/>
      <c r="G1087" s="1301"/>
      <c r="H1087" s="1301"/>
      <c r="I1087" s="1301"/>
      <c r="J1087" s="1301"/>
      <c r="K1087" s="1301"/>
      <c r="L1087" s="1301"/>
      <c r="M1087" s="1301"/>
      <c r="N1087" s="1301"/>
      <c r="O1087" s="1301"/>
      <c r="P1087" s="1301"/>
      <c r="Q1087" s="1301"/>
      <c r="R1087" s="1301"/>
      <c r="S1087" s="1301"/>
      <c r="T1087" s="1301"/>
      <c r="U1087" s="1301"/>
      <c r="V1087" s="1301"/>
      <c r="W1087" s="1301"/>
      <c r="X1087" s="1301"/>
      <c r="Y1087" s="1301"/>
      <c r="Z1087" s="1301"/>
      <c r="AA1087" s="1301"/>
      <c r="AB1087" s="1301"/>
      <c r="AC1087" s="1301"/>
      <c r="AD1087" s="1301"/>
      <c r="AE1087" s="1301"/>
      <c r="AF1087" s="1301"/>
      <c r="AG1087" s="1301"/>
      <c r="AH1087" s="1301"/>
      <c r="AI1087" s="1301"/>
      <c r="AJ1087" s="1301"/>
      <c r="AK1087" s="1301"/>
      <c r="AL1087" s="1301"/>
      <c r="AM1087" s="1301"/>
      <c r="AN1087" s="1301"/>
      <c r="AO1087" s="1301"/>
      <c r="AP1087" s="1301"/>
      <c r="AQ1087" s="1301"/>
      <c r="AR1087" s="1301"/>
      <c r="AS1087" s="14"/>
      <c r="AT1087" s="68"/>
    </row>
    <row r="1088" spans="1:51" ht="12.95" customHeight="1">
      <c r="A1088" s="1"/>
      <c r="B1088" s="1"/>
      <c r="C1088" s="1299"/>
      <c r="D1088" s="1299"/>
      <c r="E1088" s="1301"/>
      <c r="F1088" s="1301"/>
      <c r="G1088" s="1301"/>
      <c r="H1088" s="1301"/>
      <c r="I1088" s="1301"/>
      <c r="J1088" s="1301"/>
      <c r="K1088" s="1301"/>
      <c r="L1088" s="1301"/>
      <c r="M1088" s="1301"/>
      <c r="N1088" s="1301"/>
      <c r="O1088" s="1301"/>
      <c r="P1088" s="1301"/>
      <c r="Q1088" s="1301"/>
      <c r="R1088" s="1301"/>
      <c r="S1088" s="1301"/>
      <c r="T1088" s="1301"/>
      <c r="U1088" s="1301"/>
      <c r="V1088" s="1301"/>
      <c r="W1088" s="1301"/>
      <c r="X1088" s="1301"/>
      <c r="Y1088" s="1301"/>
      <c r="Z1088" s="1301"/>
      <c r="AA1088" s="1301"/>
      <c r="AB1088" s="1301"/>
      <c r="AC1088" s="1301"/>
      <c r="AD1088" s="1301"/>
      <c r="AE1088" s="1301"/>
      <c r="AF1088" s="1301"/>
      <c r="AG1088" s="1301"/>
      <c r="AH1088" s="1301"/>
      <c r="AI1088" s="1301"/>
      <c r="AJ1088" s="1301"/>
      <c r="AK1088" s="1301"/>
      <c r="AL1088" s="1301"/>
      <c r="AM1088" s="1301"/>
      <c r="AN1088" s="1301"/>
      <c r="AO1088" s="1301"/>
      <c r="AP1088" s="1301"/>
      <c r="AQ1088" s="1301"/>
      <c r="AR1088" s="1301"/>
      <c r="AS1088" s="14"/>
      <c r="AT1088" s="68"/>
    </row>
    <row r="1089" spans="1:45" ht="12.95" customHeight="1">
      <c r="A1089" s="1"/>
      <c r="B1089" s="1"/>
      <c r="C1089" s="1299"/>
      <c r="D1089" s="1299"/>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2.95" customHeight="1">
      <c r="A1090" s="1296" t="s">
        <v>589</v>
      </c>
      <c r="B1090" s="1296"/>
      <c r="C1090" s="1299">
        <v>5</v>
      </c>
      <c r="D1090" s="1299"/>
      <c r="E1090" s="1301" t="s">
        <v>2187</v>
      </c>
      <c r="F1090" s="1301"/>
      <c r="G1090" s="1301"/>
      <c r="H1090" s="1301"/>
      <c r="I1090" s="1301"/>
      <c r="J1090" s="1301"/>
      <c r="K1090" s="1301"/>
      <c r="L1090" s="1301"/>
      <c r="M1090" s="1301"/>
      <c r="N1090" s="1301"/>
      <c r="O1090" s="1301"/>
      <c r="P1090" s="1301"/>
      <c r="Q1090" s="1301"/>
      <c r="R1090" s="1301"/>
      <c r="S1090" s="1301"/>
      <c r="T1090" s="1301"/>
      <c r="U1090" s="1301"/>
      <c r="V1090" s="1301"/>
      <c r="W1090" s="1301"/>
      <c r="X1090" s="1301"/>
      <c r="Y1090" s="1301"/>
      <c r="Z1090" s="1301"/>
      <c r="AA1090" s="1301"/>
      <c r="AB1090" s="1301"/>
      <c r="AC1090" s="1301"/>
      <c r="AD1090" s="1301"/>
      <c r="AE1090" s="1301"/>
      <c r="AF1090" s="1301"/>
      <c r="AG1090" s="1301"/>
      <c r="AH1090" s="1301"/>
      <c r="AI1090" s="1301"/>
      <c r="AJ1090" s="1301"/>
      <c r="AK1090" s="1301"/>
      <c r="AL1090" s="1301"/>
      <c r="AM1090" s="1301"/>
      <c r="AN1090" s="1301"/>
      <c r="AO1090" s="1301"/>
      <c r="AP1090" s="1301"/>
      <c r="AQ1090" s="1301"/>
      <c r="AR1090" s="1301"/>
      <c r="AS1090" s="14"/>
    </row>
    <row r="1091" spans="1:45" ht="12.95" customHeight="1">
      <c r="A1091" s="4"/>
      <c r="B1091" s="4"/>
      <c r="C1091" s="1299"/>
      <c r="D1091" s="1299"/>
      <c r="E1091" s="1301"/>
      <c r="F1091" s="1301"/>
      <c r="G1091" s="1301"/>
      <c r="H1091" s="1301"/>
      <c r="I1091" s="1301"/>
      <c r="J1091" s="1301"/>
      <c r="K1091" s="1301"/>
      <c r="L1091" s="1301"/>
      <c r="M1091" s="1301"/>
      <c r="N1091" s="1301"/>
      <c r="O1091" s="1301"/>
      <c r="P1091" s="1301"/>
      <c r="Q1091" s="1301"/>
      <c r="R1091" s="1301"/>
      <c r="S1091" s="1301"/>
      <c r="T1091" s="1301"/>
      <c r="U1091" s="1301"/>
      <c r="V1091" s="1301"/>
      <c r="W1091" s="1301"/>
      <c r="X1091" s="1301"/>
      <c r="Y1091" s="1301"/>
      <c r="Z1091" s="1301"/>
      <c r="AA1091" s="1301"/>
      <c r="AB1091" s="1301"/>
      <c r="AC1091" s="1301"/>
      <c r="AD1091" s="1301"/>
      <c r="AE1091" s="1301"/>
      <c r="AF1091" s="1301"/>
      <c r="AG1091" s="1301"/>
      <c r="AH1091" s="1301"/>
      <c r="AI1091" s="1301"/>
      <c r="AJ1091" s="1301"/>
      <c r="AK1091" s="1301"/>
      <c r="AL1091" s="1301"/>
      <c r="AM1091" s="1301"/>
      <c r="AN1091" s="1301"/>
      <c r="AO1091" s="1301"/>
      <c r="AP1091" s="1301"/>
      <c r="AQ1091" s="1301"/>
      <c r="AR1091" s="1301"/>
      <c r="AS1091" s="14"/>
    </row>
    <row r="1092" spans="1:45" ht="12.95" customHeight="1">
      <c r="A1092" s="4"/>
      <c r="B1092" s="4"/>
      <c r="C1092" s="1299"/>
      <c r="D1092" s="1299"/>
      <c r="E1092" s="1301"/>
      <c r="F1092" s="1301"/>
      <c r="G1092" s="1301"/>
      <c r="H1092" s="1301"/>
      <c r="I1092" s="1301"/>
      <c r="J1092" s="1301"/>
      <c r="K1092" s="1301"/>
      <c r="L1092" s="1301"/>
      <c r="M1092" s="1301"/>
      <c r="N1092" s="1301"/>
      <c r="O1092" s="1301"/>
      <c r="P1092" s="1301"/>
      <c r="Q1092" s="1301"/>
      <c r="R1092" s="1301"/>
      <c r="S1092" s="1301"/>
      <c r="T1092" s="1301"/>
      <c r="U1092" s="1301"/>
      <c r="V1092" s="1301"/>
      <c r="W1092" s="1301"/>
      <c r="X1092" s="1301"/>
      <c r="Y1092" s="1301"/>
      <c r="Z1092" s="1301"/>
      <c r="AA1092" s="1301"/>
      <c r="AB1092" s="1301"/>
      <c r="AC1092" s="1301"/>
      <c r="AD1092" s="1301"/>
      <c r="AE1092" s="1301"/>
      <c r="AF1092" s="1301"/>
      <c r="AG1092" s="1301"/>
      <c r="AH1092" s="1301"/>
      <c r="AI1092" s="1301"/>
      <c r="AJ1092" s="1301"/>
      <c r="AK1092" s="1301"/>
      <c r="AL1092" s="1301"/>
      <c r="AM1092" s="1301"/>
      <c r="AN1092" s="1301"/>
      <c r="AO1092" s="1301"/>
      <c r="AP1092" s="1301"/>
      <c r="AQ1092" s="1301"/>
      <c r="AR1092" s="1301"/>
      <c r="AS1092" s="14"/>
    </row>
    <row r="1093" spans="1:45" ht="12.95" customHeight="1">
      <c r="A1093" s="35"/>
      <c r="B1093" s="25"/>
      <c r="C1093" s="1299"/>
      <c r="D1093" s="1299"/>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2.95" customHeight="1">
      <c r="A1094" s="1296" t="s">
        <v>589</v>
      </c>
      <c r="B1094" s="1296"/>
      <c r="C1094" s="1299">
        <v>6</v>
      </c>
      <c r="D1094" s="1299"/>
      <c r="E1094" s="1301" t="s">
        <v>2188</v>
      </c>
      <c r="F1094" s="1301"/>
      <c r="G1094" s="1301"/>
      <c r="H1094" s="1301"/>
      <c r="I1094" s="1301"/>
      <c r="J1094" s="1301"/>
      <c r="K1094" s="1301"/>
      <c r="L1094" s="1301"/>
      <c r="M1094" s="1301"/>
      <c r="N1094" s="1301"/>
      <c r="O1094" s="1301"/>
      <c r="P1094" s="1301"/>
      <c r="Q1094" s="1301"/>
      <c r="R1094" s="1301"/>
      <c r="S1094" s="1301"/>
      <c r="T1094" s="1301"/>
      <c r="U1094" s="1301"/>
      <c r="V1094" s="1301"/>
      <c r="W1094" s="1301"/>
      <c r="X1094" s="1301"/>
      <c r="Y1094" s="1301"/>
      <c r="Z1094" s="1301"/>
      <c r="AA1094" s="1301"/>
      <c r="AB1094" s="1301"/>
      <c r="AC1094" s="1301"/>
      <c r="AD1094" s="1301"/>
      <c r="AE1094" s="1301"/>
      <c r="AF1094" s="1301"/>
      <c r="AG1094" s="1301"/>
      <c r="AH1094" s="1301"/>
      <c r="AI1094" s="1301"/>
      <c r="AJ1094" s="1301"/>
      <c r="AK1094" s="1301"/>
      <c r="AL1094" s="1301"/>
      <c r="AM1094" s="1301"/>
      <c r="AN1094" s="1301"/>
      <c r="AO1094" s="1301"/>
      <c r="AP1094" s="1301"/>
      <c r="AQ1094" s="1301"/>
      <c r="AR1094" s="1301"/>
      <c r="AS1094" s="14"/>
    </row>
    <row r="1095" spans="1:45" ht="12.95" customHeight="1">
      <c r="A1095" s="1"/>
      <c r="B1095" s="1"/>
      <c r="C1095" s="1"/>
      <c r="D1095" s="1"/>
      <c r="E1095" s="1301"/>
      <c r="F1095" s="1301"/>
      <c r="G1095" s="1301"/>
      <c r="H1095" s="1301"/>
      <c r="I1095" s="1301"/>
      <c r="J1095" s="1301"/>
      <c r="K1095" s="1301"/>
      <c r="L1095" s="1301"/>
      <c r="M1095" s="1301"/>
      <c r="N1095" s="1301"/>
      <c r="O1095" s="1301"/>
      <c r="P1095" s="1301"/>
      <c r="Q1095" s="1301"/>
      <c r="R1095" s="1301"/>
      <c r="S1095" s="1301"/>
      <c r="T1095" s="1301"/>
      <c r="U1095" s="1301"/>
      <c r="V1095" s="1301"/>
      <c r="W1095" s="1301"/>
      <c r="X1095" s="1301"/>
      <c r="Y1095" s="1301"/>
      <c r="Z1095" s="1301"/>
      <c r="AA1095" s="1301"/>
      <c r="AB1095" s="1301"/>
      <c r="AC1095" s="1301"/>
      <c r="AD1095" s="1301"/>
      <c r="AE1095" s="1301"/>
      <c r="AF1095" s="1301"/>
      <c r="AG1095" s="1301"/>
      <c r="AH1095" s="1301"/>
      <c r="AI1095" s="1301"/>
      <c r="AJ1095" s="1301"/>
      <c r="AK1095" s="1301"/>
      <c r="AL1095" s="1301"/>
      <c r="AM1095" s="1301"/>
      <c r="AN1095" s="1301"/>
      <c r="AO1095" s="1301"/>
      <c r="AP1095" s="1301"/>
      <c r="AQ1095" s="1301"/>
      <c r="AR1095" s="1301"/>
      <c r="AS1095" s="14"/>
    </row>
    <row r="1096" spans="1:45" ht="12.95" customHeight="1">
      <c r="A1096" s="1"/>
      <c r="B1096" s="1"/>
      <c r="C1096" s="1299"/>
      <c r="D1096" s="1299"/>
      <c r="E1096" s="1301"/>
      <c r="F1096" s="1301"/>
      <c r="G1096" s="1301"/>
      <c r="H1096" s="1301"/>
      <c r="I1096" s="1301"/>
      <c r="J1096" s="1301"/>
      <c r="K1096" s="1301"/>
      <c r="L1096" s="1301"/>
      <c r="M1096" s="1301"/>
      <c r="N1096" s="1301"/>
      <c r="O1096" s="1301"/>
      <c r="P1096" s="1301"/>
      <c r="Q1096" s="1301"/>
      <c r="R1096" s="1301"/>
      <c r="S1096" s="1301"/>
      <c r="T1096" s="1301"/>
      <c r="U1096" s="1301"/>
      <c r="V1096" s="1301"/>
      <c r="W1096" s="1301"/>
      <c r="X1096" s="1301"/>
      <c r="Y1096" s="1301"/>
      <c r="Z1096" s="1301"/>
      <c r="AA1096" s="1301"/>
      <c r="AB1096" s="1301"/>
      <c r="AC1096" s="1301"/>
      <c r="AD1096" s="1301"/>
      <c r="AE1096" s="1301"/>
      <c r="AF1096" s="1301"/>
      <c r="AG1096" s="1301"/>
      <c r="AH1096" s="1301"/>
      <c r="AI1096" s="1301"/>
      <c r="AJ1096" s="1301"/>
      <c r="AK1096" s="1301"/>
      <c r="AL1096" s="1301"/>
      <c r="AM1096" s="1301"/>
      <c r="AN1096" s="1301"/>
      <c r="AO1096" s="1301"/>
      <c r="AP1096" s="1301"/>
      <c r="AQ1096" s="1301"/>
      <c r="AR1096" s="1301"/>
      <c r="AS1096" s="14"/>
    </row>
    <row r="1097" spans="1:45" ht="12.95" customHeight="1">
      <c r="A1097" s="35"/>
      <c r="B1097" s="25"/>
      <c r="C1097" s="1299"/>
      <c r="D1097" s="1299"/>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2.95" customHeight="1">
      <c r="A1098" s="1296" t="s">
        <v>589</v>
      </c>
      <c r="B1098" s="1296"/>
      <c r="C1098" s="1299">
        <v>7</v>
      </c>
      <c r="D1098" s="1299"/>
      <c r="E1098" s="1301" t="s">
        <v>2086</v>
      </c>
      <c r="F1098" s="1301"/>
      <c r="G1098" s="1301"/>
      <c r="H1098" s="1301"/>
      <c r="I1098" s="1301"/>
      <c r="J1098" s="1301"/>
      <c r="K1098" s="1301"/>
      <c r="L1098" s="1301"/>
      <c r="M1098" s="1301"/>
      <c r="N1098" s="1301"/>
      <c r="O1098" s="1301"/>
      <c r="P1098" s="1301"/>
      <c r="Q1098" s="1301"/>
      <c r="R1098" s="1301"/>
      <c r="S1098" s="1301"/>
      <c r="T1098" s="1301"/>
      <c r="U1098" s="1301"/>
      <c r="V1098" s="1301"/>
      <c r="W1098" s="1301"/>
      <c r="X1098" s="1301"/>
      <c r="Y1098" s="1301"/>
      <c r="Z1098" s="1301"/>
      <c r="AA1098" s="1301"/>
      <c r="AB1098" s="1301"/>
      <c r="AC1098" s="1301"/>
      <c r="AD1098" s="1301"/>
      <c r="AE1098" s="1301"/>
      <c r="AF1098" s="1301"/>
      <c r="AG1098" s="1301"/>
      <c r="AH1098" s="1301"/>
      <c r="AI1098" s="1301"/>
      <c r="AJ1098" s="1301"/>
      <c r="AK1098" s="1301"/>
      <c r="AL1098" s="1301"/>
      <c r="AM1098" s="1301"/>
      <c r="AN1098" s="1301"/>
      <c r="AO1098" s="1301"/>
      <c r="AP1098" s="1301"/>
      <c r="AQ1098" s="1301"/>
      <c r="AR1098" s="1301"/>
      <c r="AS1098" s="14"/>
    </row>
    <row r="1099" spans="1:45" ht="12.95" customHeight="1">
      <c r="A1099" s="1"/>
      <c r="B1099" s="1"/>
      <c r="C1099" s="1299"/>
      <c r="D1099" s="1299"/>
      <c r="E1099" s="1301"/>
      <c r="F1099" s="1301"/>
      <c r="G1099" s="1301"/>
      <c r="H1099" s="1301"/>
      <c r="I1099" s="1301"/>
      <c r="J1099" s="1301"/>
      <c r="K1099" s="1301"/>
      <c r="L1099" s="1301"/>
      <c r="M1099" s="1301"/>
      <c r="N1099" s="1301"/>
      <c r="O1099" s="1301"/>
      <c r="P1099" s="1301"/>
      <c r="Q1099" s="1301"/>
      <c r="R1099" s="1301"/>
      <c r="S1099" s="1301"/>
      <c r="T1099" s="1301"/>
      <c r="U1099" s="1301"/>
      <c r="V1099" s="1301"/>
      <c r="W1099" s="1301"/>
      <c r="X1099" s="1301"/>
      <c r="Y1099" s="1301"/>
      <c r="Z1099" s="1301"/>
      <c r="AA1099" s="1301"/>
      <c r="AB1099" s="1301"/>
      <c r="AC1099" s="1301"/>
      <c r="AD1099" s="1301"/>
      <c r="AE1099" s="1301"/>
      <c r="AF1099" s="1301"/>
      <c r="AG1099" s="1301"/>
      <c r="AH1099" s="1301"/>
      <c r="AI1099" s="1301"/>
      <c r="AJ1099" s="1301"/>
      <c r="AK1099" s="1301"/>
      <c r="AL1099" s="1301"/>
      <c r="AM1099" s="1301"/>
      <c r="AN1099" s="1301"/>
      <c r="AO1099" s="1301"/>
      <c r="AP1099" s="1301"/>
      <c r="AQ1099" s="1301"/>
      <c r="AR1099" s="1301"/>
      <c r="AS1099" s="14"/>
    </row>
    <row r="1100" spans="1:45" ht="12.95" customHeight="1">
      <c r="A1100" s="1"/>
      <c r="B1100" s="1"/>
      <c r="C1100" s="1299"/>
      <c r="D1100" s="1299"/>
      <c r="E1100" s="1301"/>
      <c r="F1100" s="1301"/>
      <c r="G1100" s="1301"/>
      <c r="H1100" s="1301"/>
      <c r="I1100" s="1301"/>
      <c r="J1100" s="1301"/>
      <c r="K1100" s="1301"/>
      <c r="L1100" s="1301"/>
      <c r="M1100" s="1301"/>
      <c r="N1100" s="1301"/>
      <c r="O1100" s="1301"/>
      <c r="P1100" s="1301"/>
      <c r="Q1100" s="1301"/>
      <c r="R1100" s="1301"/>
      <c r="S1100" s="1301"/>
      <c r="T1100" s="1301"/>
      <c r="U1100" s="1301"/>
      <c r="V1100" s="1301"/>
      <c r="W1100" s="1301"/>
      <c r="X1100" s="1301"/>
      <c r="Y1100" s="1301"/>
      <c r="Z1100" s="1301"/>
      <c r="AA1100" s="1301"/>
      <c r="AB1100" s="1301"/>
      <c r="AC1100" s="1301"/>
      <c r="AD1100" s="1301"/>
      <c r="AE1100" s="1301"/>
      <c r="AF1100" s="1301"/>
      <c r="AG1100" s="1301"/>
      <c r="AH1100" s="1301"/>
      <c r="AI1100" s="1301"/>
      <c r="AJ1100" s="1301"/>
      <c r="AK1100" s="1301"/>
      <c r="AL1100" s="1301"/>
      <c r="AM1100" s="1301"/>
      <c r="AN1100" s="1301"/>
      <c r="AO1100" s="1301"/>
      <c r="AP1100" s="1301"/>
      <c r="AQ1100" s="1301"/>
      <c r="AR1100" s="1301"/>
      <c r="AS1100" s="14"/>
    </row>
    <row r="1101" spans="1:45" ht="12.95" customHeight="1">
      <c r="A1101" s="1"/>
      <c r="B1101" s="1"/>
      <c r="C1101" s="1299"/>
      <c r="D1101" s="1299"/>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2.95" customHeight="1">
      <c r="A1102" s="35"/>
      <c r="B1102" s="25"/>
      <c r="C1102" s="1299"/>
      <c r="D1102" s="1299"/>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2.95" customHeight="1">
      <c r="A1103" s="1296" t="s">
        <v>589</v>
      </c>
      <c r="B1103" s="1296"/>
      <c r="C1103" s="1299">
        <v>8</v>
      </c>
      <c r="D1103" s="1299"/>
      <c r="E1103" s="1301" t="s">
        <v>1071</v>
      </c>
      <c r="F1103" s="1301"/>
      <c r="G1103" s="1301"/>
      <c r="H1103" s="1301"/>
      <c r="I1103" s="1301"/>
      <c r="J1103" s="1301"/>
      <c r="K1103" s="1301"/>
      <c r="L1103" s="1301"/>
      <c r="M1103" s="1301"/>
      <c r="N1103" s="1301"/>
      <c r="O1103" s="1301"/>
      <c r="P1103" s="1301"/>
      <c r="Q1103" s="1301"/>
      <c r="R1103" s="1301"/>
      <c r="S1103" s="1301"/>
      <c r="T1103" s="1301"/>
      <c r="U1103" s="1301"/>
      <c r="V1103" s="1301"/>
      <c r="W1103" s="1301"/>
      <c r="X1103" s="1301"/>
      <c r="Y1103" s="1301"/>
      <c r="Z1103" s="1301"/>
      <c r="AA1103" s="1301"/>
      <c r="AB1103" s="1301"/>
      <c r="AC1103" s="1301"/>
      <c r="AD1103" s="1301"/>
      <c r="AE1103" s="1301"/>
      <c r="AF1103" s="1301"/>
      <c r="AG1103" s="1301"/>
      <c r="AH1103" s="1301"/>
      <c r="AI1103" s="1301"/>
      <c r="AJ1103" s="1301"/>
      <c r="AK1103" s="1301"/>
      <c r="AL1103" s="1301"/>
      <c r="AM1103" s="1301"/>
      <c r="AN1103" s="1301"/>
      <c r="AO1103" s="1301"/>
      <c r="AP1103" s="1301"/>
      <c r="AQ1103" s="1301"/>
      <c r="AR1103" s="1301"/>
    </row>
    <row r="1104" spans="1:45" ht="12.95" customHeight="1">
      <c r="A1104" s="35"/>
      <c r="B1104" s="25"/>
      <c r="C1104" s="1299"/>
      <c r="D1104" s="1299"/>
      <c r="E1104" s="1301"/>
      <c r="F1104" s="1301"/>
      <c r="G1104" s="1301"/>
      <c r="H1104" s="1301"/>
      <c r="I1104" s="1301"/>
      <c r="J1104" s="1301"/>
      <c r="K1104" s="1301"/>
      <c r="L1104" s="1301"/>
      <c r="M1104" s="1301"/>
      <c r="N1104" s="1301"/>
      <c r="O1104" s="1301"/>
      <c r="P1104" s="1301"/>
      <c r="Q1104" s="1301"/>
      <c r="R1104" s="1301"/>
      <c r="S1104" s="1301"/>
      <c r="T1104" s="1301"/>
      <c r="U1104" s="1301"/>
      <c r="V1104" s="1301"/>
      <c r="W1104" s="1301"/>
      <c r="X1104" s="1301"/>
      <c r="Y1104" s="1301"/>
      <c r="Z1104" s="1301"/>
      <c r="AA1104" s="1301"/>
      <c r="AB1104" s="1301"/>
      <c r="AC1104" s="1301"/>
      <c r="AD1104" s="1301"/>
      <c r="AE1104" s="1301"/>
      <c r="AF1104" s="1301"/>
      <c r="AG1104" s="1301"/>
      <c r="AH1104" s="1301"/>
      <c r="AI1104" s="1301"/>
      <c r="AJ1104" s="1301"/>
      <c r="AK1104" s="1301"/>
      <c r="AL1104" s="1301"/>
      <c r="AM1104" s="1301"/>
      <c r="AN1104" s="1301"/>
      <c r="AO1104" s="1301"/>
      <c r="AP1104" s="1301"/>
      <c r="AQ1104" s="1301"/>
      <c r="AR1104" s="1301"/>
    </row>
    <row r="1105" spans="1:44" ht="12.95" customHeight="1">
      <c r="A1105" s="35"/>
      <c r="B1105" s="25"/>
      <c r="C1105" s="1299"/>
      <c r="D1105" s="1299"/>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2.95" customHeight="1">
      <c r="A1106" s="1296" t="s">
        <v>589</v>
      </c>
      <c r="B1106" s="1296"/>
      <c r="C1106" s="1297">
        <v>9</v>
      </c>
      <c r="D1106" s="1297"/>
      <c r="E1106" s="1301" t="s">
        <v>1073</v>
      </c>
      <c r="F1106" s="1301"/>
      <c r="G1106" s="1301"/>
      <c r="H1106" s="1301"/>
      <c r="I1106" s="1301"/>
      <c r="J1106" s="1301"/>
      <c r="K1106" s="1301"/>
      <c r="L1106" s="1301"/>
      <c r="M1106" s="1301"/>
      <c r="N1106" s="1301"/>
      <c r="O1106" s="1301"/>
      <c r="P1106" s="1301"/>
      <c r="Q1106" s="1301"/>
      <c r="R1106" s="1301"/>
      <c r="S1106" s="1301"/>
      <c r="T1106" s="1301"/>
      <c r="U1106" s="1301"/>
      <c r="V1106" s="1301"/>
      <c r="W1106" s="1301"/>
      <c r="X1106" s="1301"/>
      <c r="Y1106" s="1301"/>
      <c r="Z1106" s="1301"/>
      <c r="AA1106" s="1301"/>
      <c r="AB1106" s="1301"/>
      <c r="AC1106" s="1301"/>
      <c r="AD1106" s="1301"/>
      <c r="AE1106" s="1301"/>
      <c r="AF1106" s="1301"/>
      <c r="AG1106" s="1301"/>
      <c r="AH1106" s="1301"/>
      <c r="AI1106" s="1301"/>
      <c r="AJ1106" s="1301"/>
      <c r="AK1106" s="1301"/>
      <c r="AL1106" s="1301"/>
      <c r="AM1106" s="1301"/>
      <c r="AN1106" s="1301"/>
      <c r="AO1106" s="1301"/>
      <c r="AP1106" s="1301"/>
      <c r="AQ1106" s="1301"/>
      <c r="AR1106" s="1301"/>
    </row>
    <row r="1107" spans="1:44" ht="12.95" customHeight="1">
      <c r="A1107" s="1"/>
      <c r="B1107" s="1"/>
      <c r="C1107" s="1297"/>
      <c r="D1107" s="1297"/>
      <c r="E1107" s="1301"/>
      <c r="F1107" s="1301"/>
      <c r="G1107" s="1301"/>
      <c r="H1107" s="1301"/>
      <c r="I1107" s="1301"/>
      <c r="J1107" s="1301"/>
      <c r="K1107" s="1301"/>
      <c r="L1107" s="1301"/>
      <c r="M1107" s="1301"/>
      <c r="N1107" s="1301"/>
      <c r="O1107" s="1301"/>
      <c r="P1107" s="1301"/>
      <c r="Q1107" s="1301"/>
      <c r="R1107" s="1301"/>
      <c r="S1107" s="1301"/>
      <c r="T1107" s="1301"/>
      <c r="U1107" s="1301"/>
      <c r="V1107" s="1301"/>
      <c r="W1107" s="1301"/>
      <c r="X1107" s="1301"/>
      <c r="Y1107" s="1301"/>
      <c r="Z1107" s="1301"/>
      <c r="AA1107" s="1301"/>
      <c r="AB1107" s="1301"/>
      <c r="AC1107" s="1301"/>
      <c r="AD1107" s="1301"/>
      <c r="AE1107" s="1301"/>
      <c r="AF1107" s="1301"/>
      <c r="AG1107" s="1301"/>
      <c r="AH1107" s="1301"/>
      <c r="AI1107" s="1301"/>
      <c r="AJ1107" s="1301"/>
      <c r="AK1107" s="1301"/>
      <c r="AL1107" s="1301"/>
      <c r="AM1107" s="1301"/>
      <c r="AN1107" s="1301"/>
      <c r="AO1107" s="1301"/>
      <c r="AP1107" s="1301"/>
      <c r="AQ1107" s="1301"/>
      <c r="AR1107" s="1301"/>
    </row>
    <row r="1108" spans="1:44" ht="12.95" customHeight="1">
      <c r="A1108" s="35"/>
      <c r="B1108" s="25"/>
      <c r="C1108" s="1297"/>
      <c r="D1108" s="1297"/>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2.95" customHeight="1">
      <c r="A1109" s="1296" t="s">
        <v>589</v>
      </c>
      <c r="B1109" s="1296"/>
      <c r="C1109" s="1297">
        <v>10</v>
      </c>
      <c r="D1109" s="1297"/>
      <c r="E1109" s="1298" t="s">
        <v>2185</v>
      </c>
      <c r="F1109" s="1298"/>
      <c r="G1109" s="1298"/>
      <c r="H1109" s="1298"/>
      <c r="I1109" s="1298"/>
      <c r="J1109" s="1298"/>
      <c r="K1109" s="1298"/>
      <c r="L1109" s="1298"/>
      <c r="M1109" s="1298"/>
      <c r="N1109" s="1298"/>
      <c r="O1109" s="1298"/>
      <c r="P1109" s="1298"/>
      <c r="Q1109" s="1298"/>
      <c r="R1109" s="1298"/>
      <c r="S1109" s="1298"/>
      <c r="T1109" s="1298"/>
      <c r="U1109" s="1298"/>
      <c r="V1109" s="1298"/>
      <c r="W1109" s="1298"/>
      <c r="X1109" s="1298"/>
      <c r="Y1109" s="1298"/>
      <c r="Z1109" s="1298"/>
      <c r="AA1109" s="1298"/>
      <c r="AB1109" s="1298"/>
      <c r="AC1109" s="1298"/>
      <c r="AD1109" s="1298"/>
      <c r="AE1109" s="1298"/>
      <c r="AF1109" s="1298"/>
      <c r="AG1109" s="1298"/>
      <c r="AH1109" s="1298"/>
      <c r="AI1109" s="1298"/>
      <c r="AJ1109" s="1298"/>
      <c r="AK1109" s="1298"/>
      <c r="AL1109" s="1298"/>
      <c r="AM1109" s="1298"/>
      <c r="AN1109" s="1298"/>
      <c r="AO1109" s="1298"/>
      <c r="AP1109" s="1298"/>
      <c r="AQ1109" s="1298"/>
      <c r="AR1109" s="1298"/>
    </row>
    <row r="1110" spans="1:44" ht="12.95" customHeight="1">
      <c r="A1110" s="1"/>
      <c r="B1110" s="1"/>
      <c r="C1110" s="199"/>
      <c r="D1110" s="1149"/>
      <c r="E1110" s="1298"/>
      <c r="F1110" s="1298"/>
      <c r="G1110" s="1298"/>
      <c r="H1110" s="1298"/>
      <c r="I1110" s="1298"/>
      <c r="J1110" s="1298"/>
      <c r="K1110" s="1298"/>
      <c r="L1110" s="1298"/>
      <c r="M1110" s="1298"/>
      <c r="N1110" s="1298"/>
      <c r="O1110" s="1298"/>
      <c r="P1110" s="1298"/>
      <c r="Q1110" s="1298"/>
      <c r="R1110" s="1298"/>
      <c r="S1110" s="1298"/>
      <c r="T1110" s="1298"/>
      <c r="U1110" s="1298"/>
      <c r="V1110" s="1298"/>
      <c r="W1110" s="1298"/>
      <c r="X1110" s="1298"/>
      <c r="Y1110" s="1298"/>
      <c r="Z1110" s="1298"/>
      <c r="AA1110" s="1298"/>
      <c r="AB1110" s="1298"/>
      <c r="AC1110" s="1298"/>
      <c r="AD1110" s="1298"/>
      <c r="AE1110" s="1298"/>
      <c r="AF1110" s="1298"/>
      <c r="AG1110" s="1298"/>
      <c r="AH1110" s="1298"/>
      <c r="AI1110" s="1298"/>
      <c r="AJ1110" s="1298"/>
      <c r="AK1110" s="1298"/>
      <c r="AL1110" s="1298"/>
      <c r="AM1110" s="1298"/>
      <c r="AN1110" s="1298"/>
      <c r="AO1110" s="1298"/>
      <c r="AP1110" s="1298"/>
      <c r="AQ1110" s="1298"/>
      <c r="AR1110" s="1298"/>
    </row>
    <row r="1111" spans="1:44" ht="12.95"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2.95" customHeight="1">
      <c r="A1112" s="1296" t="s">
        <v>589</v>
      </c>
      <c r="B1112" s="1296"/>
      <c r="C1112" s="1297">
        <v>11</v>
      </c>
      <c r="D1112" s="1297"/>
      <c r="E1112" s="1298" t="s">
        <v>2186</v>
      </c>
      <c r="F1112" s="1298"/>
      <c r="G1112" s="1298"/>
      <c r="H1112" s="1298"/>
      <c r="I1112" s="1298"/>
      <c r="J1112" s="1298"/>
      <c r="K1112" s="1298"/>
      <c r="L1112" s="1298"/>
      <c r="M1112" s="1298"/>
      <c r="N1112" s="1298"/>
      <c r="O1112" s="1298"/>
      <c r="P1112" s="1298"/>
      <c r="Q1112" s="1298"/>
      <c r="R1112" s="1298"/>
      <c r="S1112" s="1298"/>
      <c r="T1112" s="1298"/>
      <c r="U1112" s="1298"/>
      <c r="V1112" s="1298"/>
      <c r="W1112" s="1298"/>
      <c r="X1112" s="1298"/>
      <c r="Y1112" s="1298"/>
      <c r="Z1112" s="1298"/>
      <c r="AA1112" s="1298"/>
      <c r="AB1112" s="1298"/>
      <c r="AC1112" s="1298"/>
      <c r="AD1112" s="1298"/>
      <c r="AE1112" s="1298"/>
      <c r="AF1112" s="1298"/>
      <c r="AG1112" s="1298"/>
      <c r="AH1112" s="1298"/>
      <c r="AI1112" s="1298"/>
      <c r="AJ1112" s="1298"/>
      <c r="AK1112" s="1298"/>
      <c r="AL1112" s="1298"/>
      <c r="AM1112" s="1298"/>
      <c r="AN1112" s="1298"/>
      <c r="AO1112" s="1298"/>
      <c r="AP1112" s="1298"/>
      <c r="AQ1112" s="1298"/>
      <c r="AR1112" s="1298"/>
    </row>
    <row r="1113" spans="1:44" ht="12.95" customHeight="1">
      <c r="A1113" s="1"/>
      <c r="B1113" s="1"/>
      <c r="C1113" s="199"/>
      <c r="D1113" s="1149"/>
      <c r="E1113" s="1298"/>
      <c r="F1113" s="1298"/>
      <c r="G1113" s="1298"/>
      <c r="H1113" s="1298"/>
      <c r="I1113" s="1298"/>
      <c r="J1113" s="1298"/>
      <c r="K1113" s="1298"/>
      <c r="L1113" s="1298"/>
      <c r="M1113" s="1298"/>
      <c r="N1113" s="1298"/>
      <c r="O1113" s="1298"/>
      <c r="P1113" s="1298"/>
      <c r="Q1113" s="1298"/>
      <c r="R1113" s="1298"/>
      <c r="S1113" s="1298"/>
      <c r="T1113" s="1298"/>
      <c r="U1113" s="1298"/>
      <c r="V1113" s="1298"/>
      <c r="W1113" s="1298"/>
      <c r="X1113" s="1298"/>
      <c r="Y1113" s="1298"/>
      <c r="Z1113" s="1298"/>
      <c r="AA1113" s="1298"/>
      <c r="AB1113" s="1298"/>
      <c r="AC1113" s="1298"/>
      <c r="AD1113" s="1298"/>
      <c r="AE1113" s="1298"/>
      <c r="AF1113" s="1298"/>
      <c r="AG1113" s="1298"/>
      <c r="AH1113" s="1298"/>
      <c r="AI1113" s="1298"/>
      <c r="AJ1113" s="1298"/>
      <c r="AK1113" s="1298"/>
      <c r="AL1113" s="1298"/>
      <c r="AM1113" s="1298"/>
      <c r="AN1113" s="1298"/>
      <c r="AO1113" s="1298"/>
      <c r="AP1113" s="1298"/>
      <c r="AQ1113" s="1298"/>
      <c r="AR1113" s="1298"/>
    </row>
    <row r="1114" spans="1:44" ht="12.95"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2.95"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2.95"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2.95"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2.95"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2.95"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2.95"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2.95"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2.95"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2.95"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2.95"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2.95"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2.95"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2.95"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2.95"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2.95"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2.95"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2.95"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296" t="s">
        <v>589</v>
      </c>
      <c r="B1134" s="1296"/>
      <c r="C1134" s="199">
        <v>9</v>
      </c>
      <c r="D1134" s="1435" t="s">
        <v>1072</v>
      </c>
      <c r="E1134" s="1435"/>
      <c r="F1134" s="1435"/>
      <c r="G1134" s="1435"/>
      <c r="H1134" s="1435"/>
      <c r="I1134" s="1435"/>
      <c r="J1134" s="1435"/>
      <c r="K1134" s="1435"/>
      <c r="L1134" s="1435"/>
      <c r="M1134" s="1435"/>
      <c r="N1134" s="1435"/>
      <c r="O1134" s="1435"/>
      <c r="P1134" s="1435"/>
      <c r="Q1134" s="1435"/>
      <c r="R1134" s="1435"/>
      <c r="S1134" s="1435"/>
      <c r="T1134" s="1435"/>
      <c r="U1134" s="1435"/>
      <c r="V1134" s="1435"/>
      <c r="W1134" s="1435"/>
      <c r="X1134" s="1435"/>
      <c r="Y1134" s="1435"/>
      <c r="Z1134" s="1435"/>
      <c r="AA1134" s="1435"/>
      <c r="AB1134" s="1435"/>
      <c r="AC1134" s="1435"/>
      <c r="AD1134" s="1435"/>
      <c r="AE1134" s="1435"/>
      <c r="AF1134" s="1435"/>
      <c r="AG1134" s="1435"/>
      <c r="AH1134" s="1435"/>
      <c r="AI1134" s="1435"/>
      <c r="AJ1134" s="1435"/>
      <c r="AK1134" s="1435"/>
    </row>
    <row r="1135" spans="1:37" ht="0" hidden="1" customHeight="1">
      <c r="A1135" s="35"/>
      <c r="B1135" s="25"/>
      <c r="C1135" s="199"/>
      <c r="D1135" s="1435"/>
      <c r="E1135" s="1435"/>
      <c r="F1135" s="1435"/>
      <c r="G1135" s="1435"/>
      <c r="H1135" s="1435"/>
      <c r="I1135" s="1435"/>
      <c r="J1135" s="1435"/>
      <c r="K1135" s="1435"/>
      <c r="L1135" s="1435"/>
      <c r="M1135" s="1435"/>
      <c r="N1135" s="1435"/>
      <c r="O1135" s="1435"/>
      <c r="P1135" s="1435"/>
      <c r="Q1135" s="1435"/>
      <c r="R1135" s="1435"/>
      <c r="S1135" s="1435"/>
      <c r="T1135" s="1435"/>
      <c r="U1135" s="1435"/>
      <c r="V1135" s="1435"/>
      <c r="W1135" s="1435"/>
      <c r="X1135" s="1435"/>
      <c r="Y1135" s="1435"/>
      <c r="Z1135" s="1435"/>
      <c r="AA1135" s="1435"/>
      <c r="AB1135" s="1435"/>
      <c r="AC1135" s="1435"/>
      <c r="AD1135" s="1435"/>
      <c r="AE1135" s="1435"/>
      <c r="AF1135" s="1435"/>
      <c r="AG1135" s="1435"/>
      <c r="AH1135" s="1435"/>
      <c r="AI1135" s="1435"/>
      <c r="AJ1135" s="1435"/>
      <c r="AK1135" s="1435"/>
    </row>
    <row r="1136" spans="1:37" ht="0" hidden="1" customHeight="1">
      <c r="D1136" s="1435"/>
      <c r="E1136" s="1435"/>
      <c r="F1136" s="1435"/>
      <c r="G1136" s="1435"/>
      <c r="H1136" s="1435"/>
      <c r="I1136" s="1435"/>
      <c r="J1136" s="1435"/>
      <c r="K1136" s="1435"/>
      <c r="L1136" s="1435"/>
      <c r="M1136" s="1435"/>
      <c r="N1136" s="1435"/>
      <c r="O1136" s="1435"/>
      <c r="P1136" s="1435"/>
      <c r="Q1136" s="1435"/>
      <c r="R1136" s="1435"/>
      <c r="S1136" s="1435"/>
      <c r="T1136" s="1435"/>
      <c r="U1136" s="1435"/>
      <c r="V1136" s="1435"/>
      <c r="W1136" s="1435"/>
      <c r="X1136" s="1435"/>
      <c r="Y1136" s="1435"/>
      <c r="Z1136" s="1435"/>
      <c r="AA1136" s="1435"/>
      <c r="AB1136" s="1435"/>
      <c r="AC1136" s="1435"/>
      <c r="AD1136" s="1435"/>
      <c r="AE1136" s="1435"/>
      <c r="AF1136" s="1435"/>
      <c r="AG1136" s="1435"/>
      <c r="AH1136" s="1435"/>
      <c r="AI1136" s="1435"/>
      <c r="AJ1136" s="1435"/>
      <c r="AK1136" s="1435"/>
    </row>
    <row r="1146" ht="15" hidden="1" customHeight="1"/>
    <row r="2026" ht="9.9499999999999993" hidden="1" customHeight="1"/>
  </sheetData>
  <sheetProtection algorithmName="SHA-512" hashValue="8GJZFSp5rgfxzrmurUSfYD+C7+AcGk1P07fYfpAWYbU7qGv3z/RiEcIjKVY70WMvPS7uDRHfRBE1t1k4Du0hWg==" saltValue="8Dd6d1rtQ+uV8f8Co++IYw=="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77">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O800:DS800"/>
    <mergeCell ref="EO805:ES805"/>
    <mergeCell ref="DZ795:ED795"/>
    <mergeCell ref="DZ796:ED796"/>
    <mergeCell ref="DZ797:ED797"/>
    <mergeCell ref="DZ798:ED798"/>
    <mergeCell ref="DZ799:ED799"/>
    <mergeCell ref="DZ800:ED800"/>
    <mergeCell ref="DZ801:ED801"/>
    <mergeCell ref="DZ802:ED802"/>
    <mergeCell ref="DZ803:ED80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5:DY795"/>
    <mergeCell ref="DU796:DY796"/>
    <mergeCell ref="DU797:DY797"/>
    <mergeCell ref="DU798:DY798"/>
    <mergeCell ref="DU799:DY799"/>
    <mergeCell ref="DU800:DY800"/>
    <mergeCell ref="CZ804:DD804"/>
    <mergeCell ref="CZ805:DD805"/>
    <mergeCell ref="DE801:DI801"/>
    <mergeCell ref="DU804:DY804"/>
    <mergeCell ref="DE797:DI797"/>
    <mergeCell ref="DE800:DI800"/>
    <mergeCell ref="CZ752:DD752"/>
    <mergeCell ref="CP805:CT805"/>
    <mergeCell ref="CK759:CL759"/>
    <mergeCell ref="CP783:CT783"/>
    <mergeCell ref="CP784:CT784"/>
    <mergeCell ref="CP785:CT785"/>
    <mergeCell ref="DO799:DS799"/>
    <mergeCell ref="DO801:DS801"/>
    <mergeCell ref="DE803:DI803"/>
    <mergeCell ref="DE802:DI802"/>
    <mergeCell ref="DE804:DI804"/>
    <mergeCell ref="CU759:CY759"/>
    <mergeCell ref="DE805:DI805"/>
    <mergeCell ref="DJ795:DN795"/>
    <mergeCell ref="DJ796:DN796"/>
    <mergeCell ref="DJ797:DN797"/>
    <mergeCell ref="DJ798:DN798"/>
    <mergeCell ref="DJ799:DN799"/>
    <mergeCell ref="DJ800:DN800"/>
    <mergeCell ref="DJ801:DN801"/>
    <mergeCell ref="DJ802:DN802"/>
    <mergeCell ref="DJ803:DN803"/>
    <mergeCell ref="DJ804:DN804"/>
    <mergeCell ref="DJ805:DN805"/>
    <mergeCell ref="DO795:DS795"/>
    <mergeCell ref="DO802:DS802"/>
    <mergeCell ref="DO803:DS803"/>
    <mergeCell ref="DO804:DS804"/>
    <mergeCell ref="DO805:DS805"/>
    <mergeCell ref="DO755:DS755"/>
    <mergeCell ref="DO783:DS783"/>
    <mergeCell ref="DE726:DI726"/>
    <mergeCell ref="CK726:CL726"/>
    <mergeCell ref="CU795:CY795"/>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CZ803:DD803"/>
    <mergeCell ref="CP756:CT756"/>
    <mergeCell ref="CM761:CN761"/>
    <mergeCell ref="DE795:DI795"/>
    <mergeCell ref="DE796:DI796"/>
    <mergeCell ref="DE798:DI798"/>
    <mergeCell ref="DE799:DI799"/>
    <mergeCell ref="CP802:CT802"/>
    <mergeCell ref="CP803:CT803"/>
    <mergeCell ref="CK727:CL727"/>
    <mergeCell ref="CK736:CL736"/>
    <mergeCell ref="O791:S794"/>
    <mergeCell ref="AK754:AO754"/>
    <mergeCell ref="X796:AB796"/>
    <mergeCell ref="CK758:CL758"/>
    <mergeCell ref="CM758:CN758"/>
    <mergeCell ref="CG755:CH755"/>
    <mergeCell ref="CI755:CJ755"/>
    <mergeCell ref="CK755:CL755"/>
    <mergeCell ref="CM755:CN755"/>
    <mergeCell ref="CK760:CL760"/>
    <mergeCell ref="CZ760:DD760"/>
    <mergeCell ref="CP781:CT781"/>
    <mergeCell ref="CP759:CT759"/>
    <mergeCell ref="CM759:CN759"/>
    <mergeCell ref="AK756:AO756"/>
    <mergeCell ref="AC758:AG758"/>
    <mergeCell ref="AC759:AG759"/>
    <mergeCell ref="T756:W756"/>
    <mergeCell ref="X755:AB755"/>
    <mergeCell ref="AH760:AJ760"/>
    <mergeCell ref="X754:AB754"/>
    <mergeCell ref="CK754:CL754"/>
    <mergeCell ref="CM754:CN754"/>
    <mergeCell ref="CI760:CJ760"/>
    <mergeCell ref="AK755:AO755"/>
    <mergeCell ref="CU755:CY755"/>
    <mergeCell ref="CU756:CY756"/>
    <mergeCell ref="O759:S759"/>
    <mergeCell ref="AK758:AO758"/>
    <mergeCell ref="CP758:CT758"/>
    <mergeCell ref="CU758:CY758"/>
    <mergeCell ref="CG748:CH748"/>
    <mergeCell ref="CK745:CL745"/>
    <mergeCell ref="CI754:CJ754"/>
    <mergeCell ref="CG747:CH747"/>
    <mergeCell ref="CP748:CT748"/>
    <mergeCell ref="CG749:CH749"/>
    <mergeCell ref="CK743:CL743"/>
    <mergeCell ref="CP753:CT753"/>
    <mergeCell ref="CZ745:DD745"/>
    <mergeCell ref="CP752:CT752"/>
    <mergeCell ref="CP755:CT755"/>
    <mergeCell ref="CG756:CH756"/>
    <mergeCell ref="CP741:CT741"/>
    <mergeCell ref="T797:W797"/>
    <mergeCell ref="AH755:AJ755"/>
    <mergeCell ref="AH756:AJ756"/>
    <mergeCell ref="AH758:AJ758"/>
    <mergeCell ref="CZ781:DD781"/>
    <mergeCell ref="CI759:CJ759"/>
    <mergeCell ref="CG753:CH753"/>
    <mergeCell ref="CI753:CJ753"/>
    <mergeCell ref="X784:AB784"/>
    <mergeCell ref="CI758:CJ758"/>
    <mergeCell ref="CU781:CY781"/>
    <mergeCell ref="CZ759:DD759"/>
    <mergeCell ref="AK759:AO759"/>
    <mergeCell ref="T746:W746"/>
    <mergeCell ref="CU783:CY783"/>
    <mergeCell ref="CU784:CY784"/>
    <mergeCell ref="FT761:FX761"/>
    <mergeCell ref="FY761:GC761"/>
    <mergeCell ref="FE755:FI755"/>
    <mergeCell ref="FT757:FX757"/>
    <mergeCell ref="FJ755:FN755"/>
    <mergeCell ref="FO755:FS755"/>
    <mergeCell ref="DO758:DS758"/>
    <mergeCell ref="DJ753:DN753"/>
    <mergeCell ref="DO753:DS753"/>
    <mergeCell ref="CG752:CH752"/>
    <mergeCell ref="CI752:CJ752"/>
    <mergeCell ref="CG758:CH758"/>
    <mergeCell ref="CU750:CY750"/>
    <mergeCell ref="CZ750:DD750"/>
    <mergeCell ref="CK751:CL751"/>
    <mergeCell ref="CM751:CN751"/>
    <mergeCell ref="DE750:DI750"/>
    <mergeCell ref="CZ758:DD758"/>
    <mergeCell ref="CK756:CL756"/>
    <mergeCell ref="CM756:CN756"/>
    <mergeCell ref="CG757:CH757"/>
    <mergeCell ref="CP754:CT754"/>
    <mergeCell ref="CU754:CY754"/>
    <mergeCell ref="CI756:CJ756"/>
    <mergeCell ref="CZ755:DD755"/>
    <mergeCell ref="DE755:DI755"/>
    <mergeCell ref="CG750:CH750"/>
    <mergeCell ref="CK750:CL750"/>
    <mergeCell ref="DE752:DI752"/>
    <mergeCell ref="CM750:CN750"/>
    <mergeCell ref="CZ757:DD757"/>
    <mergeCell ref="CZ756:DD756"/>
    <mergeCell ref="FO761:FS761"/>
    <mergeCell ref="FE756:FI756"/>
    <mergeCell ref="FJ756:FN756"/>
    <mergeCell ref="FO756:FS756"/>
    <mergeCell ref="EZ753:FD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J749:EN749"/>
    <mergeCell ref="EO749:ES749"/>
    <mergeCell ref="FJ761:FN761"/>
    <mergeCell ref="FO758:FS758"/>
    <mergeCell ref="FE761:FI761"/>
    <mergeCell ref="EE758:EI758"/>
    <mergeCell ref="EJ758:EN758"/>
    <mergeCell ref="EO758:ES758"/>
    <mergeCell ref="ET758:EX758"/>
    <mergeCell ref="ET760:EX760"/>
    <mergeCell ref="EO759:ES759"/>
    <mergeCell ref="EZ760:FD760"/>
    <mergeCell ref="ET761:EX761"/>
    <mergeCell ref="DU753:DY753"/>
    <mergeCell ref="EJ753:EN753"/>
    <mergeCell ref="EZ749:FD749"/>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C666:EG666"/>
    <mergeCell ref="EH666:EL666"/>
    <mergeCell ref="EM666:EQ666"/>
    <mergeCell ref="EC673:EG673"/>
    <mergeCell ref="EH673:EL673"/>
    <mergeCell ref="EM673:EQ673"/>
    <mergeCell ref="ER673:EV673"/>
    <mergeCell ref="EW673:FA673"/>
    <mergeCell ref="ER667:EV667"/>
    <mergeCell ref="EW667:FA667"/>
    <mergeCell ref="FY754:GC754"/>
    <mergeCell ref="EZ755:FD755"/>
    <mergeCell ref="FY756:GC756"/>
    <mergeCell ref="FT755:FX755"/>
    <mergeCell ref="DX668:EB668"/>
    <mergeCell ref="EC668:EG668"/>
    <mergeCell ref="EZ756:FD756"/>
    <mergeCell ref="ET757:EX757"/>
    <mergeCell ref="ET753:EX753"/>
    <mergeCell ref="DU754:DY754"/>
    <mergeCell ref="DZ754:ED754"/>
    <mergeCell ref="EE754:EI754"/>
    <mergeCell ref="EJ754:EN754"/>
    <mergeCell ref="EO754:ES754"/>
    <mergeCell ref="ET754:EX754"/>
    <mergeCell ref="DU755:DY755"/>
    <mergeCell ref="DZ755:ED755"/>
    <mergeCell ref="ET750:EX750"/>
    <mergeCell ref="ET752:EX752"/>
    <mergeCell ref="EZ751:FD751"/>
    <mergeCell ref="DU751:DY751"/>
    <mergeCell ref="DZ751:ED751"/>
    <mergeCell ref="EE751:EI751"/>
    <mergeCell ref="EJ751:EN751"/>
    <mergeCell ref="EO751:ES751"/>
    <mergeCell ref="ET751:EX751"/>
    <mergeCell ref="DU752:DY752"/>
    <mergeCell ref="DZ752:ED752"/>
    <mergeCell ref="AM565:AS565"/>
    <mergeCell ref="CK752:CL752"/>
    <mergeCell ref="CM752:CN752"/>
    <mergeCell ref="CG746:CH746"/>
    <mergeCell ref="CK747:CL747"/>
    <mergeCell ref="CI750:CJ750"/>
    <mergeCell ref="CP728:CT728"/>
    <mergeCell ref="CU728:CY728"/>
    <mergeCell ref="CU731:CY731"/>
    <mergeCell ref="DE735:DI735"/>
    <mergeCell ref="CZ749:DD749"/>
    <mergeCell ref="CU741:CY741"/>
    <mergeCell ref="CZ748:DD748"/>
    <mergeCell ref="CU749:CY749"/>
    <mergeCell ref="CZ747:DD747"/>
    <mergeCell ref="CK742:CL742"/>
    <mergeCell ref="AM568:AS568"/>
    <mergeCell ref="CK733:CL733"/>
    <mergeCell ref="CG741:CH741"/>
    <mergeCell ref="CI742:CJ742"/>
    <mergeCell ref="CI727:CJ727"/>
    <mergeCell ref="CM747:CN747"/>
    <mergeCell ref="CI745:CJ745"/>
    <mergeCell ref="CK746:CL746"/>
    <mergeCell ref="DE740:DI740"/>
    <mergeCell ref="CZ730:DD730"/>
    <mergeCell ref="CZ732:DD732"/>
    <mergeCell ref="AO647:AS647"/>
    <mergeCell ref="CP730:CT730"/>
    <mergeCell ref="CP726:CT726"/>
    <mergeCell ref="CI726:CJ726"/>
    <mergeCell ref="CI732:CJ732"/>
    <mergeCell ref="EW644:FA644"/>
    <mergeCell ref="ER645:EV645"/>
    <mergeCell ref="EM667:EQ667"/>
    <mergeCell ref="AO637:AS637"/>
    <mergeCell ref="AO646:AS646"/>
    <mergeCell ref="CU730:CY730"/>
    <mergeCell ref="DU749:DY749"/>
    <mergeCell ref="DZ749:ED749"/>
    <mergeCell ref="CP742:CT742"/>
    <mergeCell ref="Z578:AK578"/>
    <mergeCell ref="AI571:AL571"/>
    <mergeCell ref="Z571:AD571"/>
    <mergeCell ref="CZ733:DD733"/>
    <mergeCell ref="CP736:CT736"/>
    <mergeCell ref="CP732:CT732"/>
    <mergeCell ref="CP735:CT735"/>
    <mergeCell ref="CZ743:DD743"/>
    <mergeCell ref="CU742:CY742"/>
    <mergeCell ref="CP744:CT744"/>
    <mergeCell ref="CM745:CN745"/>
    <mergeCell ref="CU745:CY745"/>
    <mergeCell ref="CZ746:DD746"/>
    <mergeCell ref="CI746:CJ746"/>
    <mergeCell ref="CK749:CL749"/>
    <mergeCell ref="CM749:CN749"/>
    <mergeCell ref="ER666:EV666"/>
    <mergeCell ref="CZ738:DD738"/>
    <mergeCell ref="Z593:AK593"/>
    <mergeCell ref="EM671:EQ671"/>
    <mergeCell ref="ER671:EV671"/>
    <mergeCell ref="EW671:FA671"/>
    <mergeCell ref="EC667:EG667"/>
    <mergeCell ref="G687:L687"/>
    <mergeCell ref="O727:S727"/>
    <mergeCell ref="AI687:AK687"/>
    <mergeCell ref="AH727:AJ727"/>
    <mergeCell ref="X730:AB730"/>
    <mergeCell ref="AE706:AI706"/>
    <mergeCell ref="AC722:AG725"/>
    <mergeCell ref="W644:Y644"/>
    <mergeCell ref="M644:P644"/>
    <mergeCell ref="AA672:AK672"/>
    <mergeCell ref="T643:V643"/>
    <mergeCell ref="K731:N731"/>
    <mergeCell ref="T731:W731"/>
    <mergeCell ref="G730:J730"/>
    <mergeCell ref="K734:N734"/>
    <mergeCell ref="AE704:AI704"/>
    <mergeCell ref="K726:N726"/>
    <mergeCell ref="EE752:EI752"/>
    <mergeCell ref="AK737:AO737"/>
    <mergeCell ref="FE750:FI750"/>
    <mergeCell ref="FJ750:FN750"/>
    <mergeCell ref="FO750:FS750"/>
    <mergeCell ref="CP747:CT747"/>
    <mergeCell ref="CM746:CN746"/>
    <mergeCell ref="CU752:CY752"/>
    <mergeCell ref="CI751:CJ751"/>
    <mergeCell ref="DE749:DI749"/>
    <mergeCell ref="CM739:CN739"/>
    <mergeCell ref="CP750:CT750"/>
    <mergeCell ref="CP751:CT751"/>
    <mergeCell ref="CZ741:DD741"/>
    <mergeCell ref="CZ744:DD744"/>
    <mergeCell ref="CI749:CJ749"/>
    <mergeCell ref="CP749:CT749"/>
    <mergeCell ref="CK744:CL744"/>
    <mergeCell ref="CP746:CT746"/>
    <mergeCell ref="CP737:CT737"/>
    <mergeCell ref="CU738:CY738"/>
    <mergeCell ref="CG745:CH745"/>
    <mergeCell ref="CZ737:DD737"/>
    <mergeCell ref="CZ739:DD739"/>
    <mergeCell ref="DE743:DI743"/>
    <mergeCell ref="CM741:CN741"/>
    <mergeCell ref="CM743:CN743"/>
    <mergeCell ref="CI740:CJ740"/>
    <mergeCell ref="CI741:CJ741"/>
    <mergeCell ref="CK739:CL739"/>
    <mergeCell ref="CK737:CL737"/>
    <mergeCell ref="CZ742:DD742"/>
    <mergeCell ref="DX643:EB643"/>
    <mergeCell ref="DX646:EB646"/>
    <mergeCell ref="EC646:EG646"/>
    <mergeCell ref="EH646:EL646"/>
    <mergeCell ref="EM646:EQ646"/>
    <mergeCell ref="DE751:DI751"/>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G739:J739"/>
    <mergeCell ref="Z565:AD565"/>
    <mergeCell ref="Z567:AD567"/>
    <mergeCell ref="O540:AA540"/>
    <mergeCell ref="AH503:AK503"/>
    <mergeCell ref="D473:V473"/>
    <mergeCell ref="AC517:AF517"/>
    <mergeCell ref="AC527:AF527"/>
    <mergeCell ref="AC531:AF531"/>
    <mergeCell ref="AH537:AK537"/>
    <mergeCell ref="AH542:AK542"/>
    <mergeCell ref="AG459:AJ459"/>
    <mergeCell ref="D475:V475"/>
    <mergeCell ref="Q568:S568"/>
    <mergeCell ref="W475:Y475"/>
    <mergeCell ref="H581:R581"/>
    <mergeCell ref="B574:AL574"/>
    <mergeCell ref="AE568:AH568"/>
    <mergeCell ref="N583:O583"/>
    <mergeCell ref="AG455:AJ455"/>
    <mergeCell ref="AH521:AK521"/>
    <mergeCell ref="CI747:CJ747"/>
    <mergeCell ref="Z577:AK577"/>
    <mergeCell ref="AH523:AK523"/>
    <mergeCell ref="AH511:AK511"/>
    <mergeCell ref="AC508:AF508"/>
    <mergeCell ref="AH540:AK540"/>
    <mergeCell ref="AC530:AF530"/>
    <mergeCell ref="T562:V562"/>
    <mergeCell ref="AC532:AF532"/>
    <mergeCell ref="AH514:AK514"/>
    <mergeCell ref="AH516:AK516"/>
    <mergeCell ref="AC548:AF548"/>
    <mergeCell ref="AC516:AF516"/>
    <mergeCell ref="AH545:AK545"/>
    <mergeCell ref="AC542:AF542"/>
    <mergeCell ref="AH550:AK550"/>
    <mergeCell ref="AH515:AK515"/>
    <mergeCell ref="AM563:AS563"/>
    <mergeCell ref="T732:W732"/>
    <mergeCell ref="AM559:AS561"/>
    <mergeCell ref="AH730:AJ730"/>
    <mergeCell ref="Z595:AK595"/>
    <mergeCell ref="AI580:AK580"/>
    <mergeCell ref="T572:V572"/>
    <mergeCell ref="AM562:AS562"/>
    <mergeCell ref="AC464:AF464"/>
    <mergeCell ref="D474:V474"/>
    <mergeCell ref="Q499:AK499"/>
    <mergeCell ref="Z570:AD570"/>
    <mergeCell ref="M565:P565"/>
    <mergeCell ref="AH538:AK538"/>
    <mergeCell ref="Z564:AD564"/>
    <mergeCell ref="AI568:AL568"/>
    <mergeCell ref="AE563:AH563"/>
    <mergeCell ref="AH547:AK547"/>
    <mergeCell ref="AH549:AK549"/>
    <mergeCell ref="AC543:AF543"/>
    <mergeCell ref="AI562:AL562"/>
    <mergeCell ref="AI566:AL566"/>
    <mergeCell ref="AH530:AK530"/>
    <mergeCell ref="M559:P561"/>
    <mergeCell ref="AC544:AF544"/>
    <mergeCell ref="T559:V561"/>
    <mergeCell ref="W559:Y561"/>
    <mergeCell ref="Q565:S565"/>
    <mergeCell ref="C564:L564"/>
    <mergeCell ref="M564:P564"/>
    <mergeCell ref="C567:L567"/>
    <mergeCell ref="B559:L561"/>
    <mergeCell ref="AE559:AH561"/>
    <mergeCell ref="AI559:AL561"/>
    <mergeCell ref="C568:L568"/>
    <mergeCell ref="T563:V563"/>
    <mergeCell ref="W567:Y567"/>
    <mergeCell ref="Z559:AD561"/>
    <mergeCell ref="AH526:AK526"/>
    <mergeCell ref="AC522:AF522"/>
    <mergeCell ref="CG732:CH732"/>
    <mergeCell ref="CG738:CH738"/>
    <mergeCell ref="CG736:CH736"/>
    <mergeCell ref="X726:AB726"/>
    <mergeCell ref="CI757:CJ757"/>
    <mergeCell ref="CK757:CL757"/>
    <mergeCell ref="CM757:CN757"/>
    <mergeCell ref="CP757:CT757"/>
    <mergeCell ref="X751:AB751"/>
    <mergeCell ref="X752:AB752"/>
    <mergeCell ref="AH751:AJ751"/>
    <mergeCell ref="AH752:AJ752"/>
    <mergeCell ref="X746:AB746"/>
    <mergeCell ref="X737:AB737"/>
    <mergeCell ref="CG740:CH740"/>
    <mergeCell ref="X750:AB750"/>
    <mergeCell ref="AH750:AJ750"/>
    <mergeCell ref="AK747:AO747"/>
    <mergeCell ref="CM753:CN753"/>
    <mergeCell ref="CG754:CH754"/>
    <mergeCell ref="CI748:CJ748"/>
    <mergeCell ref="CK741:CL741"/>
    <mergeCell ref="AK744:AO744"/>
    <mergeCell ref="X731:AB731"/>
    <mergeCell ref="AK752:AO752"/>
    <mergeCell ref="CK730:CL730"/>
    <mergeCell ref="AK730:AO730"/>
    <mergeCell ref="AK740:AO740"/>
    <mergeCell ref="AK741:AO741"/>
    <mergeCell ref="AK742:AO742"/>
    <mergeCell ref="AK743:AO743"/>
    <mergeCell ref="CM728:CN728"/>
    <mergeCell ref="Q573:S573"/>
    <mergeCell ref="N591:O591"/>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CG739:CH739"/>
    <mergeCell ref="H688:R688"/>
    <mergeCell ref="B731:F731"/>
    <mergeCell ref="AF638:AJ638"/>
    <mergeCell ref="G693:R693"/>
    <mergeCell ref="M643:P643"/>
    <mergeCell ref="G654:R654"/>
    <mergeCell ref="Z660:AK660"/>
    <mergeCell ref="G729:J729"/>
    <mergeCell ref="K737:N737"/>
    <mergeCell ref="B728:F728"/>
    <mergeCell ref="H614:R614"/>
    <mergeCell ref="G618:R618"/>
    <mergeCell ref="B726:F726"/>
    <mergeCell ref="G728:J728"/>
    <mergeCell ref="B729:F729"/>
    <mergeCell ref="AE565:AH565"/>
    <mergeCell ref="O528:AA528"/>
    <mergeCell ref="AH546:AK546"/>
    <mergeCell ref="Q502:AK502"/>
    <mergeCell ref="W478:Y478"/>
    <mergeCell ref="D479:V479"/>
    <mergeCell ref="AH513:AK513"/>
    <mergeCell ref="D480:V480"/>
    <mergeCell ref="W480:Y480"/>
    <mergeCell ref="AH518:AK518"/>
    <mergeCell ref="AC529:AF529"/>
    <mergeCell ref="C562:L562"/>
    <mergeCell ref="AH524:AK524"/>
    <mergeCell ref="W569:Y569"/>
    <mergeCell ref="G694:R694"/>
    <mergeCell ref="C643:L643"/>
    <mergeCell ref="AC545:AF545"/>
    <mergeCell ref="O534:AA534"/>
    <mergeCell ref="AC537:AF537"/>
    <mergeCell ref="D481:V481"/>
    <mergeCell ref="D478:V478"/>
    <mergeCell ref="AC528:AF528"/>
    <mergeCell ref="Q570:S570"/>
    <mergeCell ref="AH527:AK527"/>
    <mergeCell ref="AH544:AK544"/>
    <mergeCell ref="AA581:AK581"/>
    <mergeCell ref="G613:L613"/>
    <mergeCell ref="Z693:AK693"/>
    <mergeCell ref="AC645:AE645"/>
    <mergeCell ref="G621:L621"/>
    <mergeCell ref="AA614:AK614"/>
    <mergeCell ref="M637:P637"/>
    <mergeCell ref="W632:Y634"/>
    <mergeCell ref="W636:Y636"/>
    <mergeCell ref="AG452:AJ452"/>
    <mergeCell ref="AG453:AJ453"/>
    <mergeCell ref="AC549:AF549"/>
    <mergeCell ref="D449:AF449"/>
    <mergeCell ref="W565:Y565"/>
    <mergeCell ref="AC534:AF534"/>
    <mergeCell ref="T564:V564"/>
    <mergeCell ref="O537:AA537"/>
    <mergeCell ref="AH541:AK541"/>
    <mergeCell ref="Q566:S566"/>
    <mergeCell ref="D457:AF457"/>
    <mergeCell ref="AG454:AJ454"/>
    <mergeCell ref="W481:Y481"/>
    <mergeCell ref="AH535:AK535"/>
    <mergeCell ref="Z568:AD568"/>
    <mergeCell ref="T568:V568"/>
    <mergeCell ref="AH525:AK525"/>
    <mergeCell ref="D453:AF453"/>
    <mergeCell ref="D455:AF455"/>
    <mergeCell ref="AC513:AF513"/>
    <mergeCell ref="AC541:AF541"/>
    <mergeCell ref="C566:L566"/>
    <mergeCell ref="Q563:S563"/>
    <mergeCell ref="Q559:S561"/>
    <mergeCell ref="M563:P563"/>
    <mergeCell ref="C563:L563"/>
    <mergeCell ref="AI565:AL565"/>
    <mergeCell ref="Q562:S562"/>
    <mergeCell ref="AC518:AF518"/>
    <mergeCell ref="AH522:AK522"/>
    <mergeCell ref="AH520:AK520"/>
    <mergeCell ref="AH528:AK528"/>
    <mergeCell ref="AI401:AJ401"/>
    <mergeCell ref="AG403:AJ403"/>
    <mergeCell ref="J397:U397"/>
    <mergeCell ref="P427:R427"/>
    <mergeCell ref="M503:P503"/>
    <mergeCell ref="AC509:AF509"/>
    <mergeCell ref="AG447:AJ447"/>
    <mergeCell ref="B509:H510"/>
    <mergeCell ref="O531:AA531"/>
    <mergeCell ref="D458:AF458"/>
    <mergeCell ref="Q399:U399"/>
    <mergeCell ref="I419:AE419"/>
    <mergeCell ref="AG404:AJ404"/>
    <mergeCell ref="M566:P566"/>
    <mergeCell ref="G579:R579"/>
    <mergeCell ref="Q567:S567"/>
    <mergeCell ref="E429:AJ429"/>
    <mergeCell ref="D446:AF446"/>
    <mergeCell ref="D451:AF451"/>
    <mergeCell ref="AF439:AG439"/>
    <mergeCell ref="AG446:AJ446"/>
    <mergeCell ref="AG458:AJ458"/>
    <mergeCell ref="Z563:AD563"/>
    <mergeCell ref="O543:AA543"/>
    <mergeCell ref="AH531:AK531"/>
    <mergeCell ref="AE562:AH562"/>
    <mergeCell ref="I430:K430"/>
    <mergeCell ref="AH532:AK532"/>
    <mergeCell ref="AH533:AK533"/>
    <mergeCell ref="AC515:AF515"/>
    <mergeCell ref="AC535:AF535"/>
    <mergeCell ref="AH529:AK529"/>
    <mergeCell ref="P353:AE353"/>
    <mergeCell ref="AA347:AK347"/>
    <mergeCell ref="H346:R346"/>
    <mergeCell ref="P354:AE354"/>
    <mergeCell ref="R421:S421"/>
    <mergeCell ref="Q438:R438"/>
    <mergeCell ref="H345:R345"/>
    <mergeCell ref="D450:AF450"/>
    <mergeCell ref="N380:Q380"/>
    <mergeCell ref="V391:W391"/>
    <mergeCell ref="J376:K376"/>
    <mergeCell ref="N372:O372"/>
    <mergeCell ref="N381:Q381"/>
    <mergeCell ref="AG388:AH388"/>
    <mergeCell ref="S401:U401"/>
    <mergeCell ref="AG399:AJ399"/>
    <mergeCell ref="Q400:U400"/>
    <mergeCell ref="AA346:AK346"/>
    <mergeCell ref="S414:AJ414"/>
    <mergeCell ref="AC394:AJ394"/>
    <mergeCell ref="S411:U411"/>
    <mergeCell ref="AE411:AJ411"/>
    <mergeCell ref="Z443:AA443"/>
    <mergeCell ref="P433:Q433"/>
    <mergeCell ref="AI398:AJ398"/>
    <mergeCell ref="D447:AF447"/>
    <mergeCell ref="AJ364:AK364"/>
    <mergeCell ref="M367:N367"/>
    <mergeCell ref="S386:T386"/>
    <mergeCell ref="Y373:Z373"/>
    <mergeCell ref="N387:P387"/>
    <mergeCell ref="W427:Y427"/>
    <mergeCell ref="E187:AE188"/>
    <mergeCell ref="AH197:AI197"/>
    <mergeCell ref="Z205:AN205"/>
    <mergeCell ref="A231:AT232"/>
    <mergeCell ref="T200:U200"/>
    <mergeCell ref="X198:AT199"/>
    <mergeCell ref="AH194:AI194"/>
    <mergeCell ref="AC220:AQ220"/>
    <mergeCell ref="D205:M205"/>
    <mergeCell ref="J174:AB174"/>
    <mergeCell ref="V225:W225"/>
    <mergeCell ref="V224:W224"/>
    <mergeCell ref="V226:W226"/>
    <mergeCell ref="V227:W227"/>
    <mergeCell ref="V228:W228"/>
    <mergeCell ref="V229:W229"/>
    <mergeCell ref="O160:T160"/>
    <mergeCell ref="AI178:AK178"/>
    <mergeCell ref="A75:AT77"/>
    <mergeCell ref="A79:AT81"/>
    <mergeCell ref="AB215:AL215"/>
    <mergeCell ref="T198:U198"/>
    <mergeCell ref="Q212:R212"/>
    <mergeCell ref="D214:Z214"/>
    <mergeCell ref="AB216:AL216"/>
    <mergeCell ref="G113:H113"/>
    <mergeCell ref="C115:K115"/>
    <mergeCell ref="O161:AH161"/>
    <mergeCell ref="D164:AH164"/>
    <mergeCell ref="P204:U204"/>
    <mergeCell ref="AH195:AI195"/>
    <mergeCell ref="AH196:AI196"/>
    <mergeCell ref="U176:V176"/>
    <mergeCell ref="A83:AT84"/>
    <mergeCell ref="T199:U199"/>
    <mergeCell ref="D204:M204"/>
    <mergeCell ref="U175:V175"/>
    <mergeCell ref="R177:S177"/>
    <mergeCell ref="D208:M208"/>
    <mergeCell ref="N191:AE192"/>
    <mergeCell ref="D211:M211"/>
    <mergeCell ref="T189:AE189"/>
    <mergeCell ref="Y120:AK120"/>
    <mergeCell ref="J173:S173"/>
    <mergeCell ref="O155:AH155"/>
    <mergeCell ref="O153:AH153"/>
    <mergeCell ref="O154:AH154"/>
    <mergeCell ref="O156:AH156"/>
    <mergeCell ref="O157:X157"/>
    <mergeCell ref="T195:U195"/>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M258:T258"/>
    <mergeCell ref="Z256:AE256"/>
    <mergeCell ref="W254:X254"/>
    <mergeCell ref="U256:W256"/>
    <mergeCell ref="T196:U196"/>
    <mergeCell ref="D220:Z220"/>
    <mergeCell ref="T193:AI193"/>
    <mergeCell ref="AI236:AJ236"/>
    <mergeCell ref="Y123:AK123"/>
    <mergeCell ref="AA258:AK258"/>
    <mergeCell ref="P113:S113"/>
    <mergeCell ref="AF252:AK252"/>
    <mergeCell ref="M243:T243"/>
    <mergeCell ref="W243:X243"/>
    <mergeCell ref="T212:U212"/>
    <mergeCell ref="F150:T150"/>
    <mergeCell ref="AC243:AE243"/>
    <mergeCell ref="M242:AE242"/>
    <mergeCell ref="AI237:AJ237"/>
    <mergeCell ref="O159:T159"/>
    <mergeCell ref="T287:V287"/>
    <mergeCell ref="P300:R300"/>
    <mergeCell ref="AA296:AK296"/>
    <mergeCell ref="P205:U205"/>
    <mergeCell ref="M248:AE248"/>
    <mergeCell ref="AF178:AG178"/>
    <mergeCell ref="I190:N190"/>
    <mergeCell ref="M254:T254"/>
    <mergeCell ref="AC254:AE254"/>
    <mergeCell ref="X176:Y176"/>
    <mergeCell ref="L288:AD288"/>
    <mergeCell ref="AI235:AJ235"/>
    <mergeCell ref="Z264:AE264"/>
    <mergeCell ref="M264:R264"/>
    <mergeCell ref="A291:AT292"/>
    <mergeCell ref="M260:AE260"/>
    <mergeCell ref="X180:Y180"/>
    <mergeCell ref="AP205:AQ205"/>
    <mergeCell ref="M252:AE252"/>
    <mergeCell ref="M247:T247"/>
    <mergeCell ref="T197:U197"/>
    <mergeCell ref="W262:X262"/>
    <mergeCell ref="M261:AE261"/>
    <mergeCell ref="AI238:AJ238"/>
    <mergeCell ref="D279:H279"/>
    <mergeCell ref="X279:AC279"/>
    <mergeCell ref="AA297:AK297"/>
    <mergeCell ref="H296:R296"/>
    <mergeCell ref="U264:W264"/>
    <mergeCell ref="M273:AE273"/>
    <mergeCell ref="AB285:AD285"/>
    <mergeCell ref="AF260:AK260"/>
    <mergeCell ref="M253:AE253"/>
    <mergeCell ref="M256:R256"/>
    <mergeCell ref="AA320:AK320"/>
    <mergeCell ref="AA315:AK315"/>
    <mergeCell ref="AA312:AK312"/>
    <mergeCell ref="H320:R320"/>
    <mergeCell ref="H317:M317"/>
    <mergeCell ref="P316:R316"/>
    <mergeCell ref="H314:R314"/>
    <mergeCell ref="P308:R308"/>
    <mergeCell ref="H302:R302"/>
    <mergeCell ref="Y287:AD287"/>
    <mergeCell ref="AA304:AK304"/>
    <mergeCell ref="AF268:AK268"/>
    <mergeCell ref="AC270:AE270"/>
    <mergeCell ref="M271:AE271"/>
    <mergeCell ref="AA308:AF308"/>
    <mergeCell ref="AH255:AK255"/>
    <mergeCell ref="M257:AE257"/>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AA314:AK314"/>
    <mergeCell ref="AI308:AK308"/>
    <mergeCell ref="U272:W272"/>
    <mergeCell ref="M266:T266"/>
    <mergeCell ref="M265:AE265"/>
    <mergeCell ref="AA317:AF317"/>
    <mergeCell ref="AC262:AE262"/>
    <mergeCell ref="M272:R272"/>
    <mergeCell ref="M274:T274"/>
    <mergeCell ref="H318:R318"/>
    <mergeCell ref="H315:R315"/>
    <mergeCell ref="M263:AE263"/>
    <mergeCell ref="AA299:AK299"/>
    <mergeCell ref="AH271:AK271"/>
    <mergeCell ref="T276:X276"/>
    <mergeCell ref="AA300:AF300"/>
    <mergeCell ref="L285:S285"/>
    <mergeCell ref="L287:Q287"/>
    <mergeCell ref="AA298:AK298"/>
    <mergeCell ref="H316:M316"/>
    <mergeCell ref="H338:R338"/>
    <mergeCell ref="AI300:AK300"/>
    <mergeCell ref="H297:R297"/>
    <mergeCell ref="H324:M324"/>
    <mergeCell ref="H330:R330"/>
    <mergeCell ref="H331:R331"/>
    <mergeCell ref="AA313:AK313"/>
    <mergeCell ref="AA318:AK318"/>
    <mergeCell ref="AA316:AF316"/>
    <mergeCell ref="AA333:AF333"/>
    <mergeCell ref="AA326:AK326"/>
    <mergeCell ref="H306:R306"/>
    <mergeCell ref="AA309:AF309"/>
    <mergeCell ref="AA325:AF325"/>
    <mergeCell ref="AA306:AK306"/>
    <mergeCell ref="AA334:AK334"/>
    <mergeCell ref="AA330:AK330"/>
    <mergeCell ref="H322:R322"/>
    <mergeCell ref="W270:X270"/>
    <mergeCell ref="AI324:AK324"/>
    <mergeCell ref="AA321:AK321"/>
    <mergeCell ref="H339:R339"/>
    <mergeCell ref="AA340:AF340"/>
    <mergeCell ref="P324:R324"/>
    <mergeCell ref="K412:AJ412"/>
    <mergeCell ref="AC395:AJ395"/>
    <mergeCell ref="P340:R340"/>
    <mergeCell ref="H337:R337"/>
    <mergeCell ref="AI332:AK332"/>
    <mergeCell ref="AA329:AK329"/>
    <mergeCell ref="H326:R326"/>
    <mergeCell ref="P332:R332"/>
    <mergeCell ref="AA324:AF324"/>
    <mergeCell ref="AA331:AK331"/>
    <mergeCell ref="H301:M301"/>
    <mergeCell ref="AA307:AK307"/>
    <mergeCell ref="AA301:AF301"/>
    <mergeCell ref="H336:R336"/>
    <mergeCell ref="H323:R323"/>
    <mergeCell ref="H325:M325"/>
    <mergeCell ref="AA328:AK328"/>
    <mergeCell ref="AA332:AF332"/>
    <mergeCell ref="H329:R329"/>
    <mergeCell ref="H305:R305"/>
    <mergeCell ref="H332:M332"/>
    <mergeCell ref="AA339:AK339"/>
    <mergeCell ref="H333:M333"/>
    <mergeCell ref="AA323:AK323"/>
    <mergeCell ref="AA322:AK322"/>
    <mergeCell ref="H328:R328"/>
    <mergeCell ref="AA341:AF341"/>
    <mergeCell ref="AA337:AK337"/>
    <mergeCell ref="AA336:AK336"/>
    <mergeCell ref="H341:M341"/>
    <mergeCell ref="AA338:AK338"/>
    <mergeCell ref="H334:R334"/>
    <mergeCell ref="AC465:AF465"/>
    <mergeCell ref="Q402:U402"/>
    <mergeCell ref="AG389:AH389"/>
    <mergeCell ref="M364:N364"/>
    <mergeCell ref="D448:AF448"/>
    <mergeCell ref="AI406:AJ406"/>
    <mergeCell ref="B511:H516"/>
    <mergeCell ref="D459:AF459"/>
    <mergeCell ref="N379:Q379"/>
    <mergeCell ref="AH508:AK508"/>
    <mergeCell ref="H340:M340"/>
    <mergeCell ref="H350:R350"/>
    <mergeCell ref="H344:R344"/>
    <mergeCell ref="AA342:AK342"/>
    <mergeCell ref="H348:M348"/>
    <mergeCell ref="D477:V477"/>
    <mergeCell ref="V390:W390"/>
    <mergeCell ref="AC512:AF512"/>
    <mergeCell ref="Q403:U403"/>
    <mergeCell ref="AD421:AE421"/>
    <mergeCell ref="H423:AE424"/>
    <mergeCell ref="AE434:AF434"/>
    <mergeCell ref="T408:AJ408"/>
    <mergeCell ref="AI348:AK348"/>
    <mergeCell ref="P357:Z357"/>
    <mergeCell ref="N382:AF383"/>
    <mergeCell ref="AG451:AJ451"/>
    <mergeCell ref="AG386:AH386"/>
    <mergeCell ref="E427:G427"/>
    <mergeCell ref="AD420:AE420"/>
    <mergeCell ref="F436:AH437"/>
    <mergeCell ref="J396:U396"/>
    <mergeCell ref="AA344:AK344"/>
    <mergeCell ref="AC356:AE356"/>
    <mergeCell ref="P352:AE352"/>
    <mergeCell ref="AA349:AF349"/>
    <mergeCell ref="T573:V573"/>
    <mergeCell ref="P355:AE355"/>
    <mergeCell ref="W477:Y477"/>
    <mergeCell ref="Q500:AK500"/>
    <mergeCell ref="AF427:AH427"/>
    <mergeCell ref="AJ366:AK366"/>
    <mergeCell ref="AC511:AF511"/>
    <mergeCell ref="AC521:AF521"/>
    <mergeCell ref="AC538:AF538"/>
    <mergeCell ref="P358:AE358"/>
    <mergeCell ref="P356:Z356"/>
    <mergeCell ref="J395:U395"/>
    <mergeCell ref="T407:AJ407"/>
    <mergeCell ref="AG449:AJ449"/>
    <mergeCell ref="S410:U410"/>
    <mergeCell ref="AG410:AJ410"/>
    <mergeCell ref="AC396:AJ396"/>
    <mergeCell ref="V397:AJ397"/>
    <mergeCell ref="D452:AF452"/>
    <mergeCell ref="E377:AH378"/>
    <mergeCell ref="Q374:AG374"/>
    <mergeCell ref="Z569:AD569"/>
    <mergeCell ref="AG457:AJ457"/>
    <mergeCell ref="AH536:AK536"/>
    <mergeCell ref="M567:P567"/>
    <mergeCell ref="C572:L572"/>
    <mergeCell ref="M365:N365"/>
    <mergeCell ref="B528:H550"/>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P348:R348"/>
    <mergeCell ref="AA350:AK350"/>
    <mergeCell ref="H349:M349"/>
    <mergeCell ref="AJ365:AK365"/>
    <mergeCell ref="AD386:AE386"/>
    <mergeCell ref="AC380:AF380"/>
    <mergeCell ref="AC379:AF379"/>
    <mergeCell ref="V386:W386"/>
    <mergeCell ref="AG448:AJ448"/>
    <mergeCell ref="AE433:AF433"/>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P589:R589"/>
    <mergeCell ref="T570:V570"/>
    <mergeCell ref="Q569:S569"/>
    <mergeCell ref="C570:L570"/>
    <mergeCell ref="W570:Y570"/>
    <mergeCell ref="G580:L580"/>
    <mergeCell ref="Z585:AK585"/>
    <mergeCell ref="Z579:AK579"/>
    <mergeCell ref="AI572:AL572"/>
    <mergeCell ref="T569:V569"/>
    <mergeCell ref="Z609:AK609"/>
    <mergeCell ref="AE569:AH569"/>
    <mergeCell ref="M568:P568"/>
    <mergeCell ref="Q571:S571"/>
    <mergeCell ref="AI573:AL573"/>
    <mergeCell ref="AE570:AH570"/>
    <mergeCell ref="G577:R577"/>
    <mergeCell ref="AG591:AH591"/>
    <mergeCell ref="B737:F737"/>
    <mergeCell ref="B739:F739"/>
    <mergeCell ref="B738:F738"/>
    <mergeCell ref="G691:R691"/>
    <mergeCell ref="N689:O689"/>
    <mergeCell ref="X727:AB727"/>
    <mergeCell ref="K733:N733"/>
    <mergeCell ref="X728:AB728"/>
    <mergeCell ref="AH737:AJ737"/>
    <mergeCell ref="O738:S738"/>
    <mergeCell ref="AK735:AO735"/>
    <mergeCell ref="AH732:AJ732"/>
    <mergeCell ref="AK731:AO731"/>
    <mergeCell ref="K728:N728"/>
    <mergeCell ref="AK751:AO751"/>
    <mergeCell ref="G735:J735"/>
    <mergeCell ref="P671:R671"/>
    <mergeCell ref="AG697:AH697"/>
    <mergeCell ref="X722:AB725"/>
    <mergeCell ref="AE702:AF702"/>
    <mergeCell ref="A717:AT719"/>
    <mergeCell ref="B730:F730"/>
    <mergeCell ref="B733:F733"/>
    <mergeCell ref="G727:J727"/>
    <mergeCell ref="K730:N730"/>
    <mergeCell ref="B732:F732"/>
    <mergeCell ref="B735:F735"/>
    <mergeCell ref="O729:S729"/>
    <mergeCell ref="K729:N729"/>
    <mergeCell ref="T727:W727"/>
    <mergeCell ref="B744:F744"/>
    <mergeCell ref="AC740:AG740"/>
    <mergeCell ref="B761:F761"/>
    <mergeCell ref="O760:S760"/>
    <mergeCell ref="Z822:AE822"/>
    <mergeCell ref="Z825:AE825"/>
    <mergeCell ref="P824:Y824"/>
    <mergeCell ref="Z821:AE821"/>
    <mergeCell ref="T791:W794"/>
    <mergeCell ref="X781:AB781"/>
    <mergeCell ref="O797:S797"/>
    <mergeCell ref="J783:N783"/>
    <mergeCell ref="AC784:AG784"/>
    <mergeCell ref="G760:J760"/>
    <mergeCell ref="Y809:AC809"/>
    <mergeCell ref="T749:W749"/>
    <mergeCell ref="O732:S732"/>
    <mergeCell ref="T733:W733"/>
    <mergeCell ref="X735:AB735"/>
    <mergeCell ref="B741:F741"/>
    <mergeCell ref="B742:F742"/>
    <mergeCell ref="B736:F736"/>
    <mergeCell ref="B749:F749"/>
    <mergeCell ref="B745:F745"/>
    <mergeCell ref="AC742:AG742"/>
    <mergeCell ref="AC743:AG743"/>
    <mergeCell ref="O753:S753"/>
    <mergeCell ref="K759:N759"/>
    <mergeCell ref="O785:S785"/>
    <mergeCell ref="K732:N732"/>
    <mergeCell ref="K744:N744"/>
    <mergeCell ref="K749:N749"/>
    <mergeCell ref="X748:AB748"/>
    <mergeCell ref="O739:S739"/>
    <mergeCell ref="J777:N780"/>
    <mergeCell ref="W714:AK714"/>
    <mergeCell ref="J713:O713"/>
    <mergeCell ref="G684:R684"/>
    <mergeCell ref="O730:S730"/>
    <mergeCell ref="G679:L679"/>
    <mergeCell ref="P679:R679"/>
    <mergeCell ref="AG681:AH681"/>
    <mergeCell ref="G676:R676"/>
    <mergeCell ref="AK729:AO729"/>
    <mergeCell ref="AH734:AJ734"/>
    <mergeCell ref="G668:R668"/>
    <mergeCell ref="AH753:AJ753"/>
    <mergeCell ref="AH754:AJ754"/>
    <mergeCell ref="AO648:AS648"/>
    <mergeCell ref="X741:AB741"/>
    <mergeCell ref="N681:O681"/>
    <mergeCell ref="Z667:AK667"/>
    <mergeCell ref="AH747:AJ747"/>
    <mergeCell ref="G669:R669"/>
    <mergeCell ref="AC753:AG753"/>
    <mergeCell ref="AC754:AG754"/>
    <mergeCell ref="X732:AB732"/>
    <mergeCell ref="O737:S737"/>
    <mergeCell ref="P695:R695"/>
    <mergeCell ref="R713:T713"/>
    <mergeCell ref="AC735:AG735"/>
    <mergeCell ref="AC727:AG727"/>
    <mergeCell ref="T735:W735"/>
    <mergeCell ref="G695:L695"/>
    <mergeCell ref="O726:S726"/>
    <mergeCell ref="O722:S725"/>
    <mergeCell ref="B750:F750"/>
    <mergeCell ref="K751:N751"/>
    <mergeCell ref="AK728:AO728"/>
    <mergeCell ref="W708:AK708"/>
    <mergeCell ref="Z691:AK691"/>
    <mergeCell ref="T740:W740"/>
    <mergeCell ref="T739:W739"/>
    <mergeCell ref="N615:O615"/>
    <mergeCell ref="G722:J725"/>
    <mergeCell ref="O731:S731"/>
    <mergeCell ref="O798:S798"/>
    <mergeCell ref="C806:AN807"/>
    <mergeCell ref="J801:N801"/>
    <mergeCell ref="X801:AB801"/>
    <mergeCell ref="X802:AB802"/>
    <mergeCell ref="T784:W784"/>
    <mergeCell ref="T782:W782"/>
    <mergeCell ref="AG673:AH673"/>
    <mergeCell ref="N665:O665"/>
    <mergeCell ref="T644:V644"/>
    <mergeCell ref="T645:V645"/>
    <mergeCell ref="AC644:AE644"/>
    <mergeCell ref="Z655:AE655"/>
    <mergeCell ref="Z654:AK654"/>
    <mergeCell ref="T736:W736"/>
    <mergeCell ref="K757:N757"/>
    <mergeCell ref="O757:S757"/>
    <mergeCell ref="X759:AB759"/>
    <mergeCell ref="AC739:AG739"/>
    <mergeCell ref="O740:S740"/>
    <mergeCell ref="G745:J745"/>
    <mergeCell ref="T745:W745"/>
    <mergeCell ref="T777:W780"/>
    <mergeCell ref="AC801:AG801"/>
    <mergeCell ref="X783:AB783"/>
    <mergeCell ref="O801:S801"/>
    <mergeCell ref="G738:J738"/>
    <mergeCell ref="X738:AB738"/>
    <mergeCell ref="K739:N739"/>
    <mergeCell ref="N697:O697"/>
    <mergeCell ref="G692:R692"/>
    <mergeCell ref="K736:N736"/>
    <mergeCell ref="K740:N740"/>
    <mergeCell ref="G743:J743"/>
    <mergeCell ref="T738:W738"/>
    <mergeCell ref="T734:W734"/>
    <mergeCell ref="AC761:AG761"/>
    <mergeCell ref="O761:S761"/>
    <mergeCell ref="AC750:AG750"/>
    <mergeCell ref="AC751:AG751"/>
    <mergeCell ref="AC752:AG752"/>
    <mergeCell ref="K745:N745"/>
    <mergeCell ref="T741:W741"/>
    <mergeCell ref="O742:S742"/>
    <mergeCell ref="K727:N727"/>
    <mergeCell ref="K722:N725"/>
    <mergeCell ref="T730:W730"/>
    <mergeCell ref="AC800:AG800"/>
    <mergeCell ref="O795:S795"/>
    <mergeCell ref="G732:J732"/>
    <mergeCell ref="T737:W737"/>
    <mergeCell ref="AC748:AG748"/>
    <mergeCell ref="AC749:AG749"/>
    <mergeCell ref="AC745:AG745"/>
    <mergeCell ref="O803:S803"/>
    <mergeCell ref="AC799:AG799"/>
    <mergeCell ref="J802:N802"/>
    <mergeCell ref="J797:N797"/>
    <mergeCell ref="X803:AB803"/>
    <mergeCell ref="O800:S800"/>
    <mergeCell ref="J799:N799"/>
    <mergeCell ref="X800:AB800"/>
    <mergeCell ref="AC785:AG785"/>
    <mergeCell ref="K760:N760"/>
    <mergeCell ref="O805:S805"/>
    <mergeCell ref="C833:H833"/>
    <mergeCell ref="T760:W760"/>
    <mergeCell ref="M835:P835"/>
    <mergeCell ref="J805:N805"/>
    <mergeCell ref="J803:N803"/>
    <mergeCell ref="M833:P833"/>
    <mergeCell ref="U834:X834"/>
    <mergeCell ref="AG834:AJ834"/>
    <mergeCell ref="AG833:AJ833"/>
    <mergeCell ref="C835:H835"/>
    <mergeCell ref="AC805:AG805"/>
    <mergeCell ref="AC795:AG795"/>
    <mergeCell ref="J798:N798"/>
    <mergeCell ref="AG831:AJ832"/>
    <mergeCell ref="Y808:AC808"/>
    <mergeCell ref="AC804:AG804"/>
    <mergeCell ref="AC796:AG796"/>
    <mergeCell ref="T795:W795"/>
    <mergeCell ref="O782:S782"/>
    <mergeCell ref="O802:S802"/>
    <mergeCell ref="X777:AB780"/>
    <mergeCell ref="U837:X837"/>
    <mergeCell ref="X760:AB760"/>
    <mergeCell ref="Q836:T836"/>
    <mergeCell ref="U836:X836"/>
    <mergeCell ref="O796:S796"/>
    <mergeCell ref="Q834:T834"/>
    <mergeCell ref="Y831:AB832"/>
    <mergeCell ref="X795:AB795"/>
    <mergeCell ref="X804:AB804"/>
    <mergeCell ref="Y837:AB837"/>
    <mergeCell ref="Q839:T839"/>
    <mergeCell ref="M884:V884"/>
    <mergeCell ref="C834:H834"/>
    <mergeCell ref="C836:H836"/>
    <mergeCell ref="AC782:AG782"/>
    <mergeCell ref="X785:AB785"/>
    <mergeCell ref="J787:K787"/>
    <mergeCell ref="J795:N795"/>
    <mergeCell ref="B762:AH763"/>
    <mergeCell ref="X782:AB782"/>
    <mergeCell ref="T781:W781"/>
    <mergeCell ref="J781:N781"/>
    <mergeCell ref="O781:S781"/>
    <mergeCell ref="J784:N784"/>
    <mergeCell ref="U831:X832"/>
    <mergeCell ref="M836:P836"/>
    <mergeCell ref="Z817:AE817"/>
    <mergeCell ref="W867:AC867"/>
    <mergeCell ref="AC834:AF834"/>
    <mergeCell ref="AC835:AF835"/>
    <mergeCell ref="X797:AB797"/>
    <mergeCell ref="T796:W796"/>
    <mergeCell ref="BD913:BE913"/>
    <mergeCell ref="BD915:BF915"/>
    <mergeCell ref="BD914:BF914"/>
    <mergeCell ref="BD919:BE919"/>
    <mergeCell ref="BD912:BE912"/>
    <mergeCell ref="AC898:AH898"/>
    <mergeCell ref="AC903:AH903"/>
    <mergeCell ref="Z908:AE908"/>
    <mergeCell ref="AC897:AH897"/>
    <mergeCell ref="W876:AC876"/>
    <mergeCell ref="W870:AC870"/>
    <mergeCell ref="W880:AC880"/>
    <mergeCell ref="W862:AC862"/>
    <mergeCell ref="W883:AC883"/>
    <mergeCell ref="AG837:AJ837"/>
    <mergeCell ref="J857:V857"/>
    <mergeCell ref="W854:AC854"/>
    <mergeCell ref="M838:P838"/>
    <mergeCell ref="C840:L840"/>
    <mergeCell ref="W865:AC865"/>
    <mergeCell ref="M883:V883"/>
    <mergeCell ref="Y839:AB839"/>
    <mergeCell ref="W859:AC859"/>
    <mergeCell ref="W863:AC863"/>
    <mergeCell ref="W860:AC860"/>
    <mergeCell ref="BD911:BE911"/>
    <mergeCell ref="BD909:BE909"/>
    <mergeCell ref="AC902:AH902"/>
    <mergeCell ref="W857:AC857"/>
    <mergeCell ref="M886:V886"/>
    <mergeCell ref="W878:AC878"/>
    <mergeCell ref="BD908:BE908"/>
    <mergeCell ref="BD910:BE910"/>
    <mergeCell ref="AC895:AH895"/>
    <mergeCell ref="Y833:AB833"/>
    <mergeCell ref="AC833:AF833"/>
    <mergeCell ref="Q838:T838"/>
    <mergeCell ref="AG839:AJ839"/>
    <mergeCell ref="AC896:AH896"/>
    <mergeCell ref="Z815:AE815"/>
    <mergeCell ref="AC797:AG797"/>
    <mergeCell ref="AC798:AG798"/>
    <mergeCell ref="Z826:AE826"/>
    <mergeCell ref="T803:W803"/>
    <mergeCell ref="AC836:AF836"/>
    <mergeCell ref="J800:N800"/>
    <mergeCell ref="Z814:AE814"/>
    <mergeCell ref="X799:AB799"/>
    <mergeCell ref="Q835:T835"/>
    <mergeCell ref="C845:AJ845"/>
    <mergeCell ref="M837:P837"/>
    <mergeCell ref="Z823:AE823"/>
    <mergeCell ref="Z816:AE816"/>
    <mergeCell ref="T802:W802"/>
    <mergeCell ref="T800:W800"/>
    <mergeCell ref="C838:H838"/>
    <mergeCell ref="F839:L839"/>
    <mergeCell ref="E894:AB894"/>
    <mergeCell ref="AZ859:BA859"/>
    <mergeCell ref="AC899:AH899"/>
    <mergeCell ref="W887:AC887"/>
    <mergeCell ref="AG836:AJ836"/>
    <mergeCell ref="Q831:T832"/>
    <mergeCell ref="T799:W799"/>
    <mergeCell ref="AW927:AY92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K755:N755"/>
    <mergeCell ref="AH757:AJ757"/>
    <mergeCell ref="K754:N754"/>
    <mergeCell ref="T754:W754"/>
    <mergeCell ref="G740:J740"/>
    <mergeCell ref="AH743:AJ743"/>
    <mergeCell ref="X742:AB742"/>
    <mergeCell ref="O747:S747"/>
    <mergeCell ref="M834:P834"/>
    <mergeCell ref="M880:V880"/>
    <mergeCell ref="Q833:T833"/>
    <mergeCell ref="W879:AC879"/>
    <mergeCell ref="AC894:AH894"/>
    <mergeCell ref="M885:V885"/>
    <mergeCell ref="W877:AC877"/>
    <mergeCell ref="W881:AC881"/>
    <mergeCell ref="F924:T924"/>
    <mergeCell ref="CG730:CH730"/>
    <mergeCell ref="AC744:AG744"/>
    <mergeCell ref="CG737:CH737"/>
    <mergeCell ref="AK732:AO732"/>
    <mergeCell ref="AE701:AF701"/>
    <mergeCell ref="G683:R683"/>
    <mergeCell ref="O735:S735"/>
    <mergeCell ref="CI739:CJ739"/>
    <mergeCell ref="CI736:CJ736"/>
    <mergeCell ref="AH736:AJ736"/>
    <mergeCell ref="AK739:AO739"/>
    <mergeCell ref="CG742:CH742"/>
    <mergeCell ref="CI735:CJ735"/>
    <mergeCell ref="CM744:CN744"/>
    <mergeCell ref="T729:W729"/>
    <mergeCell ref="AE703:AI703"/>
    <mergeCell ref="AH735:AJ735"/>
    <mergeCell ref="X733:AB733"/>
    <mergeCell ref="CI733:CJ733"/>
    <mergeCell ref="O728:S728"/>
    <mergeCell ref="CM725:CN725"/>
    <mergeCell ref="CM727:CN727"/>
    <mergeCell ref="O741:S741"/>
    <mergeCell ref="AH741:AJ741"/>
    <mergeCell ref="G741:J741"/>
    <mergeCell ref="K738:N738"/>
    <mergeCell ref="G685:R685"/>
    <mergeCell ref="Z686:AK686"/>
    <mergeCell ref="G686:R686"/>
    <mergeCell ref="K735:N735"/>
    <mergeCell ref="G726:J726"/>
    <mergeCell ref="E715:AK715"/>
    <mergeCell ref="CP738:CT738"/>
    <mergeCell ref="CU739:CY739"/>
    <mergeCell ref="CM740:CN740"/>
    <mergeCell ref="CP734:CT734"/>
    <mergeCell ref="CK740:CL740"/>
    <mergeCell ref="CP733:CT733"/>
    <mergeCell ref="CZ735:DD735"/>
    <mergeCell ref="DE745:DI745"/>
    <mergeCell ref="CM732:CN732"/>
    <mergeCell ref="CM742:CN742"/>
    <mergeCell ref="CG744:CH744"/>
    <mergeCell ref="X736:AB736"/>
    <mergeCell ref="Z668:AK668"/>
    <mergeCell ref="W711:AK711"/>
    <mergeCell ref="AC728:AG728"/>
    <mergeCell ref="X729:AB729"/>
    <mergeCell ref="CZ728:DD728"/>
    <mergeCell ref="T726:W726"/>
    <mergeCell ref="Z692:AK692"/>
    <mergeCell ref="Z694:AK694"/>
    <mergeCell ref="Z683:AK683"/>
    <mergeCell ref="CP729:CT729"/>
    <mergeCell ref="DE736:DI736"/>
    <mergeCell ref="CG735:CH735"/>
    <mergeCell ref="CU735:CY735"/>
    <mergeCell ref="CK732:CL732"/>
    <mergeCell ref="AC730:AG730"/>
    <mergeCell ref="CM729:CN729"/>
    <mergeCell ref="CI734:CJ734"/>
    <mergeCell ref="CG734:CH734"/>
    <mergeCell ref="CI728:CJ728"/>
    <mergeCell ref="CM730:CN730"/>
    <mergeCell ref="AO640:AS640"/>
    <mergeCell ref="Z643:AB643"/>
    <mergeCell ref="AK632:AN634"/>
    <mergeCell ref="C638:L638"/>
    <mergeCell ref="C639:L639"/>
    <mergeCell ref="M641:P641"/>
    <mergeCell ref="G652:R652"/>
    <mergeCell ref="P663:R663"/>
    <mergeCell ref="W641:Y641"/>
    <mergeCell ref="Z638:AB638"/>
    <mergeCell ref="C642:L642"/>
    <mergeCell ref="AI663:AK663"/>
    <mergeCell ref="G670:R670"/>
    <mergeCell ref="Z671:AE671"/>
    <mergeCell ref="T642:V642"/>
    <mergeCell ref="AK640:AN640"/>
    <mergeCell ref="T635:V635"/>
    <mergeCell ref="AO635:AS635"/>
    <mergeCell ref="M645:P645"/>
    <mergeCell ref="M646:P646"/>
    <mergeCell ref="W646:Y646"/>
    <mergeCell ref="Z662:AK662"/>
    <mergeCell ref="P655:R655"/>
    <mergeCell ref="AI655:AK655"/>
    <mergeCell ref="G662:R662"/>
    <mergeCell ref="G661:R661"/>
    <mergeCell ref="Z636:AB636"/>
    <mergeCell ref="W638:Y638"/>
    <mergeCell ref="AG665:AH665"/>
    <mergeCell ref="Z642:AB642"/>
    <mergeCell ref="AF644:AJ644"/>
    <mergeCell ref="AF645:AJ645"/>
    <mergeCell ref="G578:R578"/>
    <mergeCell ref="G576:R576"/>
    <mergeCell ref="T638:V638"/>
    <mergeCell ref="T639:V639"/>
    <mergeCell ref="AC636:AE636"/>
    <mergeCell ref="C637:L637"/>
    <mergeCell ref="Z663:AE663"/>
    <mergeCell ref="AG583:AH583"/>
    <mergeCell ref="T632:V634"/>
    <mergeCell ref="T641:V641"/>
    <mergeCell ref="G675:R675"/>
    <mergeCell ref="G655:L655"/>
    <mergeCell ref="Q646:S646"/>
    <mergeCell ref="H656:R656"/>
    <mergeCell ref="Z640:AB640"/>
    <mergeCell ref="M638:P638"/>
    <mergeCell ref="M639:P639"/>
    <mergeCell ref="Z586:AK586"/>
    <mergeCell ref="T637:V637"/>
    <mergeCell ref="AK646:AN646"/>
    <mergeCell ref="AK636:AN636"/>
    <mergeCell ref="Q638:S638"/>
    <mergeCell ref="B632:L634"/>
    <mergeCell ref="Q640:S640"/>
    <mergeCell ref="G667:R667"/>
    <mergeCell ref="Q639:S639"/>
    <mergeCell ref="T640:V640"/>
    <mergeCell ref="G659:R659"/>
    <mergeCell ref="G660:R660"/>
    <mergeCell ref="Z613:AE613"/>
    <mergeCell ref="C646:L646"/>
    <mergeCell ref="AC640:AE640"/>
    <mergeCell ref="M572:P572"/>
    <mergeCell ref="W562:Y562"/>
    <mergeCell ref="W563:Y563"/>
    <mergeCell ref="Z566:AD566"/>
    <mergeCell ref="M570:P570"/>
    <mergeCell ref="M571:P571"/>
    <mergeCell ref="AI569:AL569"/>
    <mergeCell ref="Q572:S572"/>
    <mergeCell ref="P613:R613"/>
    <mergeCell ref="Z611:AK611"/>
    <mergeCell ref="AG599:AH599"/>
    <mergeCell ref="G605:L605"/>
    <mergeCell ref="C635:L635"/>
    <mergeCell ref="P605:R605"/>
    <mergeCell ref="H598:R598"/>
    <mergeCell ref="H590:R590"/>
    <mergeCell ref="Z587:AK587"/>
    <mergeCell ref="G609:R609"/>
    <mergeCell ref="AG607:AH607"/>
    <mergeCell ref="G603:R603"/>
    <mergeCell ref="G604:R604"/>
    <mergeCell ref="AA590:AK590"/>
    <mergeCell ref="N599:O599"/>
    <mergeCell ref="G588:R588"/>
    <mergeCell ref="C571:L571"/>
    <mergeCell ref="AE573:AH573"/>
    <mergeCell ref="G586:R586"/>
    <mergeCell ref="M569:P569"/>
    <mergeCell ref="C573:L573"/>
    <mergeCell ref="G601:R601"/>
    <mergeCell ref="AI605:AK605"/>
    <mergeCell ref="W635:Y635"/>
    <mergeCell ref="W639:Y639"/>
    <mergeCell ref="AG623:AH623"/>
    <mergeCell ref="G620:R620"/>
    <mergeCell ref="Q644:S644"/>
    <mergeCell ref="Q645:S645"/>
    <mergeCell ref="C644:L644"/>
    <mergeCell ref="N673:O673"/>
    <mergeCell ref="G619:R619"/>
    <mergeCell ref="Z610:AK610"/>
    <mergeCell ref="Z620:AK620"/>
    <mergeCell ref="AC635:AE635"/>
    <mergeCell ref="AK639:AN639"/>
    <mergeCell ref="M635:P635"/>
    <mergeCell ref="W645:Y645"/>
    <mergeCell ref="AF641:AJ641"/>
    <mergeCell ref="Z676:AK676"/>
    <mergeCell ref="AA680:AK680"/>
    <mergeCell ref="G678:R678"/>
    <mergeCell ref="Z677:AK677"/>
    <mergeCell ref="G617:R617"/>
    <mergeCell ref="M636:P636"/>
    <mergeCell ref="Z641:AB641"/>
    <mergeCell ref="AK642:AN642"/>
    <mergeCell ref="AK643:AN643"/>
    <mergeCell ref="AF642:AJ642"/>
    <mergeCell ref="G671:L671"/>
    <mergeCell ref="N657:O657"/>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Z573:AD573"/>
    <mergeCell ref="Z580:AE580"/>
    <mergeCell ref="Z597:AE597"/>
    <mergeCell ref="G593:R593"/>
    <mergeCell ref="Z653:AK653"/>
    <mergeCell ref="Z652:AK652"/>
    <mergeCell ref="CZ726:DD726"/>
    <mergeCell ref="Z639:AB639"/>
    <mergeCell ref="AF632:AJ634"/>
    <mergeCell ref="AF640:AJ640"/>
    <mergeCell ref="AC639:AE639"/>
    <mergeCell ref="Z687:AE687"/>
    <mergeCell ref="CI725:CJ725"/>
    <mergeCell ref="CP727:CT727"/>
    <mergeCell ref="G589:L589"/>
    <mergeCell ref="Z612:AK612"/>
    <mergeCell ref="G595:R595"/>
    <mergeCell ref="AA688:AK688"/>
    <mergeCell ref="Z670:AK670"/>
    <mergeCell ref="AM567:AS567"/>
    <mergeCell ref="Z695:AE695"/>
    <mergeCell ref="AK638:AN638"/>
    <mergeCell ref="AM570:AS570"/>
    <mergeCell ref="AO639:AS639"/>
    <mergeCell ref="AI671:AK671"/>
    <mergeCell ref="B649:AN649"/>
    <mergeCell ref="G651:R651"/>
    <mergeCell ref="M642:P642"/>
    <mergeCell ref="Z669:AK669"/>
    <mergeCell ref="Q642:S642"/>
    <mergeCell ref="AK644:AN644"/>
    <mergeCell ref="C645:L645"/>
    <mergeCell ref="C640:L640"/>
    <mergeCell ref="M640:P640"/>
    <mergeCell ref="Q641:S641"/>
    <mergeCell ref="AF639:AJ639"/>
    <mergeCell ref="Z637:AB637"/>
    <mergeCell ref="AM572:AS572"/>
    <mergeCell ref="AM574:AS574"/>
    <mergeCell ref="Z576:AK576"/>
    <mergeCell ref="AO644:AS644"/>
    <mergeCell ref="C636:L636"/>
    <mergeCell ref="Z618:AK618"/>
    <mergeCell ref="AF636:AJ636"/>
    <mergeCell ref="AE571:AH571"/>
    <mergeCell ref="AM571:AS571"/>
    <mergeCell ref="AO636:AS636"/>
    <mergeCell ref="AG615:AH615"/>
    <mergeCell ref="AO632:AS634"/>
    <mergeCell ref="AC638:AE638"/>
    <mergeCell ref="AO638:AS638"/>
    <mergeCell ref="DO726:DS726"/>
    <mergeCell ref="AI679:AK679"/>
    <mergeCell ref="Z684:AK684"/>
    <mergeCell ref="DJ726:DN726"/>
    <mergeCell ref="AH729:AJ729"/>
    <mergeCell ref="AK727:AO727"/>
    <mergeCell ref="AO649:AS649"/>
    <mergeCell ref="CK735:CL735"/>
    <mergeCell ref="CM731:CN731"/>
    <mergeCell ref="CM733:CN733"/>
    <mergeCell ref="DJ736:DN736"/>
    <mergeCell ref="T728:W728"/>
    <mergeCell ref="CK731:CL731"/>
    <mergeCell ref="CK729:CL729"/>
    <mergeCell ref="CM726:CN726"/>
    <mergeCell ref="CM736:CN736"/>
    <mergeCell ref="CU734:CY734"/>
    <mergeCell ref="CZ734:DD734"/>
    <mergeCell ref="CG733:CH733"/>
    <mergeCell ref="CG731:CH731"/>
    <mergeCell ref="CG728:CH728"/>
    <mergeCell ref="AK734:AO734"/>
    <mergeCell ref="AA696:AK696"/>
    <mergeCell ref="AE710:AF710"/>
    <mergeCell ref="DE733:DI733"/>
    <mergeCell ref="DE734:DI734"/>
    <mergeCell ref="CU736:CY736"/>
    <mergeCell ref="CM734:CN734"/>
    <mergeCell ref="DE730:DI730"/>
    <mergeCell ref="CZ727:DD727"/>
    <mergeCell ref="DO725:DS725"/>
    <mergeCell ref="CZ729:DD729"/>
    <mergeCell ref="AC736:AG736"/>
    <mergeCell ref="AO642:AS642"/>
    <mergeCell ref="AA664:AK664"/>
    <mergeCell ref="AO645:AS645"/>
    <mergeCell ref="J712:X712"/>
    <mergeCell ref="T722:W725"/>
    <mergeCell ref="AA656:AK656"/>
    <mergeCell ref="AK645:AN645"/>
    <mergeCell ref="H672:R672"/>
    <mergeCell ref="EC645:EG645"/>
    <mergeCell ref="EH645:EL645"/>
    <mergeCell ref="EH658:EL658"/>
    <mergeCell ref="DE729:DI72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AK722:AO725"/>
    <mergeCell ref="DJ733:DN733"/>
    <mergeCell ref="CI731:CJ731"/>
    <mergeCell ref="DX654:EB654"/>
    <mergeCell ref="EC654:EG654"/>
    <mergeCell ref="DX656:EB656"/>
    <mergeCell ref="CG727:CH727"/>
    <mergeCell ref="CI729:CJ729"/>
    <mergeCell ref="Z685:AK685"/>
    <mergeCell ref="CP731:CT731"/>
    <mergeCell ref="AK726:AO726"/>
    <mergeCell ref="Z661:AK661"/>
    <mergeCell ref="CU727:CY727"/>
    <mergeCell ref="DJ729:DN729"/>
    <mergeCell ref="AK733:AO733"/>
    <mergeCell ref="Z678:AK678"/>
    <mergeCell ref="AO641:AS641"/>
    <mergeCell ref="AG689:AH689"/>
    <mergeCell ref="AI695:AK695"/>
    <mergeCell ref="Z651:AK651"/>
    <mergeCell ref="CZ725:DD725"/>
    <mergeCell ref="CI730:CJ730"/>
    <mergeCell ref="CG729:CH729"/>
    <mergeCell ref="CK728:CL728"/>
    <mergeCell ref="AO643:AS643"/>
    <mergeCell ref="Z644:AB644"/>
    <mergeCell ref="Z645:AB645"/>
    <mergeCell ref="Z646:AB646"/>
    <mergeCell ref="CG726:CH726"/>
    <mergeCell ref="DJ731:DN731"/>
    <mergeCell ref="DE725:DI725"/>
    <mergeCell ref="DJ732:DN732"/>
    <mergeCell ref="Z659:AK659"/>
    <mergeCell ref="DE728:DI728"/>
    <mergeCell ref="AC729:AG729"/>
    <mergeCell ref="AH728:AJ728"/>
    <mergeCell ref="CU732:CY732"/>
    <mergeCell ref="CU733:CY733"/>
    <mergeCell ref="DE739:DI739"/>
    <mergeCell ref="DE742:DI742"/>
    <mergeCell ref="EE757:EI757"/>
    <mergeCell ref="EJ757:EN757"/>
    <mergeCell ref="EO757:ES757"/>
    <mergeCell ref="EE755:EI755"/>
    <mergeCell ref="EJ755:EN755"/>
    <mergeCell ref="EE750:EI750"/>
    <mergeCell ref="EJ750:EN750"/>
    <mergeCell ref="EO750:ES750"/>
    <mergeCell ref="DO749:DS749"/>
    <mergeCell ref="EJ752:EN752"/>
    <mergeCell ref="EO752:ES752"/>
    <mergeCell ref="DJ749:DN749"/>
    <mergeCell ref="DJ741:DN741"/>
    <mergeCell ref="DE757:DI757"/>
    <mergeCell ref="DJ757:DN757"/>
    <mergeCell ref="DO757:DS757"/>
    <mergeCell ref="DE756:DI756"/>
    <mergeCell ref="DJ756:DN756"/>
    <mergeCell ref="DO756:DS756"/>
    <mergeCell ref="DJ755:DN755"/>
    <mergeCell ref="DO741:DS741"/>
    <mergeCell ref="DO742:DS742"/>
    <mergeCell ref="DZ740:ED740"/>
    <mergeCell ref="EE740:EI740"/>
    <mergeCell ref="EJ740:EN740"/>
    <mergeCell ref="DU739:DY739"/>
    <mergeCell ref="EO739:ES739"/>
    <mergeCell ref="EE743:EI743"/>
    <mergeCell ref="EJ741:EN741"/>
    <mergeCell ref="EE753:EI753"/>
    <mergeCell ref="ET743:EX743"/>
    <mergeCell ref="ET739:EX739"/>
    <mergeCell ref="EO753:ES753"/>
    <mergeCell ref="EE747:EI747"/>
    <mergeCell ref="DO761:DS761"/>
    <mergeCell ref="DG122:DM122"/>
    <mergeCell ref="CU122:CV122"/>
    <mergeCell ref="AH722:AJ725"/>
    <mergeCell ref="AH733:AJ733"/>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DJ739:DN739"/>
    <mergeCell ref="DJ737:DN737"/>
    <mergeCell ref="DE727:DI727"/>
    <mergeCell ref="U835:X835"/>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DJ740:DN740"/>
    <mergeCell ref="CU740:CY740"/>
    <mergeCell ref="CG759:CH759"/>
    <mergeCell ref="CU746:CY746"/>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904:AB904"/>
    <mergeCell ref="F935:T935"/>
    <mergeCell ref="F936:T936"/>
    <mergeCell ref="F947:T947"/>
    <mergeCell ref="W869:AC869"/>
    <mergeCell ref="AA935:AF935"/>
    <mergeCell ref="U936:Z936"/>
    <mergeCell ref="AA936:AF936"/>
    <mergeCell ref="W850:AC850"/>
    <mergeCell ref="W855:AC855"/>
    <mergeCell ref="W885:AC885"/>
    <mergeCell ref="M869:V869"/>
    <mergeCell ref="W853:AC853"/>
    <mergeCell ref="M854:V854"/>
    <mergeCell ref="W884:AC884"/>
    <mergeCell ref="T866:V866"/>
    <mergeCell ref="W874:AC874"/>
    <mergeCell ref="T868:V868"/>
    <mergeCell ref="W886:AC886"/>
    <mergeCell ref="AA934:AF934"/>
    <mergeCell ref="AH738:AJ738"/>
    <mergeCell ref="AC731:AG731"/>
    <mergeCell ref="AC802:AG802"/>
    <mergeCell ref="AC803:AG803"/>
    <mergeCell ref="M831:P832"/>
    <mergeCell ref="T804:W804"/>
    <mergeCell ref="T801:W801"/>
    <mergeCell ref="O783:S783"/>
    <mergeCell ref="J782:N782"/>
    <mergeCell ref="O764:R764"/>
    <mergeCell ref="X758:AB758"/>
    <mergeCell ref="AC757:AG757"/>
    <mergeCell ref="AC783:AG783"/>
    <mergeCell ref="AC791:AG794"/>
    <mergeCell ref="AA955:AF955"/>
    <mergeCell ref="AH731:AJ731"/>
    <mergeCell ref="B747:F747"/>
    <mergeCell ref="K743:N743"/>
    <mergeCell ref="AA937:AF937"/>
    <mergeCell ref="AG838:AJ838"/>
    <mergeCell ref="U840:X840"/>
    <mergeCell ref="M840:P840"/>
    <mergeCell ref="W875:AC875"/>
    <mergeCell ref="U949:Z949"/>
    <mergeCell ref="AA947:AF947"/>
    <mergeCell ref="U932:Z932"/>
    <mergeCell ref="M887:V887"/>
    <mergeCell ref="AA940:AF940"/>
    <mergeCell ref="U941:Z941"/>
    <mergeCell ref="AA941:AF941"/>
    <mergeCell ref="F938:T938"/>
    <mergeCell ref="Q837:T837"/>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AE970:AK970"/>
    <mergeCell ref="AA957:AF957"/>
    <mergeCell ref="M976:S976"/>
    <mergeCell ref="AA953:AF953"/>
    <mergeCell ref="AB926:AE926"/>
    <mergeCell ref="AA931:AF931"/>
    <mergeCell ref="M967:S967"/>
    <mergeCell ref="M969:S969"/>
    <mergeCell ref="Z910:AE910"/>
    <mergeCell ref="I955:T955"/>
    <mergeCell ref="A1134:B1134"/>
    <mergeCell ref="G733:J733"/>
    <mergeCell ref="B740:F740"/>
    <mergeCell ref="T753:W7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J796:N796"/>
    <mergeCell ref="G734:J734"/>
    <mergeCell ref="T744:W744"/>
    <mergeCell ref="AB999:AI999"/>
    <mergeCell ref="O758:S758"/>
    <mergeCell ref="AC737:AG737"/>
    <mergeCell ref="O736:S736"/>
    <mergeCell ref="AB996:AI996"/>
    <mergeCell ref="D996:Q996"/>
    <mergeCell ref="R998:AA998"/>
    <mergeCell ref="AJ998:AQ998"/>
    <mergeCell ref="AK746:AO746"/>
    <mergeCell ref="U955:Z955"/>
    <mergeCell ref="F955:H955"/>
    <mergeCell ref="AA976:AG976"/>
    <mergeCell ref="F937:T937"/>
    <mergeCell ref="U935:Z935"/>
    <mergeCell ref="Y835:AB835"/>
    <mergeCell ref="AG835:AJ835"/>
    <mergeCell ref="U929:Z929"/>
    <mergeCell ref="F948:T948"/>
    <mergeCell ref="AA958:AF958"/>
    <mergeCell ref="I957:T957"/>
    <mergeCell ref="AC904:AH904"/>
    <mergeCell ref="AA942:AF942"/>
    <mergeCell ref="Z909:AE909"/>
    <mergeCell ref="AA950:AF950"/>
    <mergeCell ref="AA938:AF938"/>
    <mergeCell ref="U939:Z939"/>
    <mergeCell ref="T982:Z982"/>
    <mergeCell ref="I956:T956"/>
    <mergeCell ref="R996:AA996"/>
    <mergeCell ref="U958:Z958"/>
    <mergeCell ref="D1134:AK1136"/>
    <mergeCell ref="X734:AB734"/>
    <mergeCell ref="A1106:B1106"/>
    <mergeCell ref="A1109:B1109"/>
    <mergeCell ref="A1103:B1103"/>
    <mergeCell ref="AJ1000:AQ1000"/>
    <mergeCell ref="K741:N741"/>
    <mergeCell ref="O756:S756"/>
    <mergeCell ref="T783:W783"/>
    <mergeCell ref="C771:AR773"/>
    <mergeCell ref="AC760:AG760"/>
    <mergeCell ref="T757:W757"/>
    <mergeCell ref="K758:N758"/>
    <mergeCell ref="X756:AB756"/>
    <mergeCell ref="X757:AB757"/>
    <mergeCell ref="J791:N794"/>
    <mergeCell ref="T798:W798"/>
    <mergeCell ref="D1004:AE1007"/>
    <mergeCell ref="AC746:AG746"/>
    <mergeCell ref="G747:J747"/>
    <mergeCell ref="X749:AB749"/>
    <mergeCell ref="AB997:AI997"/>
    <mergeCell ref="R995:AA995"/>
    <mergeCell ref="T759:W759"/>
    <mergeCell ref="K756:N756"/>
    <mergeCell ref="M968:S968"/>
    <mergeCell ref="J966:S966"/>
    <mergeCell ref="AE968:AK968"/>
    <mergeCell ref="B743:F743"/>
    <mergeCell ref="B746:F746"/>
    <mergeCell ref="O983:P983"/>
    <mergeCell ref="D1008:AE1008"/>
    <mergeCell ref="F984:L984"/>
    <mergeCell ref="O749:S749"/>
    <mergeCell ref="AE965:AK965"/>
    <mergeCell ref="P954:T954"/>
    <mergeCell ref="F953:T953"/>
    <mergeCell ref="U953:Z953"/>
    <mergeCell ref="AH759:AJ759"/>
    <mergeCell ref="AH761:AJ761"/>
    <mergeCell ref="AK753:AO753"/>
    <mergeCell ref="AH749:AJ749"/>
    <mergeCell ref="AK748:AO748"/>
    <mergeCell ref="X747:AB747"/>
    <mergeCell ref="G748:J748"/>
    <mergeCell ref="K747:N747"/>
    <mergeCell ref="B757:F757"/>
    <mergeCell ref="B758:F758"/>
    <mergeCell ref="AK760:AO760"/>
    <mergeCell ref="B760:F760"/>
    <mergeCell ref="B759:F759"/>
    <mergeCell ref="W888:AC888"/>
    <mergeCell ref="F946:T946"/>
    <mergeCell ref="I958:T958"/>
    <mergeCell ref="U947:Z947"/>
    <mergeCell ref="U952:Z952"/>
    <mergeCell ref="C837:H837"/>
    <mergeCell ref="U946:Z946"/>
    <mergeCell ref="AA946:AF946"/>
    <mergeCell ref="U940:Z940"/>
    <mergeCell ref="AC893:AH893"/>
    <mergeCell ref="F939:T939"/>
    <mergeCell ref="M971:S971"/>
    <mergeCell ref="F949:T94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B1001:AI1001"/>
    <mergeCell ref="D1038:AE1038"/>
    <mergeCell ref="B1000:AA1000"/>
    <mergeCell ref="D995:Q995"/>
    <mergeCell ref="AB995:AI995"/>
    <mergeCell ref="D1010:AE1010"/>
    <mergeCell ref="D1023:AE1024"/>
    <mergeCell ref="R997:AA997"/>
    <mergeCell ref="D999:Q999"/>
    <mergeCell ref="AB998:AI998"/>
    <mergeCell ref="D1011:AE1015"/>
    <mergeCell ref="D1020:AE1020"/>
    <mergeCell ref="D1021:AE1021"/>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D1003:AE1003"/>
    <mergeCell ref="D1009:AE1009"/>
    <mergeCell ref="AJ1045:AQ1049"/>
    <mergeCell ref="D1050:AE1050"/>
    <mergeCell ref="D1051:AE1053"/>
    <mergeCell ref="AJ1001:AQ1001"/>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G1038:AH1038"/>
    <mergeCell ref="D1046:AE1049"/>
    <mergeCell ref="D1054:AE1054"/>
    <mergeCell ref="J1033:AE1033"/>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FY729:GC729"/>
    <mergeCell ref="EZ730:FD730"/>
    <mergeCell ref="EZ731:FD731"/>
    <mergeCell ref="FE731:FI731"/>
    <mergeCell ref="FJ731:FN731"/>
    <mergeCell ref="FO731:FS731"/>
    <mergeCell ref="FE728:FI728"/>
    <mergeCell ref="FJ728:FN728"/>
    <mergeCell ref="FO728:FS728"/>
    <mergeCell ref="FJ729:FN729"/>
    <mergeCell ref="FO729:FS729"/>
    <mergeCell ref="FT734:FX734"/>
    <mergeCell ref="FT736:FX736"/>
    <mergeCell ref="FY734:GC734"/>
    <mergeCell ref="FE730:FI730"/>
    <mergeCell ref="FJ730:FN730"/>
    <mergeCell ref="FO730:FS730"/>
    <mergeCell ref="FT730:FX730"/>
    <mergeCell ref="FY730:GC730"/>
    <mergeCell ref="DU736:DY736"/>
    <mergeCell ref="FY740:GC740"/>
    <mergeCell ref="FE736:FI736"/>
    <mergeCell ref="FJ736:FN736"/>
    <mergeCell ref="FO736:FS736"/>
    <mergeCell ref="FY735:GC735"/>
    <mergeCell ref="FE735:FI735"/>
    <mergeCell ref="FJ735:FN735"/>
    <mergeCell ref="FY738:GC738"/>
    <mergeCell ref="DZ737:ED737"/>
    <mergeCell ref="ET735:EX735"/>
    <mergeCell ref="FE732:FI732"/>
    <mergeCell ref="FE734:FI734"/>
    <mergeCell ref="DU737:DY737"/>
    <mergeCell ref="ET747:EX747"/>
    <mergeCell ref="EO747:ES747"/>
    <mergeCell ref="FY752:GC752"/>
    <mergeCell ref="FY742:GC742"/>
    <mergeCell ref="EZ743:FD743"/>
    <mergeCell ref="FE743:FI743"/>
    <mergeCell ref="FT745:FX745"/>
    <mergeCell ref="FE742:FI742"/>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J733:FN733"/>
    <mergeCell ref="FY736:GC736"/>
    <mergeCell ref="EZ737:FD737"/>
    <mergeCell ref="FE737:FI737"/>
    <mergeCell ref="FJ737:FN737"/>
    <mergeCell ref="FO737:FS737"/>
    <mergeCell ref="FT737:FX737"/>
    <mergeCell ref="FY737:GC737"/>
    <mergeCell ref="FO735:FS735"/>
    <mergeCell ref="FT735:FX735"/>
    <mergeCell ref="FJ734:FN734"/>
    <mergeCell ref="FO734:FS734"/>
    <mergeCell ref="FY739:GC739"/>
    <mergeCell ref="FE740:FI740"/>
    <mergeCell ref="FJ740:FN740"/>
    <mergeCell ref="FY757:GC757"/>
    <mergeCell ref="FE754:FI754"/>
    <mergeCell ref="FJ754:FN754"/>
    <mergeCell ref="FO754:FS754"/>
    <mergeCell ref="FO744:FS744"/>
    <mergeCell ref="FT744:FX744"/>
    <mergeCell ref="FE747:FI747"/>
    <mergeCell ref="FJ747:FN747"/>
    <mergeCell ref="FO747:FS747"/>
    <mergeCell ref="FT748:FX748"/>
    <mergeCell ref="FY744:GC744"/>
    <mergeCell ref="FY741:GC741"/>
    <mergeCell ref="FY747:GC747"/>
    <mergeCell ref="EZ742:FD742"/>
    <mergeCell ref="FE746:FI746"/>
    <mergeCell ref="FY751:GC751"/>
    <mergeCell ref="EZ752:FD752"/>
    <mergeCell ref="FE752:FI752"/>
    <mergeCell ref="FY749:GC749"/>
    <mergeCell ref="EZ750:FD750"/>
    <mergeCell ref="FE751:FI751"/>
    <mergeCell ref="FJ751:FN751"/>
    <mergeCell ref="FO751:FS751"/>
    <mergeCell ref="FT751:FX751"/>
    <mergeCell ref="FY750:GC750"/>
    <mergeCell ref="FO757:FS757"/>
    <mergeCell ref="FY753:GC753"/>
    <mergeCell ref="EZ754:FD754"/>
    <mergeCell ref="FT754:FX754"/>
    <mergeCell ref="EZ745:FD745"/>
    <mergeCell ref="FE745:FI745"/>
    <mergeCell ref="FJ745:FN745"/>
    <mergeCell ref="FO745:FS745"/>
    <mergeCell ref="FJ742:FN742"/>
    <mergeCell ref="FO742:FS742"/>
    <mergeCell ref="FT759:FX759"/>
    <mergeCell ref="EZ757:FD757"/>
    <mergeCell ref="FE757:FI757"/>
    <mergeCell ref="FJ757:FN757"/>
    <mergeCell ref="FY746:GC746"/>
    <mergeCell ref="FJ746:FN746"/>
    <mergeCell ref="FO746:FS746"/>
    <mergeCell ref="FT746:FX746"/>
    <mergeCell ref="FT747:FX747"/>
    <mergeCell ref="FY748:GC748"/>
    <mergeCell ref="FO748:FS748"/>
    <mergeCell ref="EZ746:FD746"/>
    <mergeCell ref="FJ748:FN748"/>
    <mergeCell ref="FY745:GC745"/>
    <mergeCell ref="FT743:FX743"/>
    <mergeCell ref="FY743:GC743"/>
    <mergeCell ref="EZ744:FD744"/>
    <mergeCell ref="FE744:FI744"/>
    <mergeCell ref="FY758:GC758"/>
    <mergeCell ref="EZ747:FD747"/>
    <mergeCell ref="FJ744:FN744"/>
    <mergeCell ref="FE741:FI741"/>
    <mergeCell ref="FJ743:FN743"/>
    <mergeCell ref="FO743:FS743"/>
    <mergeCell ref="FJ752:FN752"/>
    <mergeCell ref="FO752:FS752"/>
    <mergeCell ref="FT752:FX752"/>
    <mergeCell ref="FE749:FI749"/>
    <mergeCell ref="FJ749:FN749"/>
    <mergeCell ref="FO749:FS749"/>
    <mergeCell ref="FY759:GC759"/>
    <mergeCell ref="FE759:FI759"/>
    <mergeCell ref="FJ759:FN759"/>
    <mergeCell ref="FT750:FX750"/>
    <mergeCell ref="FY755:GC755"/>
    <mergeCell ref="FT756:FX756"/>
    <mergeCell ref="FO759:FS759"/>
    <mergeCell ref="FT749:FX749"/>
    <mergeCell ref="FJ741:FN741"/>
    <mergeCell ref="FO741:FS741"/>
    <mergeCell ref="FT741:FX741"/>
    <mergeCell ref="ET728:EX728"/>
    <mergeCell ref="EO736:ES736"/>
    <mergeCell ref="ET736:EX736"/>
    <mergeCell ref="ET729:EX729"/>
    <mergeCell ref="EE728:EI728"/>
    <mergeCell ref="EO737:ES737"/>
    <mergeCell ref="EE731:EI731"/>
    <mergeCell ref="EE737:EI737"/>
    <mergeCell ref="EJ727:EN727"/>
    <mergeCell ref="DZ726:ED726"/>
    <mergeCell ref="EE726:EI726"/>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T739:FX739"/>
    <mergeCell ref="FO738:FS738"/>
    <mergeCell ref="FT738:FX738"/>
    <mergeCell ref="FO740:FS740"/>
    <mergeCell ref="FT740:FX740"/>
    <mergeCell ref="FT742:FX742"/>
    <mergeCell ref="FT758:FX758"/>
    <mergeCell ref="FJ738:FN738"/>
    <mergeCell ref="EZ740:FD740"/>
    <mergeCell ref="EZ735:FD735"/>
    <mergeCell ref="EZ739:FD739"/>
    <mergeCell ref="FE739:FI739"/>
    <mergeCell ref="FJ739:FN739"/>
    <mergeCell ref="FO739:FS739"/>
    <mergeCell ref="EJ742:EN742"/>
    <mergeCell ref="EE741:EI741"/>
    <mergeCell ref="ET740:EX740"/>
    <mergeCell ref="DU738:DY738"/>
    <mergeCell ref="EE736:EI736"/>
    <mergeCell ref="EJ736:EN736"/>
    <mergeCell ref="EO735:ES735"/>
    <mergeCell ref="EJ732:EN732"/>
    <mergeCell ref="EZ736:FD736"/>
    <mergeCell ref="DZ742:ED742"/>
    <mergeCell ref="EZ734:FD734"/>
    <mergeCell ref="DU730:DY730"/>
    <mergeCell ref="EO738:ES738"/>
    <mergeCell ref="ET738:EX738"/>
    <mergeCell ref="FE738:FI738"/>
    <mergeCell ref="EO740:ES740"/>
    <mergeCell ref="ET737:EX737"/>
    <mergeCell ref="EM661:EQ661"/>
    <mergeCell ref="EM675:EQ675"/>
    <mergeCell ref="ER675:EV675"/>
    <mergeCell ref="DZ735:ED735"/>
    <mergeCell ref="EH660:EL660"/>
    <mergeCell ref="DX660:EB660"/>
    <mergeCell ref="ER674:EV674"/>
    <mergeCell ref="ER660:EV660"/>
    <mergeCell ref="DX670:EB670"/>
    <mergeCell ref="ER655:EV655"/>
    <mergeCell ref="EC662:EG662"/>
    <mergeCell ref="EH662:EL662"/>
    <mergeCell ref="EH676:EL676"/>
    <mergeCell ref="DX665:EB665"/>
    <mergeCell ref="EC665:EG665"/>
    <mergeCell ref="EH665:EL665"/>
    <mergeCell ref="EM665:EQ665"/>
    <mergeCell ref="ER678:EV678"/>
    <mergeCell ref="DX677:EB677"/>
    <mergeCell ref="EC678:EG678"/>
    <mergeCell ref="EH678:EL678"/>
    <mergeCell ref="EE730:EI730"/>
    <mergeCell ref="EE732:EI732"/>
    <mergeCell ref="EE735:EI735"/>
    <mergeCell ref="DX676:EB676"/>
    <mergeCell ref="EC676:EG676"/>
    <mergeCell ref="EJ731:EN731"/>
    <mergeCell ref="EO733:ES733"/>
    <mergeCell ref="EE733:EI733"/>
    <mergeCell ref="DZ732:ED732"/>
    <mergeCell ref="EE734:EI734"/>
    <mergeCell ref="EJ734:EN734"/>
    <mergeCell ref="ER648:EV648"/>
    <mergeCell ref="EW655:FA655"/>
    <mergeCell ref="EW658:FA658"/>
    <mergeCell ref="EW656:FA656"/>
    <mergeCell ref="ER649:EV649"/>
    <mergeCell ref="EH649:EL649"/>
    <mergeCell ref="EW652:FA652"/>
    <mergeCell ref="DU727:DY727"/>
    <mergeCell ref="EE725:EI725"/>
    <mergeCell ref="DX649:EB649"/>
    <mergeCell ref="DX655:EB655"/>
    <mergeCell ref="EC671:EG671"/>
    <mergeCell ref="EH671:EL671"/>
    <mergeCell ref="DX663:EB663"/>
    <mergeCell ref="DX664:EB664"/>
    <mergeCell ref="EC664:EG664"/>
    <mergeCell ref="EH664:EL664"/>
    <mergeCell ref="EM664:EQ664"/>
    <mergeCell ref="ET726:EX726"/>
    <mergeCell ref="EO725:ES725"/>
    <mergeCell ref="EW660:FA660"/>
    <mergeCell ref="ER677:EV677"/>
    <mergeCell ref="ER676:EV676"/>
    <mergeCell ref="EW676:FA676"/>
    <mergeCell ref="EW672:FA672"/>
    <mergeCell ref="EH652:EL652"/>
    <mergeCell ref="EC660:EG660"/>
    <mergeCell ref="EC655:EG655"/>
    <mergeCell ref="DX657:EB657"/>
    <mergeCell ref="DX667:EB667"/>
    <mergeCell ref="EH654:EL654"/>
    <mergeCell ref="DZ727:ED727"/>
    <mergeCell ref="EH648:EL648"/>
    <mergeCell ref="EM648:EQ648"/>
    <mergeCell ref="DX647:EB647"/>
    <mergeCell ref="EO727:ES727"/>
    <mergeCell ref="ET727:EX727"/>
    <mergeCell ref="EJ730:EN730"/>
    <mergeCell ref="DZ725:ED725"/>
    <mergeCell ref="EJ726:EN726"/>
    <mergeCell ref="EH672:EL672"/>
    <mergeCell ref="DX674:EB674"/>
    <mergeCell ref="EC674:EG674"/>
    <mergeCell ref="EH668:EL668"/>
    <mergeCell ref="EM668:EQ668"/>
    <mergeCell ref="DX673:EB673"/>
    <mergeCell ref="DX651:EB651"/>
    <mergeCell ref="DX648:EB648"/>
    <mergeCell ref="EH651:EL651"/>
    <mergeCell ref="EM651:EQ651"/>
    <mergeCell ref="EC656:EG656"/>
    <mergeCell ref="EH677:EL677"/>
    <mergeCell ref="EM677:EQ677"/>
    <mergeCell ref="DX672:EB672"/>
    <mergeCell ref="EM674:EQ674"/>
    <mergeCell ref="EM669:EQ669"/>
    <mergeCell ref="ER659:EV659"/>
    <mergeCell ref="DX652:EB652"/>
    <mergeCell ref="DX650:EB650"/>
    <mergeCell ref="EW647:FA647"/>
    <mergeCell ref="EC648:EG648"/>
    <mergeCell ref="DU725:DY725"/>
    <mergeCell ref="EW648:FA648"/>
    <mergeCell ref="ER651:EV651"/>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W661:FA661"/>
    <mergeCell ref="EH657:EL657"/>
    <mergeCell ref="EM659:EQ659"/>
    <mergeCell ref="EH655:EL655"/>
    <mergeCell ref="EM655:EQ655"/>
    <mergeCell ref="EW659:FA659"/>
    <mergeCell ref="EW657:FA657"/>
    <mergeCell ref="EH650:EL650"/>
    <mergeCell ref="EM650:EQ650"/>
    <mergeCell ref="ER650:EV650"/>
    <mergeCell ref="EC652:EG652"/>
    <mergeCell ref="ER657:EV657"/>
    <mergeCell ref="EW649:FA649"/>
    <mergeCell ref="ER647:EV647"/>
    <mergeCell ref="EW646:FA646"/>
    <mergeCell ref="ER656:EV656"/>
    <mergeCell ref="DX653:EB653"/>
    <mergeCell ref="EH661:EL661"/>
    <mergeCell ref="EM657:EQ657"/>
    <mergeCell ref="EM662:EQ662"/>
    <mergeCell ref="ER662:EV662"/>
    <mergeCell ref="EM660:EQ660"/>
    <mergeCell ref="DX658:EB658"/>
    <mergeCell ref="EC658:EG658"/>
    <mergeCell ref="EC663:EG663"/>
    <mergeCell ref="DX675:EB675"/>
    <mergeCell ref="FE725:FI725"/>
    <mergeCell ref="FJ725:FN725"/>
    <mergeCell ref="FO725:FS725"/>
    <mergeCell ref="EW678:FA678"/>
    <mergeCell ref="EW664:FA664"/>
    <mergeCell ref="ER658:EV658"/>
    <mergeCell ref="EM658:EQ658"/>
    <mergeCell ref="DX661:EB661"/>
    <mergeCell ref="EC661:EG661"/>
    <mergeCell ref="DX662:EB662"/>
    <mergeCell ref="DX659:EB659"/>
    <mergeCell ref="EC659:EG659"/>
    <mergeCell ref="EM676:EQ676"/>
    <mergeCell ref="DX678:EB678"/>
    <mergeCell ref="EM672:EQ672"/>
    <mergeCell ref="ER672:EV672"/>
    <mergeCell ref="EC675:EG675"/>
    <mergeCell ref="EH675:EL675"/>
    <mergeCell ref="EW674:FA674"/>
    <mergeCell ref="EW662:FA662"/>
    <mergeCell ref="EH653:EL653"/>
    <mergeCell ref="EM653:EQ653"/>
    <mergeCell ref="ER664:EV664"/>
    <mergeCell ref="EH667:EL667"/>
    <mergeCell ref="EC669:EG669"/>
    <mergeCell ref="EH669:EL669"/>
    <mergeCell ref="ER669:EV669"/>
    <mergeCell ref="EM678:EQ678"/>
    <mergeCell ref="ER668:EV668"/>
    <mergeCell ref="EC670:EG670"/>
    <mergeCell ref="EH670:EL670"/>
    <mergeCell ref="EW670:FA670"/>
    <mergeCell ref="DX671:EB671"/>
    <mergeCell ref="ET759:EX759"/>
    <mergeCell ref="EJ761:EN761"/>
    <mergeCell ref="EW668:FA668"/>
    <mergeCell ref="DX669:EB669"/>
    <mergeCell ref="EE760:EI760"/>
    <mergeCell ref="EO746:ES746"/>
    <mergeCell ref="EE746:EI746"/>
    <mergeCell ref="EJ744:EN744"/>
    <mergeCell ref="EO731:ES731"/>
    <mergeCell ref="EO729:ES729"/>
    <mergeCell ref="ET733:EX733"/>
    <mergeCell ref="DU732:DY732"/>
    <mergeCell ref="EO732:ES732"/>
    <mergeCell ref="ET732:EX732"/>
    <mergeCell ref="EO734:ES734"/>
    <mergeCell ref="ET734:EX734"/>
    <mergeCell ref="ET730:EX730"/>
    <mergeCell ref="EJ743:EN743"/>
    <mergeCell ref="EO743:ES743"/>
    <mergeCell ref="DZ736:ED736"/>
    <mergeCell ref="EW675:FA675"/>
    <mergeCell ref="EC677:EG677"/>
    <mergeCell ref="EW669:FA669"/>
    <mergeCell ref="EM670:EQ670"/>
    <mergeCell ref="ER670:EV670"/>
    <mergeCell ref="DU735:DY735"/>
    <mergeCell ref="EZ741:FD741"/>
    <mergeCell ref="ET748:EX748"/>
    <mergeCell ref="DU761:DY761"/>
    <mergeCell ref="DZ758:ED758"/>
    <mergeCell ref="DZ761:ED761"/>
    <mergeCell ref="DZ746:ED746"/>
    <mergeCell ref="EJ733:EN733"/>
    <mergeCell ref="ET731:EX731"/>
    <mergeCell ref="DU733:DY733"/>
    <mergeCell ref="DZ733:ED733"/>
    <mergeCell ref="DU731:DY731"/>
    <mergeCell ref="EH674:EL674"/>
    <mergeCell ref="DU742:DY742"/>
    <mergeCell ref="DU741:DY741"/>
    <mergeCell ref="EZ725:FD725"/>
    <mergeCell ref="EW677:FA677"/>
    <mergeCell ref="EZ728:FD728"/>
    <mergeCell ref="DU734:DY734"/>
    <mergeCell ref="DZ739:ED739"/>
    <mergeCell ref="EE739:EI739"/>
    <mergeCell ref="EJ739:EN739"/>
    <mergeCell ref="DU740:DY740"/>
    <mergeCell ref="DZ734:ED734"/>
    <mergeCell ref="EO728:ES728"/>
    <mergeCell ref="EO730:ES730"/>
    <mergeCell ref="ET742:EX742"/>
    <mergeCell ref="EE748:EI748"/>
    <mergeCell ref="EM649:EQ649"/>
    <mergeCell ref="ER663:EV663"/>
    <mergeCell ref="EH656:EL656"/>
    <mergeCell ref="EH659:EL659"/>
    <mergeCell ref="ER661:EV661"/>
    <mergeCell ref="EW663:FA663"/>
    <mergeCell ref="EE759:EI759"/>
    <mergeCell ref="DU759:DY759"/>
    <mergeCell ref="DZ759:ED759"/>
    <mergeCell ref="CI761:CJ761"/>
    <mergeCell ref="EE761:EI761"/>
    <mergeCell ref="EZ761:FD761"/>
    <mergeCell ref="ER665:EV665"/>
    <mergeCell ref="EW665:FA665"/>
    <mergeCell ref="EO761:ES761"/>
    <mergeCell ref="EM656:EQ656"/>
    <mergeCell ref="EH663:EL663"/>
    <mergeCell ref="EM663:EQ663"/>
    <mergeCell ref="DU726:DY726"/>
    <mergeCell ref="DU729:DY729"/>
    <mergeCell ref="EE729:EI729"/>
    <mergeCell ref="EJ729:EN729"/>
    <mergeCell ref="CK753:CL753"/>
    <mergeCell ref="EJ745:EN745"/>
    <mergeCell ref="DZ744:ED744"/>
    <mergeCell ref="EE744:EI744"/>
    <mergeCell ref="DJ759:DN759"/>
    <mergeCell ref="DJ738:DN738"/>
    <mergeCell ref="EJ735:EN735"/>
    <mergeCell ref="EW666:FA666"/>
    <mergeCell ref="CU760:CY760"/>
    <mergeCell ref="CZ753:DD753"/>
    <mergeCell ref="DE784:DI784"/>
    <mergeCell ref="DJ754:DN754"/>
    <mergeCell ref="DE758:DI758"/>
    <mergeCell ref="DJ758:DN758"/>
    <mergeCell ref="DO782:DS782"/>
    <mergeCell ref="CZ783:DD783"/>
    <mergeCell ref="CZ784:DD784"/>
    <mergeCell ref="DJ752:DN752"/>
    <mergeCell ref="DJ751:DN751"/>
    <mergeCell ref="DO751:DS751"/>
    <mergeCell ref="CZ782:DD782"/>
    <mergeCell ref="DE783:DI783"/>
    <mergeCell ref="DU760:DY760"/>
    <mergeCell ref="DZ760:ED760"/>
    <mergeCell ref="DJ782:DN782"/>
    <mergeCell ref="DE781:DI781"/>
    <mergeCell ref="DE782:DI782"/>
    <mergeCell ref="DJ761:DN761"/>
    <mergeCell ref="DJ784:DN784"/>
    <mergeCell ref="DO784:DS784"/>
    <mergeCell ref="CM748:CN748"/>
    <mergeCell ref="EO760:ES760"/>
    <mergeCell ref="EJ760:EN760"/>
    <mergeCell ref="EE738:EI738"/>
    <mergeCell ref="EJ738:EN738"/>
    <mergeCell ref="DZ741:ED741"/>
    <mergeCell ref="DO748:DS748"/>
    <mergeCell ref="DJ748:DN748"/>
    <mergeCell ref="DO762:DS762"/>
    <mergeCell ref="DE761:DI761"/>
    <mergeCell ref="EJ748:EN748"/>
    <mergeCell ref="DO740:DS740"/>
    <mergeCell ref="EJ759:EN759"/>
    <mergeCell ref="DO739:DS739"/>
    <mergeCell ref="CP740:CT740"/>
    <mergeCell ref="EJ747:EN747"/>
    <mergeCell ref="DJ746:DN746"/>
    <mergeCell ref="EO748:ES748"/>
    <mergeCell ref="DO746:DS746"/>
    <mergeCell ref="DZ753:ED753"/>
    <mergeCell ref="CU748:CY748"/>
    <mergeCell ref="CU753:CY753"/>
    <mergeCell ref="EE749:EI749"/>
    <mergeCell ref="DE754:DI754"/>
    <mergeCell ref="EO744:ES744"/>
    <mergeCell ref="EO741:ES741"/>
    <mergeCell ref="EO742:ES742"/>
    <mergeCell ref="DZ747:ED747"/>
    <mergeCell ref="DU757:DY757"/>
    <mergeCell ref="DZ757:ED757"/>
    <mergeCell ref="DO754:DS754"/>
    <mergeCell ref="CZ754:DD754"/>
    <mergeCell ref="DE748:DI748"/>
    <mergeCell ref="DU748:DY748"/>
    <mergeCell ref="DZ748:ED748"/>
    <mergeCell ref="DO781:DS781"/>
    <mergeCell ref="CM738:CN738"/>
    <mergeCell ref="CU743:CY743"/>
    <mergeCell ref="CP743:CT743"/>
    <mergeCell ref="CM737:CN737"/>
    <mergeCell ref="CM735:CN735"/>
    <mergeCell ref="CK734:CL734"/>
    <mergeCell ref="DU746:DY746"/>
    <mergeCell ref="DU744:DY744"/>
    <mergeCell ref="CZ736:DD736"/>
    <mergeCell ref="DO728:DS728"/>
    <mergeCell ref="DO730:DS730"/>
    <mergeCell ref="DZ731:ED731"/>
    <mergeCell ref="EE727:EI727"/>
    <mergeCell ref="DZ728:ED728"/>
    <mergeCell ref="DZ738:ED738"/>
    <mergeCell ref="DU743:DY743"/>
    <mergeCell ref="DO745:DS745"/>
    <mergeCell ref="CU744:CY744"/>
    <mergeCell ref="CZ740:DD740"/>
    <mergeCell ref="CU729:CY729"/>
    <mergeCell ref="CU737:CY737"/>
    <mergeCell ref="CZ731:DD731"/>
    <mergeCell ref="CK738:CL738"/>
    <mergeCell ref="CP739:CT739"/>
    <mergeCell ref="DO750:DS750"/>
    <mergeCell ref="CU751:CY751"/>
    <mergeCell ref="CZ751:DD751"/>
    <mergeCell ref="DE753:DI753"/>
    <mergeCell ref="DE738:DI738"/>
    <mergeCell ref="DO736:DS736"/>
    <mergeCell ref="DO731:DS731"/>
    <mergeCell ref="DO732:DS732"/>
    <mergeCell ref="DO734:DS734"/>
    <mergeCell ref="DE741:DI741"/>
    <mergeCell ref="DJ744:DN744"/>
    <mergeCell ref="DO733:DS733"/>
    <mergeCell ref="ET744:EX744"/>
    <mergeCell ref="DZ745:ED745"/>
    <mergeCell ref="EJ746:EN746"/>
    <mergeCell ref="ET745:EX745"/>
    <mergeCell ref="DJ728:DN728"/>
    <mergeCell ref="DJ725:DN725"/>
    <mergeCell ref="DJ730:DN730"/>
    <mergeCell ref="DE731:DI731"/>
    <mergeCell ref="EJ737:EN737"/>
    <mergeCell ref="EE745:EI745"/>
    <mergeCell ref="ET741:EX741"/>
    <mergeCell ref="DE732:DI732"/>
    <mergeCell ref="DE737:DI737"/>
    <mergeCell ref="DO729:DS729"/>
    <mergeCell ref="DO738:DS738"/>
    <mergeCell ref="DJ735:DN735"/>
    <mergeCell ref="DJ734:DN734"/>
    <mergeCell ref="DO735:DS735"/>
    <mergeCell ref="DZ743:ED743"/>
    <mergeCell ref="ET746:EX746"/>
    <mergeCell ref="DO737:DS737"/>
    <mergeCell ref="DO727:DS727"/>
    <mergeCell ref="EO726:ES726"/>
    <mergeCell ref="DU728:DY728"/>
    <mergeCell ref="ET725:EX725"/>
    <mergeCell ref="CP804:CT804"/>
    <mergeCell ref="CP801:CT801"/>
    <mergeCell ref="CP800:CT800"/>
    <mergeCell ref="CP799:CT799"/>
    <mergeCell ref="CP798:CT798"/>
    <mergeCell ref="CZ761:DD761"/>
    <mergeCell ref="DJ783:DN783"/>
    <mergeCell ref="CU747:CY747"/>
    <mergeCell ref="DJ742:DN742"/>
    <mergeCell ref="CP797:CT797"/>
    <mergeCell ref="CP795:CT795"/>
    <mergeCell ref="CP761:CT761"/>
    <mergeCell ref="DO747:DS747"/>
    <mergeCell ref="DJ750:DN750"/>
    <mergeCell ref="DU758:DY758"/>
    <mergeCell ref="DO760:DS760"/>
    <mergeCell ref="DE759:DI759"/>
    <mergeCell ref="DE746:DI746"/>
    <mergeCell ref="DU745:DY745"/>
    <mergeCell ref="DU747:DY747"/>
    <mergeCell ref="DJ781:DN781"/>
    <mergeCell ref="DO759:DS759"/>
    <mergeCell ref="DJ785:DN785"/>
    <mergeCell ref="DO785:DS785"/>
    <mergeCell ref="CZ785:DD785"/>
    <mergeCell ref="DE785:DI785"/>
    <mergeCell ref="DJ760:DN760"/>
    <mergeCell ref="CU757:CY757"/>
    <mergeCell ref="DO752:DS752"/>
    <mergeCell ref="EJ728:EN728"/>
    <mergeCell ref="EE742:EI742"/>
    <mergeCell ref="CI737:CJ737"/>
    <mergeCell ref="EM644:EQ644"/>
    <mergeCell ref="DX645:EB645"/>
    <mergeCell ref="AC641:AE641"/>
    <mergeCell ref="B647:AN647"/>
    <mergeCell ref="B648:AN648"/>
    <mergeCell ref="B727:F727"/>
    <mergeCell ref="G731:J731"/>
    <mergeCell ref="O733:S733"/>
    <mergeCell ref="O734:S734"/>
    <mergeCell ref="AK745:AO745"/>
    <mergeCell ref="X743:AB743"/>
    <mergeCell ref="X744:AB744"/>
    <mergeCell ref="T743:W743"/>
    <mergeCell ref="T742:W742"/>
    <mergeCell ref="EO745:ES745"/>
    <mergeCell ref="DZ729:ED729"/>
    <mergeCell ref="DZ730:ED730"/>
    <mergeCell ref="G744:J744"/>
    <mergeCell ref="AK736:AO736"/>
    <mergeCell ref="G653:R653"/>
    <mergeCell ref="H680:R680"/>
    <mergeCell ref="P687:R687"/>
    <mergeCell ref="B722:F725"/>
    <mergeCell ref="G737:J737"/>
    <mergeCell ref="B734:F734"/>
    <mergeCell ref="CI738:CJ738"/>
    <mergeCell ref="DO743:DS743"/>
    <mergeCell ref="DO744:DS744"/>
    <mergeCell ref="CI744:CJ744"/>
    <mergeCell ref="EJ725:EN725"/>
    <mergeCell ref="DE744:DI744"/>
    <mergeCell ref="P430:R430"/>
    <mergeCell ref="Q398:U398"/>
    <mergeCell ref="AI567:AL567"/>
    <mergeCell ref="AC526:AF526"/>
    <mergeCell ref="AH512:AK512"/>
    <mergeCell ref="AI563:AL563"/>
    <mergeCell ref="T566:V566"/>
    <mergeCell ref="AI564:AL564"/>
    <mergeCell ref="T565:V565"/>
    <mergeCell ref="W564:Y564"/>
    <mergeCell ref="Q564:S564"/>
    <mergeCell ref="M562:P562"/>
    <mergeCell ref="AC536:AF536"/>
    <mergeCell ref="T567:V567"/>
    <mergeCell ref="AE564:AH564"/>
    <mergeCell ref="R420:S420"/>
    <mergeCell ref="W473:Y473"/>
    <mergeCell ref="AC525:AF525"/>
    <mergeCell ref="AH509:AK509"/>
    <mergeCell ref="G482:V482"/>
    <mergeCell ref="AH534:AK534"/>
    <mergeCell ref="W566:Y566"/>
    <mergeCell ref="AE566:AH566"/>
    <mergeCell ref="C565:L565"/>
    <mergeCell ref="AG400:AJ400"/>
    <mergeCell ref="K413:AJ413"/>
    <mergeCell ref="Z441:AA441"/>
    <mergeCell ref="Q495:AK495"/>
    <mergeCell ref="Q494:AK494"/>
    <mergeCell ref="AH510:AK510"/>
    <mergeCell ref="AC507:AK507"/>
    <mergeCell ref="W476:Y476"/>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E567:AH567"/>
    <mergeCell ref="AC524:AF524"/>
    <mergeCell ref="AI621:AK621"/>
    <mergeCell ref="AA622:AK622"/>
    <mergeCell ref="AC632:AE634"/>
    <mergeCell ref="AH517:AK517"/>
    <mergeCell ref="AM566:AS566"/>
    <mergeCell ref="Z589:AE589"/>
    <mergeCell ref="Z594:AK594"/>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21:AL21"/>
    <mergeCell ref="M27:Q27"/>
    <mergeCell ref="A13:AT14"/>
    <mergeCell ref="AM564:AS564"/>
    <mergeCell ref="AI570:AL570"/>
    <mergeCell ref="AM569:AS569"/>
    <mergeCell ref="G596:R596"/>
    <mergeCell ref="Z588:AK588"/>
    <mergeCell ref="Z603:AK603"/>
    <mergeCell ref="G611:R611"/>
    <mergeCell ref="AC637:AE637"/>
    <mergeCell ref="M632:P634"/>
    <mergeCell ref="G587:R587"/>
    <mergeCell ref="G602:R602"/>
    <mergeCell ref="Z602:AK602"/>
    <mergeCell ref="Q632:S634"/>
    <mergeCell ref="M573:P573"/>
    <mergeCell ref="Z619:AK619"/>
    <mergeCell ref="AK635:AN635"/>
    <mergeCell ref="AM573:AS573"/>
    <mergeCell ref="N607:O607"/>
    <mergeCell ref="AA598:AK598"/>
    <mergeCell ref="AI597:AK597"/>
    <mergeCell ref="Z604:AK604"/>
    <mergeCell ref="H606:R606"/>
    <mergeCell ref="A625:AT626"/>
    <mergeCell ref="G610:R610"/>
    <mergeCell ref="Z617:AK617"/>
    <mergeCell ref="M582:R582"/>
    <mergeCell ref="Z621:AE621"/>
    <mergeCell ref="N623:O623"/>
    <mergeCell ref="H622:R622"/>
    <mergeCell ref="P597:R597"/>
    <mergeCell ref="Z596:AK596"/>
    <mergeCell ref="AA606:AK606"/>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AF643:AJ643"/>
    <mergeCell ref="O784:S784"/>
    <mergeCell ref="O777:S780"/>
    <mergeCell ref="O799:S799"/>
    <mergeCell ref="K748:N748"/>
    <mergeCell ref="AH745:AJ745"/>
    <mergeCell ref="AH746:AJ746"/>
    <mergeCell ref="AH744:AJ744"/>
    <mergeCell ref="B756:F756"/>
    <mergeCell ref="M965:S965"/>
    <mergeCell ref="AB966:AK966"/>
    <mergeCell ref="AK749:AO749"/>
    <mergeCell ref="AE967:AK967"/>
    <mergeCell ref="F925:T926"/>
    <mergeCell ref="C774:AR776"/>
    <mergeCell ref="AE971:AK971"/>
    <mergeCell ref="M970:S970"/>
    <mergeCell ref="T758:W758"/>
    <mergeCell ref="AK757:AO757"/>
    <mergeCell ref="B748:F748"/>
    <mergeCell ref="AE969:AK969"/>
    <mergeCell ref="G761:J761"/>
    <mergeCell ref="AD767:AF767"/>
    <mergeCell ref="O754:S754"/>
    <mergeCell ref="O751:S751"/>
    <mergeCell ref="T751:W751"/>
    <mergeCell ref="K752:N752"/>
    <mergeCell ref="O752:S752"/>
    <mergeCell ref="AA939:AF939"/>
    <mergeCell ref="I959:T959"/>
    <mergeCell ref="B751:F751"/>
    <mergeCell ref="U950:Z950"/>
    <mergeCell ref="AA952:AF952"/>
    <mergeCell ref="F951:T951"/>
    <mergeCell ref="U951:Z951"/>
    <mergeCell ref="K753:N753"/>
    <mergeCell ref="T748:W748"/>
    <mergeCell ref="G749:J749"/>
    <mergeCell ref="O750:S750"/>
    <mergeCell ref="AC755:AG755"/>
    <mergeCell ref="F940:T940"/>
    <mergeCell ref="U945:Z945"/>
    <mergeCell ref="O748:S748"/>
    <mergeCell ref="U948:Z948"/>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AJ1002:AQ1002"/>
    <mergeCell ref="M981:S981"/>
    <mergeCell ref="M980:S980"/>
    <mergeCell ref="AA979:AG979"/>
    <mergeCell ref="AF1032:AI1033"/>
    <mergeCell ref="M979:S979"/>
    <mergeCell ref="AA980:AG980"/>
    <mergeCell ref="T981:Z981"/>
    <mergeCell ref="M984:S984"/>
    <mergeCell ref="AF1030:AI1031"/>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7:D1097"/>
    <mergeCell ref="C1093:D1093"/>
    <mergeCell ref="C1094:D1094"/>
    <mergeCell ref="C1096:D1096"/>
    <mergeCell ref="AJ1062:AQ1062"/>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9:D1099"/>
    <mergeCell ref="C1100:D1100"/>
    <mergeCell ref="A1074:B1074"/>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59">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51" zoomScale="76" zoomScaleNormal="125" workbookViewId="0">
      <selection activeCell="C4" sqref="C4"/>
    </sheetView>
  </sheetViews>
  <sheetFormatPr defaultColWidth="0" defaultRowHeight="12" zeroHeight="1"/>
  <cols>
    <col min="1" max="1" width="35.7109375" style="187" customWidth="1"/>
    <col min="2" max="12" width="12.140625" style="158" customWidth="1"/>
    <col min="13" max="17" width="11.28515625" style="158" customWidth="1"/>
    <col min="18" max="18" width="12.7109375" style="158" customWidth="1"/>
    <col min="19" max="20" width="12.140625" style="158" customWidth="1"/>
    <col min="21" max="21" width="0.28515625" style="161" customWidth="1"/>
    <col min="22" max="16383" width="8.85546875" style="158" hidden="1"/>
    <col min="16384" max="16384" width="0.140625" style="158" customWidth="1"/>
  </cols>
  <sheetData>
    <row r="1" spans="1:21" s="110" customFormat="1" ht="13.5">
      <c r="A1" s="168" t="s">
        <v>547</v>
      </c>
      <c r="B1" s="125"/>
      <c r="C1" s="125"/>
      <c r="D1" s="125"/>
      <c r="E1" s="126"/>
      <c r="F1" s="1895" t="s">
        <v>619</v>
      </c>
      <c r="G1" s="1896"/>
      <c r="H1" s="1896"/>
      <c r="I1" s="1896"/>
      <c r="J1" s="1896"/>
      <c r="K1" s="1896"/>
      <c r="L1" s="1896"/>
      <c r="M1" s="1896"/>
      <c r="N1" s="1896"/>
      <c r="O1" s="1896"/>
      <c r="P1" s="1896"/>
      <c r="Q1" s="1896"/>
      <c r="R1" s="1897"/>
      <c r="S1" s="112"/>
      <c r="T1" s="111"/>
      <c r="U1" s="113"/>
    </row>
    <row r="2" spans="1:21" s="138" customFormat="1" ht="71.25" customHeight="1">
      <c r="A2" s="137"/>
      <c r="B2" s="138" t="s">
        <v>23</v>
      </c>
      <c r="C2" s="138" t="s">
        <v>373</v>
      </c>
      <c r="D2" s="138" t="s">
        <v>372</v>
      </c>
      <c r="E2" s="138" t="s">
        <v>24</v>
      </c>
      <c r="F2" s="139" t="str">
        <f>Application!B635&amp;Application!C635</f>
        <v>1)Permanent Loan</v>
      </c>
      <c r="G2" s="139" t="str">
        <f>Application!B636&amp;Application!C636</f>
        <v>2)LACAHSA - Residual Receipt Loan</v>
      </c>
      <c r="H2" s="139" t="str">
        <f>Application!B637&amp;Application!C637</f>
        <v>3)LACAHSA - Matching Grant</v>
      </c>
      <c r="I2" s="139" t="str">
        <f>Application!B638&amp;Application!C638</f>
        <v>4)City of Long Beach Development Loan</v>
      </c>
      <c r="J2" s="139" t="str">
        <f>Application!B639&amp;Application!C639</f>
        <v>5)Accrued and Deferred Soft loan Interest</v>
      </c>
      <c r="K2" s="139" t="str">
        <f>Application!B640&amp;Application!C640</f>
        <v>6)Deferred Developer Fee</v>
      </c>
      <c r="L2" s="139" t="str">
        <f>Application!B641&amp;Application!C641</f>
        <v>7)GP Capital Contributions</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182</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5041189</v>
      </c>
      <c r="C4" s="147">
        <v>5041189</v>
      </c>
      <c r="D4" s="147"/>
      <c r="E4" s="147">
        <f>B4-SUM(F4:Q4)</f>
        <v>5041189</v>
      </c>
      <c r="F4" s="147"/>
      <c r="G4" s="147"/>
      <c r="H4" s="147"/>
      <c r="I4" s="147"/>
      <c r="J4" s="147"/>
      <c r="K4" s="147"/>
      <c r="L4" s="147"/>
      <c r="M4" s="147"/>
      <c r="N4" s="147"/>
      <c r="O4" s="147"/>
      <c r="P4" s="147"/>
      <c r="Q4" s="147"/>
      <c r="R4" s="512">
        <f>SUM(E4:Q4)</f>
        <v>5041189</v>
      </c>
      <c r="S4" s="148"/>
      <c r="T4" s="148"/>
      <c r="U4" s="143"/>
    </row>
    <row r="5" spans="1:21" s="144" customFormat="1">
      <c r="A5" s="145" t="s">
        <v>28</v>
      </c>
      <c r="B5" s="146">
        <f>SUM(C5+D5)</f>
        <v>0</v>
      </c>
      <c r="C5" s="147"/>
      <c r="D5" s="147"/>
      <c r="E5" s="147">
        <f t="shared" ref="E5:E7" si="0">B5-SUM(F5:Q5)</f>
        <v>0</v>
      </c>
      <c r="F5" s="147"/>
      <c r="G5" s="147"/>
      <c r="H5" s="147"/>
      <c r="I5" s="147"/>
      <c r="J5" s="147"/>
      <c r="K5" s="147"/>
      <c r="L5" s="147"/>
      <c r="M5" s="147"/>
      <c r="N5" s="147"/>
      <c r="O5" s="147"/>
      <c r="P5" s="147"/>
      <c r="Q5" s="147"/>
      <c r="R5" s="512">
        <f>SUM(E5:Q5)</f>
        <v>0</v>
      </c>
      <c r="S5" s="148"/>
      <c r="T5" s="148"/>
      <c r="U5" s="143"/>
    </row>
    <row r="6" spans="1:21" s="144" customFormat="1">
      <c r="A6" s="145" t="s">
        <v>29</v>
      </c>
      <c r="B6" s="146">
        <f>SUM(C6+D6)</f>
        <v>35000</v>
      </c>
      <c r="C6" s="147">
        <v>35000</v>
      </c>
      <c r="D6" s="147"/>
      <c r="E6" s="147">
        <f t="shared" si="0"/>
        <v>35000</v>
      </c>
      <c r="F6" s="147"/>
      <c r="G6" s="147"/>
      <c r="H6" s="147"/>
      <c r="I6" s="147"/>
      <c r="J6" s="147"/>
      <c r="K6" s="147"/>
      <c r="L6" s="147"/>
      <c r="M6" s="147"/>
      <c r="N6" s="147"/>
      <c r="O6" s="147"/>
      <c r="P6" s="147"/>
      <c r="Q6" s="147"/>
      <c r="R6" s="512">
        <f>SUM(E6:Q6)</f>
        <v>35000</v>
      </c>
      <c r="S6" s="148"/>
      <c r="T6" s="148"/>
      <c r="U6" s="143"/>
    </row>
    <row r="7" spans="1:21" s="144" customFormat="1">
      <c r="A7" s="145" t="s">
        <v>97</v>
      </c>
      <c r="B7" s="146">
        <f>SUM(C7+D7)</f>
        <v>0</v>
      </c>
      <c r="C7" s="147"/>
      <c r="D7" s="147"/>
      <c r="E7" s="147">
        <f t="shared" si="0"/>
        <v>0</v>
      </c>
      <c r="F7" s="147"/>
      <c r="G7" s="147"/>
      <c r="H7" s="147"/>
      <c r="I7" s="147"/>
      <c r="J7" s="147"/>
      <c r="K7" s="147"/>
      <c r="L7" s="147"/>
      <c r="M7" s="147"/>
      <c r="N7" s="147"/>
      <c r="O7" s="147"/>
      <c r="P7" s="147"/>
      <c r="Q7" s="147"/>
      <c r="R7" s="512">
        <f>SUM(E7:Q7)</f>
        <v>0</v>
      </c>
      <c r="S7" s="148"/>
      <c r="T7" s="148"/>
      <c r="U7" s="143"/>
    </row>
    <row r="8" spans="1:21" s="144" customFormat="1">
      <c r="A8" s="149" t="s">
        <v>591</v>
      </c>
      <c r="B8" s="146">
        <f>SUM(C8:D8)</f>
        <v>5076189</v>
      </c>
      <c r="C8" s="146">
        <f t="shared" ref="C8:Q8" si="1">SUM(C4:C7)</f>
        <v>5076189</v>
      </c>
      <c r="D8" s="146">
        <f t="shared" si="1"/>
        <v>0</v>
      </c>
      <c r="E8" s="146">
        <f t="shared" si="1"/>
        <v>5076189</v>
      </c>
      <c r="F8" s="146">
        <f t="shared" si="1"/>
        <v>0</v>
      </c>
      <c r="G8" s="146">
        <f t="shared" si="1"/>
        <v>0</v>
      </c>
      <c r="H8" s="146">
        <f t="shared" si="1"/>
        <v>0</v>
      </c>
      <c r="I8" s="146">
        <f t="shared" si="1"/>
        <v>0</v>
      </c>
      <c r="J8" s="146">
        <f t="shared" si="1"/>
        <v>0</v>
      </c>
      <c r="K8" s="146">
        <f t="shared" si="1"/>
        <v>0</v>
      </c>
      <c r="L8" s="146">
        <f t="shared" si="1"/>
        <v>0</v>
      </c>
      <c r="M8" s="146">
        <f t="shared" si="1"/>
        <v>0</v>
      </c>
      <c r="N8" s="146">
        <f t="shared" si="1"/>
        <v>0</v>
      </c>
      <c r="O8" s="146">
        <f t="shared" si="1"/>
        <v>0</v>
      </c>
      <c r="P8" s="146"/>
      <c r="Q8" s="146">
        <f t="shared" si="1"/>
        <v>0</v>
      </c>
      <c r="R8" s="339">
        <f>SUM(R4:R7)</f>
        <v>5076189</v>
      </c>
      <c r="S8" s="148"/>
      <c r="T8" s="148"/>
      <c r="U8" s="143"/>
    </row>
    <row r="9" spans="1:21" s="144" customFormat="1">
      <c r="A9" s="145" t="s">
        <v>592</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593</v>
      </c>
      <c r="B10" s="146">
        <f>SUM(C10+D10)</f>
        <v>0</v>
      </c>
      <c r="C10" s="147"/>
      <c r="D10" s="147"/>
      <c r="E10" s="147"/>
      <c r="F10" s="147"/>
      <c r="G10" s="147"/>
      <c r="H10" s="147"/>
      <c r="I10" s="147"/>
      <c r="J10" s="147"/>
      <c r="K10" s="147"/>
      <c r="L10" s="147"/>
      <c r="M10" s="147"/>
      <c r="N10" s="147"/>
      <c r="O10" s="147"/>
      <c r="P10" s="147"/>
      <c r="Q10" s="147"/>
      <c r="R10" s="512">
        <f>SUM(E10:Q10)</f>
        <v>0</v>
      </c>
      <c r="S10" s="147"/>
      <c r="T10" s="147"/>
      <c r="U10" s="143"/>
    </row>
    <row r="11" spans="1:21" s="144" customFormat="1">
      <c r="A11" s="149" t="s">
        <v>594</v>
      </c>
      <c r="B11" s="146">
        <f>SUM(C11:D11)</f>
        <v>0</v>
      </c>
      <c r="C11" s="146">
        <f t="shared" ref="C11:Q11" si="2">SUM(C9:C10)</f>
        <v>0</v>
      </c>
      <c r="D11" s="146">
        <f t="shared" si="2"/>
        <v>0</v>
      </c>
      <c r="E11" s="146">
        <f t="shared" si="2"/>
        <v>0</v>
      </c>
      <c r="F11" s="146">
        <f t="shared" si="2"/>
        <v>0</v>
      </c>
      <c r="G11" s="146">
        <f t="shared" si="2"/>
        <v>0</v>
      </c>
      <c r="H11" s="146">
        <f t="shared" si="2"/>
        <v>0</v>
      </c>
      <c r="I11" s="146">
        <f t="shared" si="2"/>
        <v>0</v>
      </c>
      <c r="J11" s="146">
        <f t="shared" si="2"/>
        <v>0</v>
      </c>
      <c r="K11" s="146">
        <f t="shared" si="2"/>
        <v>0</v>
      </c>
      <c r="L11" s="146">
        <f t="shared" si="2"/>
        <v>0</v>
      </c>
      <c r="M11" s="146">
        <f t="shared" si="2"/>
        <v>0</v>
      </c>
      <c r="N11" s="146">
        <f t="shared" si="2"/>
        <v>0</v>
      </c>
      <c r="O11" s="146">
        <f t="shared" si="2"/>
        <v>0</v>
      </c>
      <c r="P11" s="146"/>
      <c r="Q11" s="146">
        <f t="shared" si="2"/>
        <v>0</v>
      </c>
      <c r="R11" s="339">
        <f>SUM(R9:R10)</f>
        <v>0</v>
      </c>
      <c r="S11" s="148"/>
      <c r="T11" s="150">
        <f>SUM(T9:T10)</f>
        <v>0</v>
      </c>
      <c r="U11" s="143"/>
    </row>
    <row r="12" spans="1:21" s="144" customFormat="1">
      <c r="A12" s="149" t="s">
        <v>84</v>
      </c>
      <c r="B12" s="146">
        <f t="shared" ref="B12:Q12" si="3">SUM(B8+B11)</f>
        <v>5076189</v>
      </c>
      <c r="C12" s="146">
        <f t="shared" si="3"/>
        <v>5076189</v>
      </c>
      <c r="D12" s="146">
        <f t="shared" si="3"/>
        <v>0</v>
      </c>
      <c r="E12" s="146">
        <f t="shared" si="3"/>
        <v>5076189</v>
      </c>
      <c r="F12" s="146">
        <f t="shared" si="3"/>
        <v>0</v>
      </c>
      <c r="G12" s="146">
        <f t="shared" si="3"/>
        <v>0</v>
      </c>
      <c r="H12" s="146">
        <f t="shared" si="3"/>
        <v>0</v>
      </c>
      <c r="I12" s="146">
        <f t="shared" si="3"/>
        <v>0</v>
      </c>
      <c r="J12" s="146">
        <f t="shared" si="3"/>
        <v>0</v>
      </c>
      <c r="K12" s="146">
        <f t="shared" si="3"/>
        <v>0</v>
      </c>
      <c r="L12" s="146">
        <f t="shared" si="3"/>
        <v>0</v>
      </c>
      <c r="M12" s="146">
        <f t="shared" si="3"/>
        <v>0</v>
      </c>
      <c r="N12" s="146">
        <f t="shared" si="3"/>
        <v>0</v>
      </c>
      <c r="O12" s="146">
        <f t="shared" si="3"/>
        <v>0</v>
      </c>
      <c r="P12" s="146"/>
      <c r="Q12" s="146">
        <f t="shared" si="3"/>
        <v>0</v>
      </c>
      <c r="R12" s="339">
        <f>SUM(R8+R11)</f>
        <v>5076189</v>
      </c>
      <c r="S12" s="148"/>
      <c r="T12" s="148"/>
      <c r="U12" s="143"/>
    </row>
    <row r="13" spans="1:21" s="144" customFormat="1">
      <c r="A13" s="287" t="s">
        <v>900</v>
      </c>
      <c r="B13" s="146">
        <f>SUM(C13+D13)</f>
        <v>0</v>
      </c>
      <c r="C13" s="147"/>
      <c r="D13" s="147"/>
      <c r="E13" s="147">
        <f>B13-SUM(C13:D13)</f>
        <v>0</v>
      </c>
      <c r="F13" s="147"/>
      <c r="G13" s="147"/>
      <c r="H13" s="147"/>
      <c r="I13" s="147"/>
      <c r="J13" s="147"/>
      <c r="K13" s="147"/>
      <c r="L13" s="147"/>
      <c r="M13" s="147"/>
      <c r="N13" s="147"/>
      <c r="O13" s="147"/>
      <c r="P13" s="147"/>
      <c r="Q13" s="147"/>
      <c r="R13" s="512">
        <f>SUM(E13:Q13)</f>
        <v>0</v>
      </c>
      <c r="S13" s="147"/>
      <c r="T13" s="147"/>
      <c r="U13" s="143"/>
    </row>
    <row r="14" spans="1:21" s="144" customFormat="1" ht="24">
      <c r="A14" s="288" t="s">
        <v>1629</v>
      </c>
      <c r="B14" s="146">
        <f>SUM(C14+D14)</f>
        <v>0</v>
      </c>
      <c r="C14" s="147"/>
      <c r="D14" s="147"/>
      <c r="E14" s="147">
        <f>B14-SUM(C14:D14)</f>
        <v>0</v>
      </c>
      <c r="F14" s="147"/>
      <c r="G14" s="147"/>
      <c r="H14" s="147"/>
      <c r="I14" s="147"/>
      <c r="J14" s="147"/>
      <c r="K14" s="147"/>
      <c r="L14" s="147"/>
      <c r="M14" s="147"/>
      <c r="N14" s="147"/>
      <c r="O14" s="147"/>
      <c r="P14" s="147"/>
      <c r="Q14" s="147"/>
      <c r="R14" s="512">
        <f>SUM(E14:Q14)</f>
        <v>0</v>
      </c>
      <c r="S14" s="147"/>
      <c r="T14" s="147"/>
      <c r="U14" s="143"/>
    </row>
    <row r="15" spans="1:21" s="144" customFormat="1">
      <c r="A15" s="288" t="s">
        <v>1158</v>
      </c>
      <c r="B15" s="146">
        <f>SUM(C15+D15)</f>
        <v>0</v>
      </c>
      <c r="C15" s="147"/>
      <c r="D15" s="147"/>
      <c r="E15" s="147">
        <f>B15-SUM(C15:D15)</f>
        <v>0</v>
      </c>
      <c r="F15" s="147"/>
      <c r="G15" s="147"/>
      <c r="H15" s="147"/>
      <c r="I15" s="147"/>
      <c r="J15" s="147"/>
      <c r="K15" s="147"/>
      <c r="L15" s="147"/>
      <c r="M15" s="147"/>
      <c r="N15" s="147"/>
      <c r="O15" s="147"/>
      <c r="P15" s="147"/>
      <c r="Q15" s="147"/>
      <c r="R15" s="512">
        <f>SUM(E15:Q15)</f>
        <v>0</v>
      </c>
      <c r="S15" s="148"/>
      <c r="T15" s="148"/>
      <c r="U15" s="143"/>
    </row>
    <row r="16" spans="1:21" s="144" customFormat="1">
      <c r="A16" s="141" t="s">
        <v>595</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596</v>
      </c>
      <c r="B17" s="146">
        <f t="shared" ref="B17:B26" si="4">SUM(C17+D17)</f>
        <v>0</v>
      </c>
      <c r="C17" s="147"/>
      <c r="D17" s="147"/>
      <c r="E17" s="147">
        <f t="shared" ref="E17:E25" si="5">B17-SUM(C17:D17)</f>
        <v>0</v>
      </c>
      <c r="F17" s="147"/>
      <c r="G17" s="147"/>
      <c r="H17" s="147"/>
      <c r="I17" s="147"/>
      <c r="J17" s="147"/>
      <c r="K17" s="147"/>
      <c r="L17" s="147"/>
      <c r="M17" s="147"/>
      <c r="N17" s="147"/>
      <c r="O17" s="147"/>
      <c r="P17" s="147"/>
      <c r="Q17" s="147"/>
      <c r="R17" s="512">
        <f>SUM(E17:Q17)</f>
        <v>0</v>
      </c>
      <c r="S17" s="147"/>
      <c r="T17" s="147"/>
      <c r="U17" s="143"/>
    </row>
    <row r="18" spans="1:21" s="144" customFormat="1">
      <c r="A18" s="145" t="s">
        <v>597</v>
      </c>
      <c r="B18" s="146">
        <f t="shared" si="4"/>
        <v>0</v>
      </c>
      <c r="C18" s="147"/>
      <c r="D18" s="147"/>
      <c r="E18" s="147">
        <f t="shared" si="5"/>
        <v>0</v>
      </c>
      <c r="F18" s="147"/>
      <c r="G18" s="147"/>
      <c r="H18" s="147"/>
      <c r="I18" s="147"/>
      <c r="J18" s="147"/>
      <c r="K18" s="147"/>
      <c r="L18" s="147"/>
      <c r="M18" s="147"/>
      <c r="N18" s="147"/>
      <c r="O18" s="147"/>
      <c r="P18" s="147"/>
      <c r="Q18" s="147"/>
      <c r="R18" s="512">
        <f>SUM(E18:Q18)</f>
        <v>0</v>
      </c>
      <c r="S18" s="147"/>
      <c r="T18" s="147"/>
      <c r="U18" s="143"/>
    </row>
    <row r="19" spans="1:21" s="144" customFormat="1">
      <c r="A19" s="145" t="s">
        <v>598</v>
      </c>
      <c r="B19" s="146">
        <f t="shared" si="4"/>
        <v>0</v>
      </c>
      <c r="C19" s="147"/>
      <c r="D19" s="147"/>
      <c r="E19" s="147">
        <f t="shared" si="5"/>
        <v>0</v>
      </c>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4"/>
        <v>0</v>
      </c>
      <c r="C20" s="147"/>
      <c r="D20" s="147"/>
      <c r="E20" s="147">
        <f t="shared" si="5"/>
        <v>0</v>
      </c>
      <c r="F20" s="147"/>
      <c r="G20" s="147"/>
      <c r="H20" s="147"/>
      <c r="I20" s="147"/>
      <c r="J20" s="147"/>
      <c r="K20" s="147"/>
      <c r="L20" s="147"/>
      <c r="M20" s="147"/>
      <c r="N20" s="147"/>
      <c r="O20" s="147"/>
      <c r="P20" s="147"/>
      <c r="Q20" s="147"/>
      <c r="R20" s="512">
        <f t="shared" ref="R20:R27" si="6">SUM(E20:Q20)</f>
        <v>0</v>
      </c>
      <c r="S20" s="147"/>
      <c r="T20" s="147"/>
      <c r="U20" s="143"/>
    </row>
    <row r="21" spans="1:21" s="144" customFormat="1">
      <c r="A21" s="145" t="s">
        <v>138</v>
      </c>
      <c r="B21" s="146">
        <f t="shared" si="4"/>
        <v>0</v>
      </c>
      <c r="C21" s="147"/>
      <c r="D21" s="147"/>
      <c r="E21" s="147">
        <f t="shared" si="5"/>
        <v>0</v>
      </c>
      <c r="F21" s="147"/>
      <c r="G21" s="147"/>
      <c r="H21" s="147"/>
      <c r="I21" s="147"/>
      <c r="J21" s="147"/>
      <c r="K21" s="147"/>
      <c r="L21" s="147"/>
      <c r="M21" s="147"/>
      <c r="N21" s="147"/>
      <c r="O21" s="147"/>
      <c r="P21" s="147"/>
      <c r="Q21" s="147"/>
      <c r="R21" s="512">
        <f t="shared" si="6"/>
        <v>0</v>
      </c>
      <c r="S21" s="147"/>
      <c r="T21" s="147"/>
      <c r="U21" s="143"/>
    </row>
    <row r="22" spans="1:21" s="144" customFormat="1">
      <c r="A22" s="145" t="s">
        <v>139</v>
      </c>
      <c r="B22" s="146">
        <f t="shared" si="4"/>
        <v>0</v>
      </c>
      <c r="C22" s="147"/>
      <c r="D22" s="147"/>
      <c r="E22" s="147">
        <f t="shared" si="5"/>
        <v>0</v>
      </c>
      <c r="F22" s="147"/>
      <c r="G22" s="147"/>
      <c r="H22" s="147"/>
      <c r="I22" s="147"/>
      <c r="J22" s="147"/>
      <c r="K22" s="147"/>
      <c r="L22" s="147"/>
      <c r="M22" s="147"/>
      <c r="N22" s="147"/>
      <c r="O22" s="147"/>
      <c r="P22" s="147"/>
      <c r="Q22" s="147"/>
      <c r="R22" s="512">
        <f t="shared" si="6"/>
        <v>0</v>
      </c>
      <c r="S22" s="147"/>
      <c r="T22" s="147"/>
      <c r="U22" s="143"/>
    </row>
    <row r="23" spans="1:21" s="144" customFormat="1">
      <c r="A23" s="145" t="s">
        <v>140</v>
      </c>
      <c r="B23" s="146">
        <f t="shared" si="4"/>
        <v>0</v>
      </c>
      <c r="C23" s="147"/>
      <c r="D23" s="147"/>
      <c r="E23" s="147">
        <f t="shared" si="5"/>
        <v>0</v>
      </c>
      <c r="F23" s="147"/>
      <c r="G23" s="147"/>
      <c r="H23" s="147"/>
      <c r="I23" s="147"/>
      <c r="J23" s="147"/>
      <c r="K23" s="147"/>
      <c r="L23" s="147"/>
      <c r="M23" s="147"/>
      <c r="N23" s="147"/>
      <c r="O23" s="147"/>
      <c r="P23" s="147"/>
      <c r="Q23" s="147"/>
      <c r="R23" s="512">
        <f t="shared" si="6"/>
        <v>0</v>
      </c>
      <c r="S23" s="147"/>
      <c r="T23" s="147"/>
      <c r="U23" s="143"/>
    </row>
    <row r="24" spans="1:21" s="144" customFormat="1">
      <c r="A24" s="504" t="s">
        <v>1626</v>
      </c>
      <c r="B24" s="146">
        <f t="shared" si="4"/>
        <v>0</v>
      </c>
      <c r="C24" s="147"/>
      <c r="D24" s="147"/>
      <c r="E24" s="147">
        <f t="shared" si="5"/>
        <v>0</v>
      </c>
      <c r="F24" s="147"/>
      <c r="G24" s="147"/>
      <c r="H24" s="147"/>
      <c r="I24" s="147"/>
      <c r="J24" s="147"/>
      <c r="K24" s="147"/>
      <c r="L24" s="147"/>
      <c r="M24" s="147"/>
      <c r="N24" s="147"/>
      <c r="O24" s="147"/>
      <c r="P24" s="147"/>
      <c r="Q24" s="147"/>
      <c r="R24" s="512">
        <f t="shared" si="6"/>
        <v>0</v>
      </c>
      <c r="S24" s="147"/>
      <c r="T24" s="147"/>
      <c r="U24" s="143"/>
    </row>
    <row r="25" spans="1:21" s="144" customFormat="1">
      <c r="A25" s="1138" t="s">
        <v>34</v>
      </c>
      <c r="B25" s="146">
        <f t="shared" si="4"/>
        <v>0</v>
      </c>
      <c r="C25" s="147"/>
      <c r="D25" s="147"/>
      <c r="E25" s="147">
        <f t="shared" si="5"/>
        <v>0</v>
      </c>
      <c r="F25" s="147"/>
      <c r="G25" s="147"/>
      <c r="H25" s="147"/>
      <c r="I25" s="147"/>
      <c r="J25" s="147"/>
      <c r="K25" s="147"/>
      <c r="L25" s="147"/>
      <c r="M25" s="147"/>
      <c r="N25" s="147"/>
      <c r="O25" s="147"/>
      <c r="P25" s="147"/>
      <c r="Q25" s="147"/>
      <c r="R25" s="512">
        <f t="shared" si="6"/>
        <v>0</v>
      </c>
      <c r="S25" s="147"/>
      <c r="T25" s="147"/>
      <c r="U25" s="143"/>
    </row>
    <row r="26" spans="1:21" s="144" customFormat="1">
      <c r="A26" s="149" t="s">
        <v>133</v>
      </c>
      <c r="B26" s="146">
        <f t="shared" si="4"/>
        <v>0</v>
      </c>
      <c r="C26" s="146">
        <f>SUM(C17:C25)</f>
        <v>0</v>
      </c>
      <c r="D26" s="146">
        <f t="shared" ref="D26:Q26" si="7">SUM(D17:D25)</f>
        <v>0</v>
      </c>
      <c r="E26" s="146">
        <f t="shared" si="7"/>
        <v>0</v>
      </c>
      <c r="F26" s="146">
        <f t="shared" si="7"/>
        <v>0</v>
      </c>
      <c r="G26" s="146">
        <f t="shared" si="7"/>
        <v>0</v>
      </c>
      <c r="H26" s="146">
        <f t="shared" si="7"/>
        <v>0</v>
      </c>
      <c r="I26" s="146">
        <f t="shared" si="7"/>
        <v>0</v>
      </c>
      <c r="J26" s="146">
        <f t="shared" si="7"/>
        <v>0</v>
      </c>
      <c r="K26" s="146">
        <f t="shared" si="7"/>
        <v>0</v>
      </c>
      <c r="L26" s="146">
        <f t="shared" si="7"/>
        <v>0</v>
      </c>
      <c r="M26" s="146">
        <f t="shared" si="7"/>
        <v>0</v>
      </c>
      <c r="N26" s="146">
        <f t="shared" si="7"/>
        <v>0</v>
      </c>
      <c r="O26" s="146">
        <f t="shared" si="7"/>
        <v>0</v>
      </c>
      <c r="P26" s="146">
        <f t="shared" si="7"/>
        <v>0</v>
      </c>
      <c r="Q26" s="146">
        <f t="shared" si="7"/>
        <v>0</v>
      </c>
      <c r="R26" s="339">
        <f>SUM(R17:R25)</f>
        <v>0</v>
      </c>
      <c r="S26" s="150">
        <f>SUM(S17:S25)</f>
        <v>0</v>
      </c>
      <c r="T26" s="150">
        <f>SUM(T17:T25)</f>
        <v>0</v>
      </c>
      <c r="U26" s="143"/>
    </row>
    <row r="27" spans="1:21" s="144" customFormat="1">
      <c r="A27" s="149" t="s">
        <v>141</v>
      </c>
      <c r="B27" s="146">
        <f>SUM(C27:D27)</f>
        <v>0</v>
      </c>
      <c r="C27" s="147"/>
      <c r="D27" s="147"/>
      <c r="E27" s="147">
        <f>B27-SUM(C27:D27)</f>
        <v>0</v>
      </c>
      <c r="F27" s="147"/>
      <c r="G27" s="147"/>
      <c r="H27" s="147"/>
      <c r="I27" s="147"/>
      <c r="J27" s="147"/>
      <c r="K27" s="147"/>
      <c r="L27" s="147"/>
      <c r="M27" s="147"/>
      <c r="N27" s="147"/>
      <c r="O27" s="147"/>
      <c r="P27" s="147"/>
      <c r="Q27" s="147"/>
      <c r="R27" s="512">
        <f t="shared" si="6"/>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596</v>
      </c>
      <c r="B29" s="146">
        <f t="shared" ref="B29:B38" si="8">SUM(C29+D29)</f>
        <v>696500</v>
      </c>
      <c r="C29" s="147">
        <v>696500</v>
      </c>
      <c r="D29" s="147"/>
      <c r="E29" s="147">
        <f>B29-SUM(F29:Q29)</f>
        <v>696500</v>
      </c>
      <c r="F29" s="147"/>
      <c r="G29" s="147"/>
      <c r="H29" s="147"/>
      <c r="I29" s="147"/>
      <c r="J29" s="147"/>
      <c r="K29" s="147"/>
      <c r="L29" s="147"/>
      <c r="M29" s="147"/>
      <c r="N29" s="147"/>
      <c r="O29" s="147"/>
      <c r="P29" s="147"/>
      <c r="Q29" s="147"/>
      <c r="R29" s="512">
        <f t="shared" ref="R29:R37" si="9">SUM(E29:Q29)</f>
        <v>696500</v>
      </c>
      <c r="S29" s="147">
        <f>C29</f>
        <v>696500</v>
      </c>
      <c r="T29" s="147"/>
      <c r="U29" s="143"/>
    </row>
    <row r="30" spans="1:21" s="144" customFormat="1">
      <c r="A30" s="145" t="s">
        <v>597</v>
      </c>
      <c r="B30" s="146">
        <f t="shared" si="8"/>
        <v>41898292</v>
      </c>
      <c r="C30" s="147">
        <v>41898292</v>
      </c>
      <c r="D30" s="147"/>
      <c r="E30" s="147">
        <f t="shared" ref="E30:E37" si="10">B30-SUM(F30:Q30)</f>
        <v>0</v>
      </c>
      <c r="F30" s="147">
        <v>18313012</v>
      </c>
      <c r="G30" s="147">
        <v>10000000</v>
      </c>
      <c r="H30" s="147">
        <v>8585280</v>
      </c>
      <c r="I30" s="147">
        <v>5000000</v>
      </c>
      <c r="J30" s="147"/>
      <c r="K30" s="147"/>
      <c r="L30" s="147"/>
      <c r="M30" s="147"/>
      <c r="N30" s="147"/>
      <c r="O30" s="147"/>
      <c r="P30" s="147"/>
      <c r="Q30" s="147"/>
      <c r="R30" s="512">
        <f t="shared" si="9"/>
        <v>41898292</v>
      </c>
      <c r="S30" s="147">
        <f t="shared" ref="S30:S37" si="11">C30</f>
        <v>41898292</v>
      </c>
      <c r="T30" s="147"/>
      <c r="U30" s="143"/>
    </row>
    <row r="31" spans="1:21" s="144" customFormat="1">
      <c r="A31" s="145" t="s">
        <v>598</v>
      </c>
      <c r="B31" s="146">
        <f t="shared" si="8"/>
        <v>2981636</v>
      </c>
      <c r="C31" s="147">
        <v>2981636</v>
      </c>
      <c r="D31" s="147"/>
      <c r="E31" s="147">
        <f t="shared" si="10"/>
        <v>757190</v>
      </c>
      <c r="F31" s="147">
        <v>2224446</v>
      </c>
      <c r="G31" s="147"/>
      <c r="H31" s="147"/>
      <c r="I31" s="147"/>
      <c r="J31" s="147"/>
      <c r="K31" s="147"/>
      <c r="L31" s="147"/>
      <c r="M31" s="147"/>
      <c r="N31" s="147"/>
      <c r="O31" s="147"/>
      <c r="P31" s="147"/>
      <c r="Q31" s="147"/>
      <c r="R31" s="512">
        <f t="shared" si="9"/>
        <v>2981636</v>
      </c>
      <c r="S31" s="147">
        <f t="shared" si="11"/>
        <v>2981636</v>
      </c>
      <c r="T31" s="147"/>
      <c r="U31" s="143"/>
    </row>
    <row r="32" spans="1:21" s="144" customFormat="1">
      <c r="A32" s="145" t="s">
        <v>137</v>
      </c>
      <c r="B32" s="146">
        <f t="shared" si="8"/>
        <v>1277844</v>
      </c>
      <c r="C32" s="147">
        <v>1277844</v>
      </c>
      <c r="D32" s="147"/>
      <c r="E32" s="147">
        <f t="shared" si="10"/>
        <v>1277844</v>
      </c>
      <c r="F32" s="147"/>
      <c r="G32" s="147"/>
      <c r="H32" s="147"/>
      <c r="I32" s="147"/>
      <c r="J32" s="147"/>
      <c r="K32" s="147"/>
      <c r="L32" s="147"/>
      <c r="M32" s="147"/>
      <c r="N32" s="147"/>
      <c r="O32" s="147"/>
      <c r="P32" s="147"/>
      <c r="Q32" s="147"/>
      <c r="R32" s="512">
        <f t="shared" si="9"/>
        <v>1277844</v>
      </c>
      <c r="S32" s="147">
        <f t="shared" si="11"/>
        <v>1277844</v>
      </c>
      <c r="T32" s="147"/>
      <c r="U32" s="143"/>
    </row>
    <row r="33" spans="1:21" s="144" customFormat="1">
      <c r="A33" s="145" t="s">
        <v>138</v>
      </c>
      <c r="B33" s="146">
        <f t="shared" si="8"/>
        <v>1703792</v>
      </c>
      <c r="C33" s="147">
        <v>1703792</v>
      </c>
      <c r="D33" s="147"/>
      <c r="E33" s="147">
        <f t="shared" si="10"/>
        <v>1703792</v>
      </c>
      <c r="F33" s="147"/>
      <c r="G33" s="147"/>
      <c r="H33" s="147"/>
      <c r="I33" s="147"/>
      <c r="J33" s="147"/>
      <c r="K33" s="147"/>
      <c r="L33" s="147"/>
      <c r="M33" s="147"/>
      <c r="N33" s="147"/>
      <c r="O33" s="147"/>
      <c r="P33" s="147"/>
      <c r="Q33" s="147"/>
      <c r="R33" s="512">
        <f t="shared" si="9"/>
        <v>1703792</v>
      </c>
      <c r="S33" s="147">
        <f t="shared" si="11"/>
        <v>1703792</v>
      </c>
      <c r="T33" s="147"/>
      <c r="U33" s="143"/>
    </row>
    <row r="34" spans="1:21" s="144" customFormat="1">
      <c r="A34" s="145" t="s">
        <v>139</v>
      </c>
      <c r="B34" s="146">
        <f t="shared" si="8"/>
        <v>0</v>
      </c>
      <c r="C34" s="147"/>
      <c r="D34" s="147"/>
      <c r="E34" s="147">
        <f t="shared" si="10"/>
        <v>0</v>
      </c>
      <c r="F34" s="147"/>
      <c r="G34" s="147"/>
      <c r="H34" s="147"/>
      <c r="I34" s="147"/>
      <c r="J34" s="147"/>
      <c r="K34" s="147"/>
      <c r="L34" s="147"/>
      <c r="M34" s="147"/>
      <c r="N34" s="147"/>
      <c r="O34" s="147"/>
      <c r="P34" s="147"/>
      <c r="Q34" s="147"/>
      <c r="R34" s="512">
        <f t="shared" si="9"/>
        <v>0</v>
      </c>
      <c r="S34" s="147"/>
      <c r="T34" s="147"/>
      <c r="U34" s="143"/>
    </row>
    <row r="35" spans="1:21" s="144" customFormat="1">
      <c r="A35" s="145" t="s">
        <v>140</v>
      </c>
      <c r="B35" s="146">
        <f t="shared" si="8"/>
        <v>613046</v>
      </c>
      <c r="C35" s="147">
        <v>613046</v>
      </c>
      <c r="D35" s="147"/>
      <c r="E35" s="147">
        <f t="shared" si="10"/>
        <v>613046</v>
      </c>
      <c r="F35" s="147"/>
      <c r="G35" s="147"/>
      <c r="H35" s="147"/>
      <c r="I35" s="147"/>
      <c r="J35" s="147"/>
      <c r="K35" s="147"/>
      <c r="L35" s="147"/>
      <c r="M35" s="147"/>
      <c r="N35" s="147"/>
      <c r="O35" s="147"/>
      <c r="P35" s="147"/>
      <c r="Q35" s="147"/>
      <c r="R35" s="512">
        <f t="shared" si="9"/>
        <v>613046</v>
      </c>
      <c r="S35" s="147">
        <f t="shared" si="11"/>
        <v>613046</v>
      </c>
      <c r="T35" s="147"/>
      <c r="U35" s="143"/>
    </row>
    <row r="36" spans="1:21" s="144" customFormat="1">
      <c r="A36" s="283" t="s">
        <v>1626</v>
      </c>
      <c r="B36" s="146">
        <f t="shared" si="8"/>
        <v>225000</v>
      </c>
      <c r="C36" s="147">
        <v>225000</v>
      </c>
      <c r="D36" s="147"/>
      <c r="E36" s="147">
        <f t="shared" si="10"/>
        <v>225000</v>
      </c>
      <c r="F36" s="147"/>
      <c r="G36" s="147"/>
      <c r="H36" s="147"/>
      <c r="I36" s="147"/>
      <c r="J36" s="147"/>
      <c r="K36" s="147"/>
      <c r="L36" s="147"/>
      <c r="M36" s="147"/>
      <c r="N36" s="147"/>
      <c r="O36" s="147"/>
      <c r="P36" s="147"/>
      <c r="Q36" s="147"/>
      <c r="R36" s="512">
        <f t="shared" si="9"/>
        <v>225000</v>
      </c>
      <c r="S36" s="147">
        <f t="shared" si="11"/>
        <v>225000</v>
      </c>
      <c r="T36" s="147"/>
      <c r="U36" s="143"/>
    </row>
    <row r="37" spans="1:21" s="144" customFormat="1">
      <c r="A37" s="1138" t="s">
        <v>2744</v>
      </c>
      <c r="B37" s="146">
        <f t="shared" si="8"/>
        <v>485581</v>
      </c>
      <c r="C37" s="147">
        <v>485581</v>
      </c>
      <c r="D37" s="147"/>
      <c r="E37" s="147">
        <f t="shared" si="10"/>
        <v>485581</v>
      </c>
      <c r="F37" s="147"/>
      <c r="G37" s="147"/>
      <c r="H37" s="147"/>
      <c r="I37" s="147"/>
      <c r="J37" s="147"/>
      <c r="K37" s="147"/>
      <c r="L37" s="147"/>
      <c r="M37" s="147"/>
      <c r="N37" s="147"/>
      <c r="O37" s="147"/>
      <c r="P37" s="147"/>
      <c r="Q37" s="147"/>
      <c r="R37" s="512">
        <f t="shared" si="9"/>
        <v>485581</v>
      </c>
      <c r="S37" s="147">
        <f t="shared" si="11"/>
        <v>485581</v>
      </c>
      <c r="T37" s="147"/>
      <c r="U37" s="143"/>
    </row>
    <row r="38" spans="1:21" s="144" customFormat="1">
      <c r="A38" s="149" t="s">
        <v>143</v>
      </c>
      <c r="B38" s="146">
        <f t="shared" si="8"/>
        <v>49881691</v>
      </c>
      <c r="C38" s="146">
        <f>SUM(C29:C37)</f>
        <v>49881691</v>
      </c>
      <c r="D38" s="146">
        <f t="shared" ref="D38:Q38" si="12">SUM(D29:D37)</f>
        <v>0</v>
      </c>
      <c r="E38" s="146">
        <f t="shared" si="12"/>
        <v>5758953</v>
      </c>
      <c r="F38" s="146">
        <f t="shared" si="12"/>
        <v>20537458</v>
      </c>
      <c r="G38" s="146">
        <f t="shared" si="12"/>
        <v>10000000</v>
      </c>
      <c r="H38" s="146">
        <f t="shared" si="12"/>
        <v>8585280</v>
      </c>
      <c r="I38" s="146">
        <f t="shared" si="12"/>
        <v>5000000</v>
      </c>
      <c r="J38" s="146">
        <f t="shared" si="12"/>
        <v>0</v>
      </c>
      <c r="K38" s="146">
        <f t="shared" si="12"/>
        <v>0</v>
      </c>
      <c r="L38" s="146">
        <f t="shared" si="12"/>
        <v>0</v>
      </c>
      <c r="M38" s="146">
        <f t="shared" si="12"/>
        <v>0</v>
      </c>
      <c r="N38" s="146">
        <f t="shared" si="12"/>
        <v>0</v>
      </c>
      <c r="O38" s="146">
        <f t="shared" si="12"/>
        <v>0</v>
      </c>
      <c r="P38" s="146">
        <f t="shared" si="12"/>
        <v>0</v>
      </c>
      <c r="Q38" s="146">
        <f t="shared" si="12"/>
        <v>0</v>
      </c>
      <c r="R38" s="339">
        <f>SUM(R29:R37)</f>
        <v>49881691</v>
      </c>
      <c r="S38" s="150">
        <f>SUM(S29:S37)</f>
        <v>49881691</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1842841</v>
      </c>
      <c r="C40" s="147">
        <v>1842841</v>
      </c>
      <c r="D40" s="147"/>
      <c r="E40" s="147">
        <f t="shared" ref="E40:E46" si="13">B40-SUM(F40:Q40)</f>
        <v>1842841</v>
      </c>
      <c r="F40" s="147"/>
      <c r="G40" s="147"/>
      <c r="H40" s="147"/>
      <c r="I40" s="147"/>
      <c r="J40" s="147"/>
      <c r="K40" s="147"/>
      <c r="L40" s="147"/>
      <c r="M40" s="147"/>
      <c r="N40" s="147"/>
      <c r="O40" s="147"/>
      <c r="P40" s="147"/>
      <c r="Q40" s="147"/>
      <c r="R40" s="512">
        <f>SUM(E40:Q40)</f>
        <v>1842841</v>
      </c>
      <c r="S40" s="147">
        <f>C40</f>
        <v>1842841</v>
      </c>
      <c r="T40" s="147"/>
      <c r="U40" s="143"/>
    </row>
    <row r="41" spans="1:21" s="144" customFormat="1">
      <c r="A41" s="145" t="s">
        <v>146</v>
      </c>
      <c r="B41" s="146">
        <f>SUM(C41+D41)</f>
        <v>0</v>
      </c>
      <c r="C41" s="147"/>
      <c r="D41" s="147"/>
      <c r="E41" s="147"/>
      <c r="F41" s="147"/>
      <c r="G41" s="147"/>
      <c r="H41" s="147"/>
      <c r="I41" s="147"/>
      <c r="J41" s="147"/>
      <c r="K41" s="147"/>
      <c r="L41" s="147"/>
      <c r="M41" s="147"/>
      <c r="N41" s="147"/>
      <c r="O41" s="147"/>
      <c r="P41" s="147"/>
      <c r="Q41" s="147"/>
      <c r="R41" s="512">
        <f>SUM(E41:Q41)</f>
        <v>0</v>
      </c>
      <c r="S41" s="147"/>
      <c r="T41" s="147"/>
      <c r="U41" s="143"/>
    </row>
    <row r="42" spans="1:21" s="144" customFormat="1">
      <c r="A42" s="149" t="s">
        <v>147</v>
      </c>
      <c r="B42" s="146">
        <f>SUM(C42:D42)</f>
        <v>1842841</v>
      </c>
      <c r="C42" s="146">
        <f>SUM(C39:C41)</f>
        <v>1842841</v>
      </c>
      <c r="D42" s="146">
        <f>SUM(D39:D41)</f>
        <v>0</v>
      </c>
      <c r="E42" s="146">
        <f t="shared" ref="E42:T42" si="14">SUM(E40:E41)</f>
        <v>1842841</v>
      </c>
      <c r="F42" s="146">
        <f t="shared" si="14"/>
        <v>0</v>
      </c>
      <c r="G42" s="146">
        <f t="shared" si="14"/>
        <v>0</v>
      </c>
      <c r="H42" s="146">
        <f t="shared" si="14"/>
        <v>0</v>
      </c>
      <c r="I42" s="146">
        <f t="shared" si="14"/>
        <v>0</v>
      </c>
      <c r="J42" s="146">
        <f t="shared" si="14"/>
        <v>0</v>
      </c>
      <c r="K42" s="146">
        <f t="shared" si="14"/>
        <v>0</v>
      </c>
      <c r="L42" s="146">
        <f t="shared" si="14"/>
        <v>0</v>
      </c>
      <c r="M42" s="146">
        <f t="shared" si="14"/>
        <v>0</v>
      </c>
      <c r="N42" s="146">
        <f t="shared" si="14"/>
        <v>0</v>
      </c>
      <c r="O42" s="146">
        <f t="shared" si="14"/>
        <v>0</v>
      </c>
      <c r="P42" s="146">
        <f t="shared" si="14"/>
        <v>0</v>
      </c>
      <c r="Q42" s="146">
        <f t="shared" si="14"/>
        <v>0</v>
      </c>
      <c r="R42" s="339">
        <f>SUM(R40:R41)</f>
        <v>1842841</v>
      </c>
      <c r="S42" s="150">
        <f t="shared" si="14"/>
        <v>1842841</v>
      </c>
      <c r="T42" s="150">
        <f t="shared" si="14"/>
        <v>0</v>
      </c>
      <c r="U42" s="143"/>
    </row>
    <row r="43" spans="1:21" s="144" customFormat="1">
      <c r="A43" s="149" t="s">
        <v>148</v>
      </c>
      <c r="B43" s="146">
        <f>SUM(C43:D43)</f>
        <v>170140</v>
      </c>
      <c r="C43" s="147">
        <f>140140+30000</f>
        <v>170140</v>
      </c>
      <c r="D43" s="147"/>
      <c r="E43" s="147">
        <f t="shared" si="13"/>
        <v>170140</v>
      </c>
      <c r="F43" s="147"/>
      <c r="G43" s="147"/>
      <c r="H43" s="147"/>
      <c r="I43" s="147"/>
      <c r="J43" s="147"/>
      <c r="K43" s="147"/>
      <c r="L43" s="147"/>
      <c r="M43" s="147"/>
      <c r="N43" s="147"/>
      <c r="O43" s="147"/>
      <c r="P43" s="147"/>
      <c r="Q43" s="147"/>
      <c r="R43" s="512">
        <f>SUM(E43:Q43)</f>
        <v>170140</v>
      </c>
      <c r="S43" s="147">
        <f>C43</f>
        <v>170140</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5">SUM(C45+D45)</f>
        <v>4375760</v>
      </c>
      <c r="C45" s="147">
        <f>2541985+1833789-13-1</f>
        <v>4375760</v>
      </c>
      <c r="D45" s="147"/>
      <c r="E45" s="147">
        <f t="shared" si="13"/>
        <v>4375760</v>
      </c>
      <c r="F45" s="147"/>
      <c r="G45" s="147"/>
      <c r="H45" s="147"/>
      <c r="I45" s="147"/>
      <c r="J45" s="147"/>
      <c r="K45" s="147"/>
      <c r="L45" s="147"/>
      <c r="M45" s="147"/>
      <c r="N45" s="147"/>
      <c r="O45" s="147"/>
      <c r="P45" s="147"/>
      <c r="Q45" s="147"/>
      <c r="R45" s="512">
        <f t="shared" ref="R45:R53" si="16">SUM(E45:Q45)</f>
        <v>4375760</v>
      </c>
      <c r="S45" s="147">
        <f>1711949+828973</f>
        <v>2540922</v>
      </c>
      <c r="T45" s="147"/>
      <c r="U45" s="143"/>
    </row>
    <row r="46" spans="1:21" s="144" customFormat="1">
      <c r="A46" s="145" t="s">
        <v>151</v>
      </c>
      <c r="B46" s="146">
        <f t="shared" si="15"/>
        <v>401354</v>
      </c>
      <c r="C46" s="147">
        <v>401354</v>
      </c>
      <c r="D46" s="147"/>
      <c r="E46" s="147">
        <f t="shared" si="13"/>
        <v>401354</v>
      </c>
      <c r="F46" s="147"/>
      <c r="G46" s="147"/>
      <c r="H46" s="147"/>
      <c r="I46" s="147"/>
      <c r="J46" s="147"/>
      <c r="K46" s="147"/>
      <c r="L46" s="147"/>
      <c r="M46" s="147"/>
      <c r="N46" s="147"/>
      <c r="O46" s="147"/>
      <c r="P46" s="147"/>
      <c r="Q46" s="147"/>
      <c r="R46" s="512">
        <f t="shared" si="16"/>
        <v>401354</v>
      </c>
      <c r="S46" s="147">
        <v>235577</v>
      </c>
      <c r="T46" s="147"/>
      <c r="U46" s="143"/>
    </row>
    <row r="47" spans="1:21" s="144" customFormat="1">
      <c r="A47" s="186" t="s">
        <v>152</v>
      </c>
      <c r="B47" s="146">
        <f t="shared" si="15"/>
        <v>0</v>
      </c>
      <c r="C47" s="147"/>
      <c r="D47" s="147"/>
      <c r="E47" s="147"/>
      <c r="F47" s="147"/>
      <c r="G47" s="147"/>
      <c r="H47" s="147"/>
      <c r="I47" s="147"/>
      <c r="J47" s="147"/>
      <c r="K47" s="147"/>
      <c r="L47" s="147"/>
      <c r="M47" s="147"/>
      <c r="N47" s="147"/>
      <c r="O47" s="147"/>
      <c r="P47" s="147"/>
      <c r="Q47" s="147"/>
      <c r="R47" s="512">
        <f t="shared" si="16"/>
        <v>0</v>
      </c>
      <c r="S47" s="147"/>
      <c r="T47" s="147"/>
      <c r="U47" s="143"/>
    </row>
    <row r="48" spans="1:21" s="144" customFormat="1">
      <c r="A48" s="145" t="s">
        <v>153</v>
      </c>
      <c r="B48" s="146">
        <f t="shared" si="15"/>
        <v>0</v>
      </c>
      <c r="C48" s="147"/>
      <c r="D48" s="147"/>
      <c r="E48" s="147"/>
      <c r="F48" s="147"/>
      <c r="G48" s="147"/>
      <c r="H48" s="147"/>
      <c r="I48" s="147"/>
      <c r="J48" s="147"/>
      <c r="K48" s="147"/>
      <c r="L48" s="147"/>
      <c r="M48" s="147"/>
      <c r="N48" s="147"/>
      <c r="O48" s="147"/>
      <c r="P48" s="147"/>
      <c r="Q48" s="147"/>
      <c r="R48" s="512">
        <f t="shared" si="16"/>
        <v>0</v>
      </c>
      <c r="S48" s="147"/>
      <c r="T48" s="147"/>
      <c r="U48" s="143"/>
    </row>
    <row r="49" spans="1:21" s="144" customFormat="1">
      <c r="A49" s="145" t="s">
        <v>57</v>
      </c>
      <c r="B49" s="146">
        <f t="shared" si="15"/>
        <v>353695</v>
      </c>
      <c r="C49" s="147">
        <f>50000+2500+20555+69166+2500+15000+8974+5000+180000</f>
        <v>353695</v>
      </c>
      <c r="D49" s="147"/>
      <c r="E49" s="147">
        <f t="shared" ref="E49:E52" si="17">B49-SUM(F49:Q49)</f>
        <v>353695</v>
      </c>
      <c r="F49" s="147"/>
      <c r="G49" s="147"/>
      <c r="H49" s="147"/>
      <c r="I49" s="147"/>
      <c r="J49" s="147"/>
      <c r="K49" s="147"/>
      <c r="L49" s="147"/>
      <c r="M49" s="147"/>
      <c r="N49" s="147"/>
      <c r="O49" s="147"/>
      <c r="P49" s="147"/>
      <c r="Q49" s="147"/>
      <c r="R49" s="512">
        <f t="shared" si="16"/>
        <v>353695</v>
      </c>
      <c r="S49" s="147">
        <f>4903+245+2016+6783+1467+1471+880+490+17643</f>
        <v>35898</v>
      </c>
      <c r="T49" s="147"/>
      <c r="U49" s="143"/>
    </row>
    <row r="50" spans="1:21" s="144" customFormat="1">
      <c r="A50" s="145" t="s">
        <v>156</v>
      </c>
      <c r="B50" s="146">
        <f t="shared" si="15"/>
        <v>100000</v>
      </c>
      <c r="C50" s="147">
        <v>100000</v>
      </c>
      <c r="D50" s="147"/>
      <c r="E50" s="147">
        <f t="shared" si="17"/>
        <v>100000</v>
      </c>
      <c r="F50" s="147"/>
      <c r="G50" s="147"/>
      <c r="H50" s="147"/>
      <c r="I50" s="147"/>
      <c r="J50" s="147"/>
      <c r="K50" s="147"/>
      <c r="L50" s="147"/>
      <c r="M50" s="147"/>
      <c r="N50" s="147"/>
      <c r="O50" s="147"/>
      <c r="P50" s="147"/>
      <c r="Q50" s="147"/>
      <c r="R50" s="512">
        <f t="shared" si="16"/>
        <v>100000</v>
      </c>
      <c r="S50" s="147">
        <f>C50</f>
        <v>100000</v>
      </c>
      <c r="T50" s="147"/>
      <c r="U50" s="143"/>
    </row>
    <row r="51" spans="1:21" s="144" customFormat="1">
      <c r="A51" s="283" t="s">
        <v>154</v>
      </c>
      <c r="B51" s="146">
        <f t="shared" si="15"/>
        <v>100000</v>
      </c>
      <c r="C51" s="147">
        <v>100000</v>
      </c>
      <c r="D51" s="147"/>
      <c r="E51" s="147">
        <f t="shared" si="17"/>
        <v>100000</v>
      </c>
      <c r="F51" s="147"/>
      <c r="G51" s="147"/>
      <c r="H51" s="147"/>
      <c r="I51" s="147"/>
      <c r="J51" s="147"/>
      <c r="K51" s="147"/>
      <c r="L51" s="147"/>
      <c r="M51" s="147"/>
      <c r="N51" s="147"/>
      <c r="O51" s="147"/>
      <c r="P51" s="147"/>
      <c r="Q51" s="147"/>
      <c r="R51" s="512">
        <f t="shared" si="16"/>
        <v>100000</v>
      </c>
      <c r="S51" s="147">
        <v>100000</v>
      </c>
      <c r="T51" s="147"/>
      <c r="U51" s="143"/>
    </row>
    <row r="52" spans="1:21" s="144" customFormat="1">
      <c r="A52" s="145" t="s">
        <v>155</v>
      </c>
      <c r="B52" s="146">
        <f t="shared" si="15"/>
        <v>634700</v>
      </c>
      <c r="C52" s="147">
        <v>634700</v>
      </c>
      <c r="D52" s="147"/>
      <c r="E52" s="147">
        <f t="shared" si="17"/>
        <v>634700</v>
      </c>
      <c r="F52" s="147"/>
      <c r="G52" s="147"/>
      <c r="H52" s="147"/>
      <c r="I52" s="147"/>
      <c r="J52" s="147"/>
      <c r="K52" s="147"/>
      <c r="L52" s="147"/>
      <c r="M52" s="147"/>
      <c r="N52" s="147"/>
      <c r="O52" s="147"/>
      <c r="P52" s="147"/>
      <c r="Q52" s="147"/>
      <c r="R52" s="512">
        <f t="shared" si="16"/>
        <v>634700</v>
      </c>
      <c r="S52" s="147">
        <v>634700</v>
      </c>
      <c r="T52" s="147"/>
      <c r="U52" s="143"/>
    </row>
    <row r="53" spans="1:21" s="144" customFormat="1" ht="24">
      <c r="A53" s="1138" t="s">
        <v>2745</v>
      </c>
      <c r="B53" s="146">
        <f t="shared" si="15"/>
        <v>1285355</v>
      </c>
      <c r="C53" s="147">
        <f>523797+499660+261898</f>
        <v>1285355</v>
      </c>
      <c r="D53" s="147"/>
      <c r="E53" s="147"/>
      <c r="F53" s="147"/>
      <c r="G53" s="147"/>
      <c r="H53" s="147"/>
      <c r="I53" s="147"/>
      <c r="J53" s="147">
        <v>1285355</v>
      </c>
      <c r="K53" s="147"/>
      <c r="L53" s="147"/>
      <c r="M53" s="147"/>
      <c r="N53" s="147"/>
      <c r="O53" s="147"/>
      <c r="P53" s="147"/>
      <c r="Q53" s="147"/>
      <c r="R53" s="512">
        <f t="shared" si="16"/>
        <v>1285355</v>
      </c>
      <c r="S53" s="147">
        <f>411048+392107+205524</f>
        <v>1008679</v>
      </c>
      <c r="T53" s="147"/>
      <c r="U53" s="143"/>
    </row>
    <row r="54" spans="1:21" s="153" customFormat="1">
      <c r="A54" s="149" t="s">
        <v>157</v>
      </c>
      <c r="B54" s="150">
        <f>SUM(C54:D54)</f>
        <v>7250864</v>
      </c>
      <c r="C54" s="150">
        <f t="shared" ref="C54:T54" si="18">SUM(C45:C53)</f>
        <v>7250864</v>
      </c>
      <c r="D54" s="150">
        <f t="shared" si="18"/>
        <v>0</v>
      </c>
      <c r="E54" s="150">
        <f t="shared" si="18"/>
        <v>5965509</v>
      </c>
      <c r="F54" s="150">
        <f t="shared" si="18"/>
        <v>0</v>
      </c>
      <c r="G54" s="150">
        <f t="shared" si="18"/>
        <v>0</v>
      </c>
      <c r="H54" s="150">
        <f t="shared" si="18"/>
        <v>0</v>
      </c>
      <c r="I54" s="150">
        <f t="shared" si="18"/>
        <v>0</v>
      </c>
      <c r="J54" s="150">
        <f t="shared" si="18"/>
        <v>1285355</v>
      </c>
      <c r="K54" s="150">
        <f t="shared" si="18"/>
        <v>0</v>
      </c>
      <c r="L54" s="150">
        <f t="shared" si="18"/>
        <v>0</v>
      </c>
      <c r="M54" s="150">
        <f t="shared" si="18"/>
        <v>0</v>
      </c>
      <c r="N54" s="150">
        <f t="shared" si="18"/>
        <v>0</v>
      </c>
      <c r="O54" s="150">
        <f t="shared" si="18"/>
        <v>0</v>
      </c>
      <c r="P54" s="150">
        <f t="shared" si="18"/>
        <v>0</v>
      </c>
      <c r="Q54" s="150">
        <f t="shared" si="18"/>
        <v>0</v>
      </c>
      <c r="R54" s="339">
        <f t="shared" si="18"/>
        <v>7250864</v>
      </c>
      <c r="S54" s="150">
        <f t="shared" si="18"/>
        <v>4655776</v>
      </c>
      <c r="T54" s="150">
        <f t="shared" si="18"/>
        <v>0</v>
      </c>
      <c r="U54" s="152"/>
    </row>
    <row r="55" spans="1:21" s="144" customFormat="1">
      <c r="A55" s="141" t="s">
        <v>417</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9">SUM(C56+D56)</f>
        <v>205470</v>
      </c>
      <c r="C56" s="147">
        <v>205470</v>
      </c>
      <c r="D56" s="147"/>
      <c r="E56" s="147">
        <f t="shared" ref="E56" si="20">B56-SUM(F56:Q56)</f>
        <v>205470</v>
      </c>
      <c r="F56" s="147"/>
      <c r="G56" s="147"/>
      <c r="H56" s="147"/>
      <c r="I56" s="147"/>
      <c r="J56" s="147"/>
      <c r="K56" s="147"/>
      <c r="L56" s="147"/>
      <c r="M56" s="147"/>
      <c r="N56" s="147"/>
      <c r="O56" s="147"/>
      <c r="P56" s="147"/>
      <c r="Q56" s="147"/>
      <c r="R56" s="512">
        <f t="shared" ref="R56:R61" si="21">SUM(E56:Q56)</f>
        <v>205470</v>
      </c>
      <c r="S56" s="148"/>
      <c r="T56" s="148"/>
      <c r="U56" s="143"/>
    </row>
    <row r="57" spans="1:21" s="192" customFormat="1">
      <c r="A57" s="186" t="s">
        <v>152</v>
      </c>
      <c r="B57" s="193">
        <f t="shared" si="19"/>
        <v>0</v>
      </c>
      <c r="C57" s="190"/>
      <c r="D57" s="190"/>
      <c r="E57" s="190"/>
      <c r="F57" s="190"/>
      <c r="G57" s="190"/>
      <c r="H57" s="190"/>
      <c r="I57" s="190"/>
      <c r="J57" s="190"/>
      <c r="K57" s="190"/>
      <c r="L57" s="190"/>
      <c r="M57" s="190"/>
      <c r="N57" s="190"/>
      <c r="O57" s="190"/>
      <c r="P57" s="190"/>
      <c r="Q57" s="190"/>
      <c r="R57" s="512">
        <f t="shared" si="21"/>
        <v>0</v>
      </c>
      <c r="S57" s="194"/>
      <c r="T57" s="194"/>
      <c r="U57" s="191"/>
    </row>
    <row r="58" spans="1:21" s="144" customFormat="1">
      <c r="A58" s="145" t="s">
        <v>156</v>
      </c>
      <c r="B58" s="146">
        <f t="shared" si="19"/>
        <v>5000</v>
      </c>
      <c r="C58" s="147">
        <v>5000</v>
      </c>
      <c r="D58" s="147"/>
      <c r="E58" s="147">
        <f t="shared" ref="E58" si="22">B58-SUM(F58:Q58)</f>
        <v>5000</v>
      </c>
      <c r="F58" s="147"/>
      <c r="G58" s="147"/>
      <c r="H58" s="147"/>
      <c r="I58" s="147"/>
      <c r="J58" s="147"/>
      <c r="K58" s="147"/>
      <c r="L58" s="147"/>
      <c r="M58" s="147"/>
      <c r="N58" s="147"/>
      <c r="O58" s="147"/>
      <c r="P58" s="147"/>
      <c r="Q58" s="147"/>
      <c r="R58" s="512">
        <f t="shared" si="21"/>
        <v>5000</v>
      </c>
      <c r="S58" s="148"/>
      <c r="T58" s="148"/>
      <c r="U58" s="143"/>
    </row>
    <row r="59" spans="1:21" s="144" customFormat="1">
      <c r="A59" s="283" t="s">
        <v>154</v>
      </c>
      <c r="B59" s="146">
        <f t="shared" si="19"/>
        <v>0</v>
      </c>
      <c r="C59" s="147"/>
      <c r="D59" s="147"/>
      <c r="E59" s="147"/>
      <c r="F59" s="147"/>
      <c r="G59" s="147"/>
      <c r="H59" s="147"/>
      <c r="I59" s="147"/>
      <c r="J59" s="147"/>
      <c r="K59" s="147"/>
      <c r="L59" s="147"/>
      <c r="M59" s="147"/>
      <c r="N59" s="147"/>
      <c r="O59" s="147"/>
      <c r="P59" s="147"/>
      <c r="Q59" s="147"/>
      <c r="R59" s="512">
        <f t="shared" si="21"/>
        <v>0</v>
      </c>
      <c r="S59" s="148"/>
      <c r="T59" s="148"/>
      <c r="U59" s="143"/>
    </row>
    <row r="60" spans="1:21" s="144" customFormat="1">
      <c r="A60" s="145" t="s">
        <v>155</v>
      </c>
      <c r="B60" s="146">
        <f t="shared" si="19"/>
        <v>0</v>
      </c>
      <c r="C60" s="147"/>
      <c r="D60" s="147"/>
      <c r="E60" s="147"/>
      <c r="F60" s="147"/>
      <c r="G60" s="147"/>
      <c r="H60" s="147"/>
      <c r="I60" s="147"/>
      <c r="J60" s="147"/>
      <c r="K60" s="147"/>
      <c r="L60" s="147"/>
      <c r="M60" s="147"/>
      <c r="N60" s="147"/>
      <c r="O60" s="147"/>
      <c r="P60" s="147"/>
      <c r="Q60" s="147"/>
      <c r="R60" s="512">
        <f t="shared" si="21"/>
        <v>0</v>
      </c>
      <c r="S60" s="148"/>
      <c r="T60" s="148"/>
      <c r="U60" s="143"/>
    </row>
    <row r="61" spans="1:21" s="144" customFormat="1" ht="24">
      <c r="A61" s="1138" t="s">
        <v>2828</v>
      </c>
      <c r="B61" s="146">
        <f t="shared" si="19"/>
        <v>20000</v>
      </c>
      <c r="C61" s="147">
        <v>20000</v>
      </c>
      <c r="D61" s="147"/>
      <c r="E61" s="147">
        <f t="shared" ref="E61" si="23">B61-SUM(F61:Q61)</f>
        <v>10000</v>
      </c>
      <c r="F61" s="147">
        <v>10000</v>
      </c>
      <c r="G61" s="147"/>
      <c r="H61" s="147"/>
      <c r="I61" s="147"/>
      <c r="J61" s="147"/>
      <c r="K61" s="147"/>
      <c r="L61" s="147"/>
      <c r="M61" s="147"/>
      <c r="N61" s="147"/>
      <c r="O61" s="147"/>
      <c r="P61" s="147"/>
      <c r="Q61" s="147"/>
      <c r="R61" s="512">
        <f t="shared" si="21"/>
        <v>20000</v>
      </c>
      <c r="S61" s="148"/>
      <c r="T61" s="148"/>
      <c r="U61" s="143"/>
    </row>
    <row r="62" spans="1:21" s="144" customFormat="1" ht="13.7" customHeight="1">
      <c r="A62" s="149" t="s">
        <v>300</v>
      </c>
      <c r="B62" s="146">
        <f>SUM(C62:D62)</f>
        <v>230470</v>
      </c>
      <c r="C62" s="146">
        <f t="shared" ref="C62:R62" si="24">SUM(C56:C61)</f>
        <v>230470</v>
      </c>
      <c r="D62" s="146">
        <f t="shared" si="24"/>
        <v>0</v>
      </c>
      <c r="E62" s="146">
        <f t="shared" si="24"/>
        <v>220470</v>
      </c>
      <c r="F62" s="146">
        <f t="shared" si="24"/>
        <v>10000</v>
      </c>
      <c r="G62" s="146">
        <f t="shared" si="24"/>
        <v>0</v>
      </c>
      <c r="H62" s="146">
        <f t="shared" si="24"/>
        <v>0</v>
      </c>
      <c r="I62" s="146">
        <f t="shared" si="24"/>
        <v>0</v>
      </c>
      <c r="J62" s="146">
        <f t="shared" si="24"/>
        <v>0</v>
      </c>
      <c r="K62" s="146">
        <f t="shared" si="24"/>
        <v>0</v>
      </c>
      <c r="L62" s="146">
        <f t="shared" si="24"/>
        <v>0</v>
      </c>
      <c r="M62" s="146">
        <f t="shared" si="24"/>
        <v>0</v>
      </c>
      <c r="N62" s="146">
        <f t="shared" si="24"/>
        <v>0</v>
      </c>
      <c r="O62" s="146">
        <f t="shared" si="24"/>
        <v>0</v>
      </c>
      <c r="P62" s="146">
        <f t="shared" si="24"/>
        <v>0</v>
      </c>
      <c r="Q62" s="146">
        <f t="shared" si="24"/>
        <v>0</v>
      </c>
      <c r="R62" s="339">
        <f t="shared" si="24"/>
        <v>230470</v>
      </c>
      <c r="S62" s="148"/>
      <c r="T62" s="148"/>
      <c r="U62" s="143"/>
    </row>
    <row r="63" spans="1:21" s="144" customFormat="1">
      <c r="A63" s="154" t="s">
        <v>301</v>
      </c>
      <c r="B63" s="146">
        <f t="shared" ref="B63:R63" si="25">SUM(B8+B11+B13+B14+B15+B26+B27+B38+B42+B43+B54+B62)</f>
        <v>64452195</v>
      </c>
      <c r="C63" s="146">
        <f t="shared" si="25"/>
        <v>64452195</v>
      </c>
      <c r="D63" s="146">
        <f t="shared" si="25"/>
        <v>0</v>
      </c>
      <c r="E63" s="146">
        <f t="shared" si="25"/>
        <v>19034102</v>
      </c>
      <c r="F63" s="146">
        <f t="shared" si="25"/>
        <v>20547458</v>
      </c>
      <c r="G63" s="146">
        <f t="shared" si="25"/>
        <v>10000000</v>
      </c>
      <c r="H63" s="146">
        <f t="shared" si="25"/>
        <v>8585280</v>
      </c>
      <c r="I63" s="146">
        <f t="shared" si="25"/>
        <v>5000000</v>
      </c>
      <c r="J63" s="146">
        <f t="shared" si="25"/>
        <v>1285355</v>
      </c>
      <c r="K63" s="146">
        <f t="shared" si="25"/>
        <v>0</v>
      </c>
      <c r="L63" s="146">
        <f t="shared" si="25"/>
        <v>0</v>
      </c>
      <c r="M63" s="146">
        <f t="shared" si="25"/>
        <v>0</v>
      </c>
      <c r="N63" s="146">
        <f t="shared" si="25"/>
        <v>0</v>
      </c>
      <c r="O63" s="146">
        <f t="shared" si="25"/>
        <v>0</v>
      </c>
      <c r="P63" s="146">
        <f t="shared" si="25"/>
        <v>0</v>
      </c>
      <c r="Q63" s="146">
        <f t="shared" si="25"/>
        <v>0</v>
      </c>
      <c r="R63" s="339">
        <f t="shared" si="25"/>
        <v>64452195</v>
      </c>
      <c r="S63" s="146">
        <f>SUM(S10+S13+S14+S15+S26+S27+S38+S42+S43+S54)</f>
        <v>56550448</v>
      </c>
      <c r="T63" s="146">
        <f>SUM(T11+T13+T14+T15+T26+T27+T38+T42+T43+T54)</f>
        <v>0</v>
      </c>
      <c r="U63" s="143"/>
    </row>
    <row r="64" spans="1:21" s="144" customFormat="1" ht="24">
      <c r="A64" s="141" t="s">
        <v>1630</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170</v>
      </c>
      <c r="B65" s="146">
        <f>SUM(C65+D65)</f>
        <v>235000</v>
      </c>
      <c r="C65" s="147">
        <f>120000+20000+95000</f>
        <v>235000</v>
      </c>
      <c r="D65" s="147"/>
      <c r="E65" s="147">
        <f t="shared" ref="E65:E68" si="26">B65-SUM(F65:Q65)</f>
        <v>234900</v>
      </c>
      <c r="F65" s="147"/>
      <c r="G65" s="147"/>
      <c r="H65" s="147"/>
      <c r="I65" s="147"/>
      <c r="J65" s="147"/>
      <c r="K65" s="147"/>
      <c r="L65" s="147">
        <v>100</v>
      </c>
      <c r="M65" s="147"/>
      <c r="N65" s="147"/>
      <c r="O65" s="147"/>
      <c r="P65" s="147"/>
      <c r="Q65" s="147"/>
      <c r="R65" s="512">
        <f>SUM(E65:Q65)</f>
        <v>235000</v>
      </c>
      <c r="S65" s="147">
        <f>120000+11739+55761</f>
        <v>187500</v>
      </c>
      <c r="T65" s="147"/>
      <c r="U65" s="143"/>
    </row>
    <row r="66" spans="1:21" s="144" customFormat="1" ht="24" customHeight="1">
      <c r="A66" s="283" t="s">
        <v>1627</v>
      </c>
      <c r="B66" s="146">
        <f>SUM(C66+D66)</f>
        <v>0</v>
      </c>
      <c r="C66" s="147"/>
      <c r="D66" s="147"/>
      <c r="E66" s="147"/>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1628</v>
      </c>
      <c r="B67" s="146">
        <f>SUM(C67+D67)</f>
        <v>0</v>
      </c>
      <c r="C67" s="147"/>
      <c r="D67" s="147"/>
      <c r="E67" s="147">
        <f t="shared" si="26"/>
        <v>0</v>
      </c>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1634</v>
      </c>
      <c r="B68" s="146">
        <f>SUM(C68+D68)</f>
        <v>0</v>
      </c>
      <c r="C68" s="147"/>
      <c r="D68" s="147"/>
      <c r="E68" s="147">
        <f t="shared" si="26"/>
        <v>0</v>
      </c>
      <c r="F68" s="147"/>
      <c r="G68" s="147"/>
      <c r="H68" s="147"/>
      <c r="I68" s="147"/>
      <c r="J68" s="147"/>
      <c r="K68" s="147"/>
      <c r="L68" s="147"/>
      <c r="M68" s="147"/>
      <c r="N68" s="147"/>
      <c r="O68" s="147"/>
      <c r="P68" s="147"/>
      <c r="Q68" s="147"/>
      <c r="R68" s="512">
        <f>SUM(E68:Q68)</f>
        <v>0</v>
      </c>
      <c r="S68" s="147"/>
      <c r="T68" s="147"/>
      <c r="U68" s="143"/>
    </row>
    <row r="69" spans="1:21" s="144" customFormat="1">
      <c r="A69" s="1138" t="s">
        <v>2829</v>
      </c>
      <c r="B69" s="146">
        <f>SUM(C69+D69)</f>
        <v>0</v>
      </c>
      <c r="C69" s="147"/>
      <c r="D69" s="147"/>
      <c r="E69" s="147"/>
      <c r="F69" s="147"/>
      <c r="G69" s="147"/>
      <c r="H69" s="147"/>
      <c r="I69" s="147"/>
      <c r="J69" s="147"/>
      <c r="K69" s="147"/>
      <c r="L69" s="147"/>
      <c r="M69" s="147"/>
      <c r="N69" s="147"/>
      <c r="O69" s="147"/>
      <c r="P69" s="147"/>
      <c r="Q69" s="147"/>
      <c r="R69" s="512">
        <f>SUM(E69:Q69)</f>
        <v>0</v>
      </c>
      <c r="S69" s="147"/>
      <c r="T69" s="147"/>
      <c r="U69" s="143"/>
    </row>
    <row r="70" spans="1:21" s="144" customFormat="1">
      <c r="A70" s="149" t="s">
        <v>1631</v>
      </c>
      <c r="B70" s="146">
        <f>SUM(C70:D70)</f>
        <v>235000</v>
      </c>
      <c r="C70" s="146">
        <f>SUM(C65:C69)</f>
        <v>235000</v>
      </c>
      <c r="D70" s="146">
        <f>SUM(D65:D69)</f>
        <v>0</v>
      </c>
      <c r="E70" s="146">
        <f t="shared" ref="E70:T70" si="27">SUM(E65:E69)</f>
        <v>234900</v>
      </c>
      <c r="F70" s="146">
        <f t="shared" si="27"/>
        <v>0</v>
      </c>
      <c r="G70" s="146">
        <f t="shared" si="27"/>
        <v>0</v>
      </c>
      <c r="H70" s="146">
        <f t="shared" si="27"/>
        <v>0</v>
      </c>
      <c r="I70" s="146">
        <f t="shared" si="27"/>
        <v>0</v>
      </c>
      <c r="J70" s="146">
        <f t="shared" si="27"/>
        <v>0</v>
      </c>
      <c r="K70" s="146">
        <f t="shared" si="27"/>
        <v>0</v>
      </c>
      <c r="L70" s="146">
        <f t="shared" si="27"/>
        <v>100</v>
      </c>
      <c r="M70" s="146">
        <f t="shared" si="27"/>
        <v>0</v>
      </c>
      <c r="N70" s="146">
        <f t="shared" si="27"/>
        <v>0</v>
      </c>
      <c r="O70" s="146">
        <f t="shared" si="27"/>
        <v>0</v>
      </c>
      <c r="P70" s="146">
        <f t="shared" si="27"/>
        <v>0</v>
      </c>
      <c r="Q70" s="146">
        <f t="shared" si="27"/>
        <v>0</v>
      </c>
      <c r="R70" s="339">
        <f t="shared" si="27"/>
        <v>235000</v>
      </c>
      <c r="S70" s="150">
        <f t="shared" si="27"/>
        <v>187500</v>
      </c>
      <c r="T70" s="150">
        <f t="shared" si="27"/>
        <v>0</v>
      </c>
      <c r="U70" s="143"/>
    </row>
    <row r="71" spans="1:21" s="144" customFormat="1">
      <c r="A71" s="141" t="s">
        <v>600</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601</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602</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984</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603</v>
      </c>
      <c r="B75" s="146">
        <f>SUM(C75+D75)</f>
        <v>957572</v>
      </c>
      <c r="C75" s="147">
        <f>313292+644280</f>
        <v>957572</v>
      </c>
      <c r="D75" s="147"/>
      <c r="E75" s="147">
        <f t="shared" ref="E75:E76" si="28">B75-SUM(F75:Q75)</f>
        <v>957572</v>
      </c>
      <c r="F75" s="147"/>
      <c r="G75" s="147"/>
      <c r="H75" s="147"/>
      <c r="I75" s="147"/>
      <c r="J75" s="147"/>
      <c r="K75" s="147"/>
      <c r="L75" s="147"/>
      <c r="M75" s="147"/>
      <c r="N75" s="147"/>
      <c r="O75" s="147"/>
      <c r="P75" s="147"/>
      <c r="Q75" s="147"/>
      <c r="R75" s="512">
        <f>SUM(E75:Q75)</f>
        <v>957572</v>
      </c>
      <c r="S75" s="148"/>
      <c r="T75" s="148"/>
      <c r="U75" s="143"/>
    </row>
    <row r="76" spans="1:21" s="144" customFormat="1">
      <c r="A76" s="1138" t="s">
        <v>2830</v>
      </c>
      <c r="B76" s="146">
        <f>SUM(C76+D76)</f>
        <v>80000</v>
      </c>
      <c r="C76" s="147">
        <v>80000</v>
      </c>
      <c r="D76" s="147"/>
      <c r="E76" s="147">
        <f t="shared" si="28"/>
        <v>80000</v>
      </c>
      <c r="F76" s="147"/>
      <c r="G76" s="147"/>
      <c r="H76" s="147"/>
      <c r="I76" s="147"/>
      <c r="J76" s="147"/>
      <c r="K76" s="147"/>
      <c r="L76" s="147"/>
      <c r="M76" s="147"/>
      <c r="N76" s="147"/>
      <c r="O76" s="147"/>
      <c r="P76" s="147"/>
      <c r="Q76" s="147"/>
      <c r="R76" s="512">
        <f>SUM(E76:Q76)</f>
        <v>80000</v>
      </c>
      <c r="S76" s="148"/>
      <c r="T76" s="148"/>
      <c r="U76" s="143"/>
    </row>
    <row r="77" spans="1:21" s="144" customFormat="1">
      <c r="A77" s="149" t="s">
        <v>604</v>
      </c>
      <c r="B77" s="146">
        <f>SUM(C77:D77)</f>
        <v>1037572</v>
      </c>
      <c r="C77" s="146">
        <f>SUM(C72:C76)</f>
        <v>1037572</v>
      </c>
      <c r="D77" s="146">
        <f>SUM(D72:D76)</f>
        <v>0</v>
      </c>
      <c r="E77" s="146">
        <f t="shared" ref="E77:Q77" si="29">SUM(E72:E76)</f>
        <v>1037572</v>
      </c>
      <c r="F77" s="146">
        <f t="shared" si="29"/>
        <v>0</v>
      </c>
      <c r="G77" s="146">
        <f t="shared" si="29"/>
        <v>0</v>
      </c>
      <c r="H77" s="146">
        <f t="shared" si="29"/>
        <v>0</v>
      </c>
      <c r="I77" s="146">
        <f t="shared" si="29"/>
        <v>0</v>
      </c>
      <c r="J77" s="146">
        <f t="shared" si="29"/>
        <v>0</v>
      </c>
      <c r="K77" s="146">
        <f t="shared" si="29"/>
        <v>0</v>
      </c>
      <c r="L77" s="146">
        <f t="shared" si="29"/>
        <v>0</v>
      </c>
      <c r="M77" s="146">
        <f t="shared" si="29"/>
        <v>0</v>
      </c>
      <c r="N77" s="146">
        <f t="shared" si="29"/>
        <v>0</v>
      </c>
      <c r="O77" s="146">
        <f t="shared" si="29"/>
        <v>0</v>
      </c>
      <c r="P77" s="146">
        <f t="shared" si="29"/>
        <v>0</v>
      </c>
      <c r="Q77" s="146">
        <f t="shared" si="29"/>
        <v>0</v>
      </c>
      <c r="R77" s="339">
        <f>SUM(R72:R76)</f>
        <v>1037572</v>
      </c>
      <c r="S77" s="148"/>
      <c r="T77" s="148"/>
      <c r="U77" s="143"/>
    </row>
    <row r="78" spans="1:21" s="144" customFormat="1">
      <c r="A78" s="141" t="s">
        <v>1207</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1209</v>
      </c>
      <c r="B79" s="146">
        <f>SUM(C79:D79)</f>
        <v>3227684</v>
      </c>
      <c r="C79" s="147">
        <v>3227684</v>
      </c>
      <c r="D79" s="147"/>
      <c r="E79" s="147">
        <f t="shared" ref="E79:E80" si="30">B79-SUM(F79:Q79)</f>
        <v>3227684</v>
      </c>
      <c r="F79" s="147"/>
      <c r="G79" s="147"/>
      <c r="H79" s="147"/>
      <c r="I79" s="147"/>
      <c r="J79" s="147"/>
      <c r="K79" s="147"/>
      <c r="L79" s="147"/>
      <c r="M79" s="147"/>
      <c r="N79" s="147"/>
      <c r="O79" s="147"/>
      <c r="P79" s="147"/>
      <c r="Q79" s="147"/>
      <c r="R79" s="512">
        <f>SUM(E79:Q79)</f>
        <v>3227684</v>
      </c>
      <c r="S79" s="147">
        <f>C79</f>
        <v>3227684</v>
      </c>
      <c r="T79" s="147"/>
      <c r="U79" s="143"/>
    </row>
    <row r="80" spans="1:21" s="144" customFormat="1">
      <c r="A80" s="283" t="s">
        <v>58</v>
      </c>
      <c r="B80" s="146">
        <f>SUM(C80:D80)</f>
        <v>638730</v>
      </c>
      <c r="C80" s="147">
        <v>638730</v>
      </c>
      <c r="D80" s="147"/>
      <c r="E80" s="147">
        <f t="shared" si="30"/>
        <v>638730</v>
      </c>
      <c r="F80" s="147"/>
      <c r="G80" s="147"/>
      <c r="H80" s="147"/>
      <c r="I80" s="147"/>
      <c r="J80" s="147"/>
      <c r="K80" s="147"/>
      <c r="L80" s="147"/>
      <c r="M80" s="147"/>
      <c r="N80" s="147"/>
      <c r="O80" s="147"/>
      <c r="P80" s="147"/>
      <c r="Q80" s="147"/>
      <c r="R80" s="512">
        <f>SUM(E80:Q80)</f>
        <v>638730</v>
      </c>
      <c r="S80" s="147">
        <f>C80</f>
        <v>638730</v>
      </c>
      <c r="T80" s="147"/>
      <c r="U80" s="143"/>
    </row>
    <row r="81" spans="1:21" s="144" customFormat="1">
      <c r="A81" s="149" t="s">
        <v>1206</v>
      </c>
      <c r="B81" s="146">
        <f>SUM(C81:D81)</f>
        <v>3866414</v>
      </c>
      <c r="C81" s="505">
        <f>SUM(C79:C80)</f>
        <v>3866414</v>
      </c>
      <c r="D81" s="505">
        <f t="shared" ref="D81:T81" si="31">SUM(D79:D80)</f>
        <v>0</v>
      </c>
      <c r="E81" s="505">
        <f t="shared" si="31"/>
        <v>3866414</v>
      </c>
      <c r="F81" s="505">
        <f t="shared" si="31"/>
        <v>0</v>
      </c>
      <c r="G81" s="505">
        <f t="shared" si="31"/>
        <v>0</v>
      </c>
      <c r="H81" s="505">
        <f t="shared" si="31"/>
        <v>0</v>
      </c>
      <c r="I81" s="505">
        <f t="shared" si="31"/>
        <v>0</v>
      </c>
      <c r="J81" s="505">
        <f t="shared" si="31"/>
        <v>0</v>
      </c>
      <c r="K81" s="505">
        <f t="shared" si="31"/>
        <v>0</v>
      </c>
      <c r="L81" s="505">
        <f t="shared" si="31"/>
        <v>0</v>
      </c>
      <c r="M81" s="505">
        <f t="shared" si="31"/>
        <v>0</v>
      </c>
      <c r="N81" s="505">
        <f t="shared" si="31"/>
        <v>0</v>
      </c>
      <c r="O81" s="505">
        <f t="shared" si="31"/>
        <v>0</v>
      </c>
      <c r="P81" s="505">
        <f t="shared" si="31"/>
        <v>0</v>
      </c>
      <c r="Q81" s="505">
        <f t="shared" si="31"/>
        <v>0</v>
      </c>
      <c r="R81" s="505">
        <f t="shared" si="31"/>
        <v>3866414</v>
      </c>
      <c r="S81" s="505">
        <f t="shared" si="31"/>
        <v>3866414</v>
      </c>
      <c r="T81" s="505">
        <f t="shared" si="31"/>
        <v>0</v>
      </c>
      <c r="U81" s="143"/>
    </row>
    <row r="82" spans="1:21" s="144" customFormat="1">
      <c r="A82" s="141" t="s">
        <v>763</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 customHeight="1">
      <c r="A83" s="145" t="s">
        <v>2042</v>
      </c>
      <c r="B83" s="146">
        <f t="shared" ref="B83:B95" si="32">SUM(C83+D83)</f>
        <v>115386</v>
      </c>
      <c r="C83" s="147">
        <v>115386</v>
      </c>
      <c r="D83" s="147"/>
      <c r="E83" s="147">
        <f t="shared" ref="E83:E95" si="33">B83-SUM(F83:Q83)</f>
        <v>115386</v>
      </c>
      <c r="F83" s="147"/>
      <c r="G83" s="147"/>
      <c r="H83" s="147"/>
      <c r="I83" s="147"/>
      <c r="J83" s="147"/>
      <c r="K83" s="147"/>
      <c r="L83" s="147"/>
      <c r="M83" s="147"/>
      <c r="N83" s="147"/>
      <c r="O83" s="147"/>
      <c r="P83" s="147"/>
      <c r="Q83" s="147"/>
      <c r="R83" s="512">
        <f t="shared" ref="R83:R95" si="34">SUM(E83:Q83)</f>
        <v>115386</v>
      </c>
      <c r="S83" s="148"/>
      <c r="T83" s="148"/>
      <c r="U83" s="143"/>
    </row>
    <row r="84" spans="1:21" s="144" customFormat="1">
      <c r="A84" s="145" t="s">
        <v>765</v>
      </c>
      <c r="B84" s="146">
        <f t="shared" si="32"/>
        <v>150000</v>
      </c>
      <c r="C84" s="147">
        <v>150000</v>
      </c>
      <c r="D84" s="147"/>
      <c r="E84" s="147">
        <f t="shared" si="33"/>
        <v>150000</v>
      </c>
      <c r="F84" s="147"/>
      <c r="G84" s="147"/>
      <c r="H84" s="147"/>
      <c r="I84" s="147"/>
      <c r="J84" s="147"/>
      <c r="K84" s="147"/>
      <c r="L84" s="147"/>
      <c r="M84" s="147"/>
      <c r="N84" s="147"/>
      <c r="O84" s="147"/>
      <c r="P84" s="147"/>
      <c r="Q84" s="147"/>
      <c r="R84" s="512">
        <f t="shared" si="34"/>
        <v>150000</v>
      </c>
      <c r="S84" s="147">
        <v>150000</v>
      </c>
      <c r="T84" s="147"/>
      <c r="U84" s="143"/>
    </row>
    <row r="85" spans="1:21" s="144" customFormat="1">
      <c r="A85" s="145" t="s">
        <v>766</v>
      </c>
      <c r="B85" s="146">
        <f t="shared" si="32"/>
        <v>926936</v>
      </c>
      <c r="C85" s="147">
        <v>926936</v>
      </c>
      <c r="D85" s="147"/>
      <c r="E85" s="147">
        <f t="shared" si="33"/>
        <v>926936</v>
      </c>
      <c r="F85" s="147"/>
      <c r="G85" s="147"/>
      <c r="H85" s="147"/>
      <c r="I85" s="147"/>
      <c r="J85" s="147"/>
      <c r="K85" s="147"/>
      <c r="L85" s="147"/>
      <c r="M85" s="147"/>
      <c r="N85" s="147"/>
      <c r="O85" s="147"/>
      <c r="P85" s="147"/>
      <c r="Q85" s="147"/>
      <c r="R85" s="512">
        <f t="shared" si="34"/>
        <v>926936</v>
      </c>
      <c r="S85" s="147">
        <f>C85</f>
        <v>926936</v>
      </c>
      <c r="T85" s="147"/>
      <c r="U85" s="143"/>
    </row>
    <row r="86" spans="1:21" s="144" customFormat="1">
      <c r="A86" s="145" t="s">
        <v>767</v>
      </c>
      <c r="B86" s="146">
        <f t="shared" si="32"/>
        <v>892925</v>
      </c>
      <c r="C86" s="147">
        <v>892925</v>
      </c>
      <c r="D86" s="147"/>
      <c r="E86" s="147">
        <f t="shared" si="33"/>
        <v>892925</v>
      </c>
      <c r="F86" s="147"/>
      <c r="G86" s="147"/>
      <c r="H86" s="147"/>
      <c r="I86" s="147"/>
      <c r="J86" s="147"/>
      <c r="K86" s="147"/>
      <c r="L86" s="147"/>
      <c r="M86" s="147"/>
      <c r="N86" s="147"/>
      <c r="O86" s="147"/>
      <c r="P86" s="147"/>
      <c r="Q86" s="147"/>
      <c r="R86" s="512">
        <f t="shared" si="34"/>
        <v>892925</v>
      </c>
      <c r="S86" s="147">
        <f>C86</f>
        <v>892925</v>
      </c>
      <c r="T86" s="147"/>
      <c r="U86" s="143"/>
    </row>
    <row r="87" spans="1:21" s="144" customFormat="1">
      <c r="A87" s="145" t="s">
        <v>768</v>
      </c>
      <c r="B87" s="146">
        <f t="shared" si="32"/>
        <v>0</v>
      </c>
      <c r="C87" s="147"/>
      <c r="D87" s="147"/>
      <c r="E87" s="147">
        <f t="shared" si="33"/>
        <v>0</v>
      </c>
      <c r="F87" s="147"/>
      <c r="G87" s="147"/>
      <c r="H87" s="147"/>
      <c r="I87" s="147"/>
      <c r="J87" s="147"/>
      <c r="K87" s="147"/>
      <c r="L87" s="147"/>
      <c r="M87" s="147"/>
      <c r="N87" s="147"/>
      <c r="O87" s="147"/>
      <c r="P87" s="147"/>
      <c r="Q87" s="147"/>
      <c r="R87" s="512">
        <f t="shared" si="34"/>
        <v>0</v>
      </c>
      <c r="S87" s="147"/>
      <c r="T87" s="147"/>
      <c r="U87" s="143"/>
    </row>
    <row r="88" spans="1:21" s="144" customFormat="1">
      <c r="A88" s="145" t="s">
        <v>769</v>
      </c>
      <c r="B88" s="146">
        <f t="shared" si="32"/>
        <v>172000</v>
      </c>
      <c r="C88" s="147">
        <f>10000+162000</f>
        <v>172000</v>
      </c>
      <c r="D88" s="147"/>
      <c r="E88" s="147">
        <f t="shared" si="33"/>
        <v>172000</v>
      </c>
      <c r="F88" s="147"/>
      <c r="G88" s="147"/>
      <c r="H88" s="147"/>
      <c r="I88" s="147"/>
      <c r="J88" s="147"/>
      <c r="K88" s="147"/>
      <c r="L88" s="147"/>
      <c r="M88" s="147"/>
      <c r="N88" s="147"/>
      <c r="O88" s="147"/>
      <c r="P88" s="147"/>
      <c r="Q88" s="147"/>
      <c r="R88" s="512">
        <f t="shared" si="34"/>
        <v>172000</v>
      </c>
      <c r="S88" s="148"/>
      <c r="T88" s="148"/>
      <c r="U88" s="143"/>
    </row>
    <row r="89" spans="1:21" s="144" customFormat="1">
      <c r="A89" s="145" t="s">
        <v>770</v>
      </c>
      <c r="B89" s="146">
        <f t="shared" si="32"/>
        <v>250000</v>
      </c>
      <c r="C89" s="147">
        <v>250000</v>
      </c>
      <c r="D89" s="147"/>
      <c r="E89" s="147">
        <f t="shared" si="33"/>
        <v>250000</v>
      </c>
      <c r="F89" s="147"/>
      <c r="G89" s="147"/>
      <c r="H89" s="147"/>
      <c r="I89" s="147"/>
      <c r="J89" s="147"/>
      <c r="K89" s="147"/>
      <c r="L89" s="147"/>
      <c r="M89" s="147"/>
      <c r="N89" s="147"/>
      <c r="O89" s="147"/>
      <c r="P89" s="147"/>
      <c r="Q89" s="147"/>
      <c r="R89" s="512">
        <f t="shared" si="34"/>
        <v>250000</v>
      </c>
      <c r="S89" s="147">
        <v>250000</v>
      </c>
      <c r="T89" s="147"/>
      <c r="U89" s="143"/>
    </row>
    <row r="90" spans="1:21" s="144" customFormat="1">
      <c r="A90" s="145" t="s">
        <v>771</v>
      </c>
      <c r="B90" s="146">
        <f t="shared" si="32"/>
        <v>15000</v>
      </c>
      <c r="C90" s="147">
        <v>15000</v>
      </c>
      <c r="D90" s="147"/>
      <c r="E90" s="147">
        <f t="shared" si="33"/>
        <v>15000</v>
      </c>
      <c r="F90" s="147"/>
      <c r="G90" s="147"/>
      <c r="H90" s="147"/>
      <c r="I90" s="147"/>
      <c r="J90" s="147"/>
      <c r="K90" s="147"/>
      <c r="L90" s="147"/>
      <c r="M90" s="147"/>
      <c r="N90" s="147"/>
      <c r="O90" s="147"/>
      <c r="P90" s="147"/>
      <c r="Q90" s="147"/>
      <c r="R90" s="512">
        <f t="shared" si="34"/>
        <v>15000</v>
      </c>
      <c r="S90" s="147"/>
      <c r="T90" s="147"/>
      <c r="U90" s="143"/>
    </row>
    <row r="91" spans="1:21" s="144" customFormat="1">
      <c r="A91" s="145" t="s">
        <v>371</v>
      </c>
      <c r="B91" s="146">
        <f t="shared" si="32"/>
        <v>0</v>
      </c>
      <c r="C91" s="147"/>
      <c r="D91" s="147"/>
      <c r="E91" s="147"/>
      <c r="F91" s="147"/>
      <c r="G91" s="147"/>
      <c r="H91" s="147"/>
      <c r="I91" s="147"/>
      <c r="J91" s="147"/>
      <c r="K91" s="147"/>
      <c r="L91" s="147"/>
      <c r="M91" s="147"/>
      <c r="N91" s="147"/>
      <c r="O91" s="147"/>
      <c r="P91" s="147"/>
      <c r="Q91" s="147"/>
      <c r="R91" s="512">
        <f t="shared" si="34"/>
        <v>0</v>
      </c>
      <c r="S91" s="147"/>
      <c r="T91" s="147"/>
      <c r="U91" s="143"/>
    </row>
    <row r="92" spans="1:21" s="144" customFormat="1">
      <c r="A92" s="283" t="s">
        <v>1208</v>
      </c>
      <c r="B92" s="146">
        <f t="shared" si="32"/>
        <v>15000</v>
      </c>
      <c r="C92" s="147">
        <v>15000</v>
      </c>
      <c r="D92" s="147"/>
      <c r="E92" s="147">
        <f t="shared" si="33"/>
        <v>15000</v>
      </c>
      <c r="F92" s="147"/>
      <c r="G92" s="147"/>
      <c r="H92" s="147"/>
      <c r="I92" s="147"/>
      <c r="J92" s="147"/>
      <c r="K92" s="147"/>
      <c r="L92" s="147"/>
      <c r="M92" s="147"/>
      <c r="N92" s="147"/>
      <c r="O92" s="147"/>
      <c r="P92" s="147"/>
      <c r="Q92" s="147"/>
      <c r="R92" s="512">
        <f t="shared" si="34"/>
        <v>15000</v>
      </c>
      <c r="S92" s="147"/>
      <c r="T92" s="147"/>
      <c r="U92" s="143"/>
    </row>
    <row r="93" spans="1:21" s="144" customFormat="1" ht="24">
      <c r="A93" s="1138" t="s">
        <v>2833</v>
      </c>
      <c r="B93" s="146">
        <f t="shared" si="32"/>
        <v>2208811</v>
      </c>
      <c r="C93" s="147">
        <f>2058811+150000</f>
        <v>2208811</v>
      </c>
      <c r="D93" s="147"/>
      <c r="E93" s="147">
        <f t="shared" si="33"/>
        <v>2208811</v>
      </c>
      <c r="F93" s="147"/>
      <c r="G93" s="147"/>
      <c r="H93" s="147"/>
      <c r="I93" s="147"/>
      <c r="J93" s="147"/>
      <c r="K93" s="147"/>
      <c r="L93" s="147"/>
      <c r="M93" s="147"/>
      <c r="N93" s="147"/>
      <c r="O93" s="147"/>
      <c r="P93" s="147"/>
      <c r="Q93" s="147"/>
      <c r="R93" s="512">
        <f t="shared" si="34"/>
        <v>2208811</v>
      </c>
      <c r="S93" s="147"/>
      <c r="T93" s="147"/>
      <c r="U93" s="143"/>
    </row>
    <row r="94" spans="1:21" s="144" customFormat="1" ht="36">
      <c r="A94" s="1138" t="s">
        <v>2832</v>
      </c>
      <c r="B94" s="146">
        <f t="shared" si="32"/>
        <v>952744</v>
      </c>
      <c r="C94" s="147">
        <f>35000+225000+60000+60000+392744+180000</f>
        <v>952744</v>
      </c>
      <c r="D94" s="147"/>
      <c r="E94" s="147">
        <f t="shared" si="33"/>
        <v>952744</v>
      </c>
      <c r="F94" s="147"/>
      <c r="G94" s="147"/>
      <c r="H94" s="147"/>
      <c r="I94" s="147"/>
      <c r="J94" s="147"/>
      <c r="K94" s="147"/>
      <c r="L94" s="147"/>
      <c r="M94" s="147"/>
      <c r="N94" s="147"/>
      <c r="O94" s="147"/>
      <c r="P94" s="147"/>
      <c r="Q94" s="147"/>
      <c r="R94" s="512">
        <f t="shared" si="34"/>
        <v>952744</v>
      </c>
      <c r="S94" s="147">
        <f>R94</f>
        <v>952744</v>
      </c>
      <c r="T94" s="147"/>
      <c r="U94" s="143"/>
    </row>
    <row r="95" spans="1:21" s="144" customFormat="1">
      <c r="A95" s="1138" t="s">
        <v>2831</v>
      </c>
      <c r="B95" s="146">
        <f t="shared" si="32"/>
        <v>308929</v>
      </c>
      <c r="C95" s="147">
        <f>8000+48000+100000+100000+42929+10000</f>
        <v>308929</v>
      </c>
      <c r="D95" s="147"/>
      <c r="E95" s="147">
        <f t="shared" si="33"/>
        <v>308929</v>
      </c>
      <c r="F95" s="147"/>
      <c r="G95" s="147"/>
      <c r="H95" s="147"/>
      <c r="I95" s="147"/>
      <c r="J95" s="147"/>
      <c r="K95" s="147"/>
      <c r="L95" s="147"/>
      <c r="M95" s="147"/>
      <c r="N95" s="147"/>
      <c r="O95" s="147"/>
      <c r="P95" s="147"/>
      <c r="Q95" s="147"/>
      <c r="R95" s="512">
        <f t="shared" si="34"/>
        <v>308929</v>
      </c>
      <c r="S95" s="147">
        <f>8000+48000+100000+58695+25196+5870</f>
        <v>245761</v>
      </c>
      <c r="T95" s="147"/>
      <c r="U95" s="143"/>
    </row>
    <row r="96" spans="1:21" s="144" customFormat="1">
      <c r="A96" s="149" t="s">
        <v>772</v>
      </c>
      <c r="B96" s="146">
        <f>SUM(C96:D96)</f>
        <v>6007731</v>
      </c>
      <c r="C96" s="146">
        <f t="shared" ref="C96:R96" si="35">SUM(C83:C95)</f>
        <v>6007731</v>
      </c>
      <c r="D96" s="146">
        <f t="shared" si="35"/>
        <v>0</v>
      </c>
      <c r="E96" s="146">
        <f t="shared" si="35"/>
        <v>6007731</v>
      </c>
      <c r="F96" s="146">
        <f t="shared" si="35"/>
        <v>0</v>
      </c>
      <c r="G96" s="146">
        <f t="shared" si="35"/>
        <v>0</v>
      </c>
      <c r="H96" s="146">
        <f t="shared" si="35"/>
        <v>0</v>
      </c>
      <c r="I96" s="146">
        <f t="shared" si="35"/>
        <v>0</v>
      </c>
      <c r="J96" s="146">
        <f t="shared" si="35"/>
        <v>0</v>
      </c>
      <c r="K96" s="146">
        <f t="shared" si="35"/>
        <v>0</v>
      </c>
      <c r="L96" s="146">
        <f t="shared" si="35"/>
        <v>0</v>
      </c>
      <c r="M96" s="146">
        <f t="shared" si="35"/>
        <v>0</v>
      </c>
      <c r="N96" s="146">
        <f t="shared" si="35"/>
        <v>0</v>
      </c>
      <c r="O96" s="146">
        <f t="shared" si="35"/>
        <v>0</v>
      </c>
      <c r="P96" s="146">
        <f t="shared" si="35"/>
        <v>0</v>
      </c>
      <c r="Q96" s="146">
        <f t="shared" si="35"/>
        <v>0</v>
      </c>
      <c r="R96" s="339">
        <f t="shared" si="35"/>
        <v>6007731</v>
      </c>
      <c r="S96" s="150">
        <f>SUM(S84:S87,S89:S95)</f>
        <v>3418366</v>
      </c>
      <c r="T96" s="146">
        <f>SUM(T84:T87,T89:T95)</f>
        <v>0</v>
      </c>
      <c r="U96" s="143"/>
    </row>
    <row r="97" spans="1:21" s="144" customFormat="1">
      <c r="A97" s="149" t="s">
        <v>773</v>
      </c>
      <c r="B97" s="146">
        <f>SUM(C97:D97)</f>
        <v>75598912</v>
      </c>
      <c r="C97" s="146">
        <f t="shared" ref="C97:R97" si="36">SUM(C63+C70+C77+C81+C96)</f>
        <v>75598912</v>
      </c>
      <c r="D97" s="146">
        <f t="shared" si="36"/>
        <v>0</v>
      </c>
      <c r="E97" s="146">
        <f t="shared" si="36"/>
        <v>30180719</v>
      </c>
      <c r="F97" s="146">
        <f t="shared" si="36"/>
        <v>20547458</v>
      </c>
      <c r="G97" s="146">
        <f t="shared" si="36"/>
        <v>10000000</v>
      </c>
      <c r="H97" s="146">
        <f t="shared" si="36"/>
        <v>8585280</v>
      </c>
      <c r="I97" s="146">
        <f t="shared" si="36"/>
        <v>5000000</v>
      </c>
      <c r="J97" s="146">
        <f t="shared" si="36"/>
        <v>1285355</v>
      </c>
      <c r="K97" s="146">
        <f t="shared" si="36"/>
        <v>0</v>
      </c>
      <c r="L97" s="146">
        <f t="shared" si="36"/>
        <v>100</v>
      </c>
      <c r="M97" s="146">
        <f t="shared" si="36"/>
        <v>0</v>
      </c>
      <c r="N97" s="146">
        <f t="shared" si="36"/>
        <v>0</v>
      </c>
      <c r="O97" s="146">
        <f t="shared" si="36"/>
        <v>0</v>
      </c>
      <c r="P97" s="146">
        <f t="shared" si="36"/>
        <v>0</v>
      </c>
      <c r="Q97" s="146">
        <f t="shared" si="36"/>
        <v>0</v>
      </c>
      <c r="R97" s="146">
        <f t="shared" si="36"/>
        <v>75598912</v>
      </c>
      <c r="S97" s="146">
        <f>SUM(S63+S70+S81+S96)</f>
        <v>64022728</v>
      </c>
      <c r="T97" s="146">
        <f>SUM(T63+T70+T81+T96)</f>
        <v>0</v>
      </c>
      <c r="U97" s="143"/>
    </row>
    <row r="98" spans="1:21" s="144" customFormat="1">
      <c r="A98" s="141" t="s">
        <v>774</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775</v>
      </c>
      <c r="B99" s="146">
        <f>SUM(C99+D99)</f>
        <v>9603409</v>
      </c>
      <c r="C99" s="969">
        <v>9603409</v>
      </c>
      <c r="D99" s="969"/>
      <c r="E99" s="969">
        <f>B99-SUM(F99:Q99)</f>
        <v>1770460</v>
      </c>
      <c r="F99" s="147"/>
      <c r="G99" s="147"/>
      <c r="H99" s="147"/>
      <c r="I99" s="147"/>
      <c r="J99" s="147"/>
      <c r="K99" s="147">
        <v>7832949</v>
      </c>
      <c r="L99" s="147"/>
      <c r="M99" s="147"/>
      <c r="N99" s="147"/>
      <c r="O99" s="147"/>
      <c r="P99" s="147"/>
      <c r="Q99" s="147"/>
      <c r="R99" s="512">
        <f>SUM(E99:Q99)</f>
        <v>9603409</v>
      </c>
      <c r="S99" s="147">
        <f>C99</f>
        <v>9603409</v>
      </c>
      <c r="T99" s="147"/>
      <c r="U99" s="143"/>
    </row>
    <row r="100" spans="1:21" s="144" customFormat="1">
      <c r="A100" s="283" t="s">
        <v>1632</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776</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1633</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777</v>
      </c>
      <c r="B104" s="146">
        <f>SUM(C104:D104)</f>
        <v>9603409</v>
      </c>
      <c r="C104" s="146">
        <f>SUM(C99:C103)</f>
        <v>9603409</v>
      </c>
      <c r="D104" s="146">
        <f t="shared" ref="D104:T104" si="37">SUM(D99:D103)</f>
        <v>0</v>
      </c>
      <c r="E104" s="146">
        <f t="shared" si="37"/>
        <v>1770460</v>
      </c>
      <c r="F104" s="146">
        <f t="shared" si="37"/>
        <v>0</v>
      </c>
      <c r="G104" s="146">
        <f t="shared" si="37"/>
        <v>0</v>
      </c>
      <c r="H104" s="146">
        <f t="shared" si="37"/>
        <v>0</v>
      </c>
      <c r="I104" s="146">
        <f t="shared" si="37"/>
        <v>0</v>
      </c>
      <c r="J104" s="146">
        <f t="shared" si="37"/>
        <v>0</v>
      </c>
      <c r="K104" s="146">
        <f t="shared" si="37"/>
        <v>7832949</v>
      </c>
      <c r="L104" s="146">
        <f t="shared" si="37"/>
        <v>0</v>
      </c>
      <c r="M104" s="146">
        <f t="shared" si="37"/>
        <v>0</v>
      </c>
      <c r="N104" s="146">
        <f t="shared" si="37"/>
        <v>0</v>
      </c>
      <c r="O104" s="146">
        <f t="shared" si="37"/>
        <v>0</v>
      </c>
      <c r="P104" s="146">
        <f t="shared" si="37"/>
        <v>0</v>
      </c>
      <c r="Q104" s="146">
        <f t="shared" si="37"/>
        <v>0</v>
      </c>
      <c r="R104" s="339">
        <f t="shared" si="37"/>
        <v>9603409</v>
      </c>
      <c r="S104" s="150">
        <f t="shared" si="37"/>
        <v>9603409</v>
      </c>
      <c r="T104" s="150">
        <f t="shared" si="37"/>
        <v>0</v>
      </c>
      <c r="U104" s="143"/>
    </row>
    <row r="105" spans="1:21" s="144" customFormat="1">
      <c r="A105" s="149" t="s">
        <v>778</v>
      </c>
      <c r="B105" s="150">
        <f>SUM(C105:D105)</f>
        <v>85202321</v>
      </c>
      <c r="C105" s="150">
        <f t="shared" ref="C105:R105" si="38">SUM(C97+C104)</f>
        <v>85202321</v>
      </c>
      <c r="D105" s="150">
        <f t="shared" si="38"/>
        <v>0</v>
      </c>
      <c r="E105" s="150">
        <f t="shared" si="38"/>
        <v>31951179</v>
      </c>
      <c r="F105" s="150">
        <f t="shared" si="38"/>
        <v>20547458</v>
      </c>
      <c r="G105" s="150">
        <f t="shared" si="38"/>
        <v>10000000</v>
      </c>
      <c r="H105" s="150">
        <f t="shared" si="38"/>
        <v>8585280</v>
      </c>
      <c r="I105" s="150">
        <f t="shared" si="38"/>
        <v>5000000</v>
      </c>
      <c r="J105" s="150">
        <f t="shared" si="38"/>
        <v>1285355</v>
      </c>
      <c r="K105" s="150">
        <f t="shared" si="38"/>
        <v>7832949</v>
      </c>
      <c r="L105" s="150">
        <f t="shared" si="38"/>
        <v>100</v>
      </c>
      <c r="M105" s="150">
        <f t="shared" si="38"/>
        <v>0</v>
      </c>
      <c r="N105" s="150">
        <f t="shared" si="38"/>
        <v>0</v>
      </c>
      <c r="O105" s="150">
        <f t="shared" si="38"/>
        <v>0</v>
      </c>
      <c r="P105" s="150">
        <f t="shared" si="38"/>
        <v>0</v>
      </c>
      <c r="Q105" s="150">
        <f t="shared" si="38"/>
        <v>0</v>
      </c>
      <c r="R105" s="339">
        <f t="shared" si="38"/>
        <v>85202321</v>
      </c>
      <c r="S105" s="150">
        <f>S97+S104</f>
        <v>73626137</v>
      </c>
      <c r="T105" s="150">
        <f>T97+T104</f>
        <v>0</v>
      </c>
      <c r="U105" s="143"/>
    </row>
    <row r="106" spans="1:21">
      <c r="A106" s="510" t="s">
        <v>1018</v>
      </c>
      <c r="B106" s="157"/>
      <c r="C106" s="157"/>
      <c r="D106" s="157"/>
      <c r="H106" s="159" t="s">
        <v>92</v>
      </c>
      <c r="I106" s="159"/>
      <c r="J106" s="159"/>
      <c r="R106" s="160" t="s">
        <v>93</v>
      </c>
      <c r="S106" s="147"/>
      <c r="T106" s="147"/>
    </row>
    <row r="107" spans="1:21">
      <c r="A107" s="157" t="s">
        <v>183</v>
      </c>
      <c r="C107" s="157"/>
      <c r="D107" s="157"/>
      <c r="I107" s="162" t="s">
        <v>349</v>
      </c>
      <c r="J107" s="162"/>
      <c r="R107" s="160" t="s">
        <v>94</v>
      </c>
      <c r="S107" s="150">
        <f>S105+S106</f>
        <v>73626137</v>
      </c>
      <c r="T107" s="150">
        <f>T105+T106</f>
        <v>0</v>
      </c>
    </row>
    <row r="108" spans="1:21" s="189" customFormat="1">
      <c r="A108" s="162" t="s">
        <v>877</v>
      </c>
      <c r="B108" s="157"/>
      <c r="C108" s="157"/>
      <c r="D108" s="157"/>
      <c r="E108" s="301">
        <f>Application!AO648</f>
        <v>31951179</v>
      </c>
      <c r="F108" s="301">
        <f>Application!AO635</f>
        <v>20547458</v>
      </c>
      <c r="G108" s="301">
        <f>Application!AO636</f>
        <v>10000000</v>
      </c>
      <c r="H108" s="301">
        <f>Application!AO637</f>
        <v>8585280</v>
      </c>
      <c r="I108" s="301">
        <f>Application!AO638</f>
        <v>5000000</v>
      </c>
      <c r="J108" s="301">
        <f>Application!AO639</f>
        <v>1285355</v>
      </c>
      <c r="K108" s="301">
        <f>Application!AO640</f>
        <v>7832949</v>
      </c>
      <c r="L108" s="301">
        <f>Application!AO641</f>
        <v>100</v>
      </c>
      <c r="M108" s="301">
        <f>Application!AO642</f>
        <v>0</v>
      </c>
      <c r="N108" s="301">
        <f>Application!AO643</f>
        <v>0</v>
      </c>
      <c r="O108" s="301">
        <f>Application!AO644</f>
        <v>0</v>
      </c>
      <c r="P108" s="301">
        <f>Application!AO645</f>
        <v>0</v>
      </c>
      <c r="Q108" s="301">
        <f>Application!AO646</f>
        <v>0</v>
      </c>
      <c r="R108" s="158"/>
      <c r="S108" s="158"/>
      <c r="T108" s="158"/>
      <c r="U108" s="188"/>
    </row>
    <row r="109" spans="1:21" ht="10.35" customHeight="1">
      <c r="A109" s="157"/>
      <c r="B109" s="157"/>
      <c r="C109" s="157"/>
      <c r="D109" s="157"/>
    </row>
    <row r="110" spans="1:21">
      <c r="A110" s="162" t="s">
        <v>956</v>
      </c>
      <c r="B110" s="157"/>
      <c r="C110" s="157"/>
      <c r="D110" s="157"/>
    </row>
    <row r="111" spans="1:21">
      <c r="A111" s="156" t="s">
        <v>957</v>
      </c>
      <c r="B111" s="157"/>
      <c r="C111" s="157"/>
      <c r="D111" s="157"/>
    </row>
    <row r="112" spans="1:21" ht="12" customHeight="1">
      <c r="A112" s="312"/>
      <c r="B112" s="157"/>
      <c r="C112" s="157"/>
      <c r="D112" s="157"/>
    </row>
    <row r="113" spans="1:21">
      <c r="A113" s="156" t="s">
        <v>1017</v>
      </c>
      <c r="B113" s="157"/>
      <c r="C113" s="157"/>
      <c r="D113" s="157"/>
    </row>
    <row r="114" spans="1:21">
      <c r="A114" s="156" t="s">
        <v>2043</v>
      </c>
      <c r="B114" s="157"/>
      <c r="C114" s="157"/>
      <c r="D114" s="157"/>
    </row>
    <row r="115" spans="1:21" ht="12" customHeight="1">
      <c r="A115" s="312"/>
      <c r="B115" s="157"/>
      <c r="C115" s="157"/>
      <c r="D115" s="157"/>
    </row>
    <row r="116" spans="1:21">
      <c r="A116" s="342" t="s">
        <v>1020</v>
      </c>
      <c r="B116" s="157"/>
      <c r="C116" s="157"/>
      <c r="D116" s="157"/>
    </row>
    <row r="117" spans="1:21">
      <c r="A117" s="342" t="s">
        <v>1220</v>
      </c>
      <c r="B117" s="157"/>
      <c r="C117" s="157"/>
      <c r="D117" s="157"/>
    </row>
    <row r="118" spans="1:21">
      <c r="A118" s="342" t="s">
        <v>1019</v>
      </c>
      <c r="B118" s="157"/>
      <c r="C118" s="157"/>
      <c r="D118" s="157"/>
    </row>
    <row r="119" spans="1:21">
      <c r="A119" s="342" t="s">
        <v>1021</v>
      </c>
      <c r="B119" s="157"/>
      <c r="C119" s="157"/>
      <c r="D119" s="157"/>
    </row>
    <row r="120" spans="1:21" ht="12" customHeight="1">
      <c r="A120" s="341"/>
      <c r="B120" s="157"/>
      <c r="C120" s="157"/>
      <c r="D120" s="157"/>
    </row>
    <row r="121" spans="1:21" ht="15.75">
      <c r="A121" s="335" t="s">
        <v>1003</v>
      </c>
      <c r="B121" s="157"/>
      <c r="C121" s="157"/>
      <c r="D121" s="157"/>
    </row>
    <row r="122" spans="1:21">
      <c r="A122" s="322" t="s">
        <v>987</v>
      </c>
      <c r="B122" s="321"/>
      <c r="C122" s="321"/>
      <c r="D122" s="1901" t="s">
        <v>988</v>
      </c>
      <c r="E122" s="1901"/>
      <c r="F122" s="1901"/>
      <c r="G122" s="321"/>
      <c r="H122" s="321"/>
      <c r="I122" s="321"/>
      <c r="J122" s="321"/>
      <c r="K122" s="321"/>
      <c r="L122" s="321"/>
      <c r="M122" s="321"/>
      <c r="N122" s="321"/>
      <c r="O122" s="321"/>
      <c r="P122" s="321"/>
      <c r="Q122" s="321"/>
      <c r="R122" s="321"/>
      <c r="S122" s="321"/>
      <c r="T122" s="321"/>
      <c r="U122" s="323"/>
    </row>
    <row r="123" spans="1:21">
      <c r="A123" s="321" t="s">
        <v>989</v>
      </c>
      <c r="B123" s="330"/>
      <c r="C123" s="321"/>
      <c r="D123" s="1903" t="s">
        <v>1221</v>
      </c>
      <c r="E123" s="1755"/>
      <c r="F123" s="1755"/>
      <c r="G123" s="1755"/>
      <c r="H123" s="1755"/>
      <c r="I123" s="1755"/>
      <c r="J123" s="1755"/>
      <c r="K123" s="1755"/>
      <c r="L123" s="1755"/>
      <c r="M123" s="1755"/>
      <c r="N123" s="1755"/>
      <c r="O123" s="1755"/>
      <c r="P123" s="1755"/>
      <c r="Q123" s="1755"/>
      <c r="R123" s="1755"/>
      <c r="S123" s="1755"/>
      <c r="T123" s="321"/>
      <c r="U123" s="323"/>
    </row>
    <row r="124" spans="1:21" ht="12.75">
      <c r="A124" s="117" t="s">
        <v>990</v>
      </c>
      <c r="B124" s="330"/>
      <c r="C124" s="117"/>
      <c r="D124" s="1755"/>
      <c r="E124" s="1755"/>
      <c r="F124" s="1755"/>
      <c r="G124" s="1755"/>
      <c r="H124" s="1755"/>
      <c r="I124" s="1755"/>
      <c r="J124" s="1755"/>
      <c r="K124" s="1755"/>
      <c r="L124" s="1755"/>
      <c r="M124" s="1755"/>
      <c r="N124" s="1755"/>
      <c r="O124" s="1755"/>
      <c r="P124" s="1755"/>
      <c r="Q124" s="1755"/>
      <c r="R124" s="1755"/>
      <c r="S124" s="1755"/>
      <c r="T124" s="321"/>
      <c r="U124" s="323"/>
    </row>
    <row r="125" spans="1:21" ht="12.75">
      <c r="A125" s="117" t="s">
        <v>991</v>
      </c>
      <c r="B125" s="330"/>
      <c r="C125" s="117"/>
      <c r="D125" s="1755"/>
      <c r="E125" s="1755"/>
      <c r="F125" s="1755"/>
      <c r="G125" s="1755"/>
      <c r="H125" s="1755"/>
      <c r="I125" s="1755"/>
      <c r="J125" s="1755"/>
      <c r="K125" s="1755"/>
      <c r="L125" s="1755"/>
      <c r="M125" s="1755"/>
      <c r="N125" s="1755"/>
      <c r="O125" s="1755"/>
      <c r="P125" s="1755"/>
      <c r="Q125" s="1755"/>
      <c r="R125" s="1755"/>
      <c r="S125" s="1755"/>
      <c r="T125" s="321"/>
      <c r="U125" s="323"/>
    </row>
    <row r="126" spans="1:21" ht="12.75">
      <c r="A126" s="117" t="s">
        <v>992</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75">
      <c r="A127" s="117" t="s">
        <v>993</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75">
      <c r="A128" s="117" t="s">
        <v>994</v>
      </c>
      <c r="B128" s="330"/>
      <c r="C128" s="117"/>
      <c r="D128" s="1898"/>
      <c r="E128" s="1898"/>
      <c r="F128" s="1898"/>
      <c r="G128" s="1898"/>
      <c r="H128" s="1898"/>
      <c r="I128" s="117"/>
      <c r="J128" s="1899"/>
      <c r="K128" s="1899"/>
      <c r="L128" s="117"/>
      <c r="M128" s="117"/>
      <c r="N128" s="117"/>
      <c r="O128" s="117"/>
      <c r="P128" s="117"/>
      <c r="Q128" s="117"/>
      <c r="R128" s="117"/>
      <c r="S128" s="117"/>
      <c r="T128" s="321"/>
      <c r="U128" s="323"/>
    </row>
    <row r="129" spans="1:21" ht="12.75">
      <c r="A129" s="117" t="s">
        <v>299</v>
      </c>
      <c r="B129" s="330"/>
      <c r="C129" s="117"/>
      <c r="D129" s="1900" t="s">
        <v>995</v>
      </c>
      <c r="E129" s="1900"/>
      <c r="F129" s="1900"/>
      <c r="G129" s="1900"/>
      <c r="H129" s="1900"/>
      <c r="I129" s="117"/>
      <c r="J129" s="117" t="s">
        <v>996</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75">
      <c r="A131" s="332" t="s">
        <v>997</v>
      </c>
      <c r="B131" s="331">
        <f>SUM(B123:B129)</f>
        <v>0</v>
      </c>
      <c r="C131" s="117"/>
      <c r="D131" s="1743"/>
      <c r="E131" s="1743"/>
      <c r="F131" s="1743"/>
      <c r="G131" s="1743"/>
      <c r="H131" s="1743"/>
      <c r="I131" s="117"/>
      <c r="J131" s="1743"/>
      <c r="K131" s="1743"/>
      <c r="L131" s="1743"/>
      <c r="M131" s="1743"/>
      <c r="N131" s="117"/>
      <c r="O131" s="117"/>
      <c r="P131" s="117"/>
      <c r="Q131" s="117"/>
      <c r="R131" s="117"/>
      <c r="S131" s="117"/>
      <c r="T131" s="321"/>
      <c r="U131" s="323"/>
    </row>
    <row r="132" spans="1:21" ht="12" customHeight="1">
      <c r="A132" s="333"/>
      <c r="B132" s="117"/>
      <c r="C132" s="117"/>
      <c r="D132" s="1904" t="s">
        <v>998</v>
      </c>
      <c r="E132" s="1904"/>
      <c r="F132" s="1904"/>
      <c r="G132" s="1904"/>
      <c r="H132" s="1904"/>
      <c r="I132" s="117"/>
      <c r="J132" s="1904" t="s">
        <v>999</v>
      </c>
      <c r="K132" s="1904"/>
      <c r="L132" s="1904"/>
      <c r="M132" s="1904"/>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75">
      <c r="A134" s="91" t="s">
        <v>1000</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75">
      <c r="A135" s="312" t="s">
        <v>1001</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7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905"/>
      <c r="B138" s="1898"/>
      <c r="C138" s="1898"/>
      <c r="D138" s="325"/>
      <c r="E138" s="1899"/>
      <c r="F138" s="1899"/>
      <c r="G138" s="117"/>
      <c r="H138" s="117"/>
      <c r="I138" s="117"/>
      <c r="J138" s="117"/>
      <c r="K138" s="117"/>
      <c r="L138" s="117"/>
      <c r="M138" s="117"/>
      <c r="N138" s="117"/>
      <c r="O138" s="117"/>
      <c r="P138" s="117"/>
      <c r="Q138" s="117"/>
      <c r="R138" s="117"/>
      <c r="S138" s="117"/>
      <c r="T138" s="327"/>
      <c r="U138" s="328"/>
    </row>
    <row r="139" spans="1:21" ht="12.75">
      <c r="A139" s="1902" t="s">
        <v>1002</v>
      </c>
      <c r="B139" s="1902"/>
      <c r="C139" s="1902"/>
      <c r="D139" s="325"/>
      <c r="E139" s="117" t="s">
        <v>996</v>
      </c>
      <c r="F139" s="117"/>
      <c r="G139" s="117"/>
      <c r="H139" s="117"/>
      <c r="I139" s="117"/>
      <c r="J139" s="117"/>
      <c r="K139" s="117"/>
      <c r="L139" s="117"/>
      <c r="M139" s="117"/>
      <c r="N139" s="117"/>
      <c r="O139" s="117"/>
      <c r="P139" s="117"/>
      <c r="Q139" s="117"/>
      <c r="R139" s="117"/>
      <c r="S139" s="117"/>
      <c r="T139" s="327"/>
      <c r="U139" s="328"/>
    </row>
    <row r="140" spans="1:21" ht="12.75">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theme="0" tint="-0.499984740745262"/>
  </sheetPr>
  <dimension ref="A1:WVR148"/>
  <sheetViews>
    <sheetView showGridLines="0" workbookViewId="0">
      <selection activeCell="E107" sqref="E107"/>
    </sheetView>
  </sheetViews>
  <sheetFormatPr defaultColWidth="0" defaultRowHeight="12" zeroHeight="1"/>
  <cols>
    <col min="1" max="1" width="32.7109375" style="393" customWidth="1"/>
    <col min="2" max="3" width="12.140625" style="389" customWidth="1"/>
    <col min="4" max="6" width="12.85546875" style="389" customWidth="1"/>
    <col min="7" max="9" width="12.140625" style="389" customWidth="1"/>
    <col min="10" max="10" width="12.140625" style="390" customWidth="1"/>
    <col min="11" max="11" width="8.85546875" style="391" hidden="1" customWidth="1"/>
    <col min="12" max="21" width="8.85546875" style="389" hidden="1" customWidth="1"/>
    <col min="22" max="23" width="0" style="389" hidden="1"/>
    <col min="24" max="256" width="8.85546875" style="389" hidden="1"/>
    <col min="257" max="257" width="32.7109375" style="389" hidden="1" customWidth="1"/>
    <col min="258" max="259" width="12.140625" style="389" hidden="1" customWidth="1"/>
    <col min="260" max="260" width="12.85546875" style="389" hidden="1" customWidth="1"/>
    <col min="261" max="266" width="12.140625" style="389" hidden="1" customWidth="1"/>
    <col min="267" max="277" width="8.85546875" style="389" hidden="1" customWidth="1"/>
    <col min="278" max="512" width="8.85546875" style="389" hidden="1"/>
    <col min="513" max="513" width="32.7109375" style="389" hidden="1" customWidth="1"/>
    <col min="514" max="515" width="12.140625" style="389" hidden="1" customWidth="1"/>
    <col min="516" max="516" width="12.85546875" style="389" hidden="1" customWidth="1"/>
    <col min="517" max="522" width="12.140625" style="389" hidden="1" customWidth="1"/>
    <col min="523" max="533" width="8.85546875" style="389" hidden="1" customWidth="1"/>
    <col min="534" max="768" width="8.85546875" style="389" hidden="1"/>
    <col min="769" max="769" width="32.7109375" style="389" hidden="1" customWidth="1"/>
    <col min="770" max="771" width="12.140625" style="389" hidden="1" customWidth="1"/>
    <col min="772" max="772" width="12.85546875" style="389" hidden="1" customWidth="1"/>
    <col min="773" max="778" width="12.140625" style="389" hidden="1" customWidth="1"/>
    <col min="779" max="789" width="8.85546875" style="389" hidden="1" customWidth="1"/>
    <col min="790" max="1024" width="8.85546875" style="389" hidden="1"/>
    <col min="1025" max="1025" width="32.7109375" style="389" hidden="1" customWidth="1"/>
    <col min="1026" max="1027" width="12.140625" style="389" hidden="1" customWidth="1"/>
    <col min="1028" max="1028" width="12.85546875" style="389" hidden="1" customWidth="1"/>
    <col min="1029" max="1034" width="12.140625" style="389" hidden="1" customWidth="1"/>
    <col min="1035" max="1045" width="8.85546875" style="389" hidden="1" customWidth="1"/>
    <col min="1046" max="1280" width="8.85546875" style="389" hidden="1"/>
    <col min="1281" max="1281" width="32.7109375" style="389" hidden="1" customWidth="1"/>
    <col min="1282" max="1283" width="12.140625" style="389" hidden="1" customWidth="1"/>
    <col min="1284" max="1284" width="12.85546875" style="389" hidden="1" customWidth="1"/>
    <col min="1285" max="1290" width="12.140625" style="389" hidden="1" customWidth="1"/>
    <col min="1291" max="1301" width="8.85546875" style="389" hidden="1" customWidth="1"/>
    <col min="1302" max="1536" width="8.85546875" style="389" hidden="1"/>
    <col min="1537" max="1537" width="32.7109375" style="389" hidden="1" customWidth="1"/>
    <col min="1538" max="1539" width="12.140625" style="389" hidden="1" customWidth="1"/>
    <col min="1540" max="1540" width="12.85546875" style="389" hidden="1" customWidth="1"/>
    <col min="1541" max="1546" width="12.140625" style="389" hidden="1" customWidth="1"/>
    <col min="1547" max="1557" width="8.85546875" style="389" hidden="1" customWidth="1"/>
    <col min="1558" max="1792" width="8.85546875" style="389" hidden="1"/>
    <col min="1793" max="1793" width="32.7109375" style="389" hidden="1" customWidth="1"/>
    <col min="1794" max="1795" width="12.140625" style="389" hidden="1" customWidth="1"/>
    <col min="1796" max="1796" width="12.85546875" style="389" hidden="1" customWidth="1"/>
    <col min="1797" max="1802" width="12.140625" style="389" hidden="1" customWidth="1"/>
    <col min="1803" max="1813" width="8.85546875" style="389" hidden="1" customWidth="1"/>
    <col min="1814" max="2048" width="8.85546875" style="389" hidden="1"/>
    <col min="2049" max="2049" width="32.7109375" style="389" hidden="1" customWidth="1"/>
    <col min="2050" max="2051" width="12.140625" style="389" hidden="1" customWidth="1"/>
    <col min="2052" max="2052" width="12.85546875" style="389" hidden="1" customWidth="1"/>
    <col min="2053" max="2058" width="12.140625" style="389" hidden="1" customWidth="1"/>
    <col min="2059" max="2069" width="8.85546875" style="389" hidden="1" customWidth="1"/>
    <col min="2070" max="2304" width="8.85546875" style="389" hidden="1"/>
    <col min="2305" max="2305" width="32.7109375" style="389" hidden="1" customWidth="1"/>
    <col min="2306" max="2307" width="12.140625" style="389" hidden="1" customWidth="1"/>
    <col min="2308" max="2308" width="12.85546875" style="389" hidden="1" customWidth="1"/>
    <col min="2309" max="2314" width="12.140625" style="389" hidden="1" customWidth="1"/>
    <col min="2315" max="2325" width="8.85546875" style="389" hidden="1" customWidth="1"/>
    <col min="2326" max="2560" width="8.85546875" style="389" hidden="1"/>
    <col min="2561" max="2561" width="32.7109375" style="389" hidden="1" customWidth="1"/>
    <col min="2562" max="2563" width="12.140625" style="389" hidden="1" customWidth="1"/>
    <col min="2564" max="2564" width="12.85546875" style="389" hidden="1" customWidth="1"/>
    <col min="2565" max="2570" width="12.140625" style="389" hidden="1" customWidth="1"/>
    <col min="2571" max="2581" width="8.85546875" style="389" hidden="1" customWidth="1"/>
    <col min="2582" max="2816" width="8.85546875" style="389" hidden="1"/>
    <col min="2817" max="2817" width="32.7109375" style="389" hidden="1" customWidth="1"/>
    <col min="2818" max="2819" width="12.140625" style="389" hidden="1" customWidth="1"/>
    <col min="2820" max="2820" width="12.85546875" style="389" hidden="1" customWidth="1"/>
    <col min="2821" max="2826" width="12.140625" style="389" hidden="1" customWidth="1"/>
    <col min="2827" max="2837" width="8.85546875" style="389" hidden="1" customWidth="1"/>
    <col min="2838" max="3072" width="8.85546875" style="389" hidden="1"/>
    <col min="3073" max="3073" width="32.7109375" style="389" hidden="1" customWidth="1"/>
    <col min="3074" max="3075" width="12.140625" style="389" hidden="1" customWidth="1"/>
    <col min="3076" max="3076" width="12.85546875" style="389" hidden="1" customWidth="1"/>
    <col min="3077" max="3082" width="12.140625" style="389" hidden="1" customWidth="1"/>
    <col min="3083" max="3093" width="8.85546875" style="389" hidden="1" customWidth="1"/>
    <col min="3094" max="3328" width="8.85546875" style="389" hidden="1"/>
    <col min="3329" max="3329" width="32.7109375" style="389" hidden="1" customWidth="1"/>
    <col min="3330" max="3331" width="12.140625" style="389" hidden="1" customWidth="1"/>
    <col min="3332" max="3332" width="12.85546875" style="389" hidden="1" customWidth="1"/>
    <col min="3333" max="3338" width="12.140625" style="389" hidden="1" customWidth="1"/>
    <col min="3339" max="3349" width="8.85546875" style="389" hidden="1" customWidth="1"/>
    <col min="3350" max="3584" width="8.85546875" style="389" hidden="1"/>
    <col min="3585" max="3585" width="32.7109375" style="389" hidden="1" customWidth="1"/>
    <col min="3586" max="3587" width="12.140625" style="389" hidden="1" customWidth="1"/>
    <col min="3588" max="3588" width="12.85546875" style="389" hidden="1" customWidth="1"/>
    <col min="3589" max="3594" width="12.140625" style="389" hidden="1" customWidth="1"/>
    <col min="3595" max="3605" width="8.85546875" style="389" hidden="1" customWidth="1"/>
    <col min="3606" max="3840" width="8.85546875" style="389" hidden="1"/>
    <col min="3841" max="3841" width="32.7109375" style="389" hidden="1" customWidth="1"/>
    <col min="3842" max="3843" width="12.140625" style="389" hidden="1" customWidth="1"/>
    <col min="3844" max="3844" width="12.85546875" style="389" hidden="1" customWidth="1"/>
    <col min="3845" max="3850" width="12.140625" style="389" hidden="1" customWidth="1"/>
    <col min="3851" max="3861" width="8.85546875" style="389" hidden="1" customWidth="1"/>
    <col min="3862" max="4096" width="8.85546875" style="389" hidden="1"/>
    <col min="4097" max="4097" width="32.7109375" style="389" hidden="1" customWidth="1"/>
    <col min="4098" max="4099" width="12.140625" style="389" hidden="1" customWidth="1"/>
    <col min="4100" max="4100" width="12.85546875" style="389" hidden="1" customWidth="1"/>
    <col min="4101" max="4106" width="12.140625" style="389" hidden="1" customWidth="1"/>
    <col min="4107" max="4117" width="8.85546875" style="389" hidden="1" customWidth="1"/>
    <col min="4118" max="4352" width="8.85546875" style="389" hidden="1"/>
    <col min="4353" max="4353" width="32.7109375" style="389" hidden="1" customWidth="1"/>
    <col min="4354" max="4355" width="12.140625" style="389" hidden="1" customWidth="1"/>
    <col min="4356" max="4356" width="12.85546875" style="389" hidden="1" customWidth="1"/>
    <col min="4357" max="4362" width="12.140625" style="389" hidden="1" customWidth="1"/>
    <col min="4363" max="4373" width="8.85546875" style="389" hidden="1" customWidth="1"/>
    <col min="4374" max="4608" width="8.85546875" style="389" hidden="1"/>
    <col min="4609" max="4609" width="32.7109375" style="389" hidden="1" customWidth="1"/>
    <col min="4610" max="4611" width="12.140625" style="389" hidden="1" customWidth="1"/>
    <col min="4612" max="4612" width="12.85546875" style="389" hidden="1" customWidth="1"/>
    <col min="4613" max="4618" width="12.140625" style="389" hidden="1" customWidth="1"/>
    <col min="4619" max="4629" width="8.85546875" style="389" hidden="1" customWidth="1"/>
    <col min="4630" max="4864" width="8.85546875" style="389" hidden="1"/>
    <col min="4865" max="4865" width="32.7109375" style="389" hidden="1" customWidth="1"/>
    <col min="4866" max="4867" width="12.140625" style="389" hidden="1" customWidth="1"/>
    <col min="4868" max="4868" width="12.85546875" style="389" hidden="1" customWidth="1"/>
    <col min="4869" max="4874" width="12.140625" style="389" hidden="1" customWidth="1"/>
    <col min="4875" max="4885" width="8.85546875" style="389" hidden="1" customWidth="1"/>
    <col min="4886" max="5120" width="8.85546875" style="389" hidden="1"/>
    <col min="5121" max="5121" width="32.7109375" style="389" hidden="1" customWidth="1"/>
    <col min="5122" max="5123" width="12.140625" style="389" hidden="1" customWidth="1"/>
    <col min="5124" max="5124" width="12.85546875" style="389" hidden="1" customWidth="1"/>
    <col min="5125" max="5130" width="12.140625" style="389" hidden="1" customWidth="1"/>
    <col min="5131" max="5141" width="8.85546875" style="389" hidden="1" customWidth="1"/>
    <col min="5142" max="5376" width="8.85546875" style="389" hidden="1"/>
    <col min="5377" max="5377" width="32.7109375" style="389" hidden="1" customWidth="1"/>
    <col min="5378" max="5379" width="12.140625" style="389" hidden="1" customWidth="1"/>
    <col min="5380" max="5380" width="12.85546875" style="389" hidden="1" customWidth="1"/>
    <col min="5381" max="5386" width="12.140625" style="389" hidden="1" customWidth="1"/>
    <col min="5387" max="5397" width="8.85546875" style="389" hidden="1" customWidth="1"/>
    <col min="5398" max="5632" width="8.85546875" style="389" hidden="1"/>
    <col min="5633" max="5633" width="32.7109375" style="389" hidden="1" customWidth="1"/>
    <col min="5634" max="5635" width="12.140625" style="389" hidden="1" customWidth="1"/>
    <col min="5636" max="5636" width="12.85546875" style="389" hidden="1" customWidth="1"/>
    <col min="5637" max="5642" width="12.140625" style="389" hidden="1" customWidth="1"/>
    <col min="5643" max="5653" width="8.85546875" style="389" hidden="1" customWidth="1"/>
    <col min="5654" max="5888" width="8.85546875" style="389" hidden="1"/>
    <col min="5889" max="5889" width="32.7109375" style="389" hidden="1" customWidth="1"/>
    <col min="5890" max="5891" width="12.140625" style="389" hidden="1" customWidth="1"/>
    <col min="5892" max="5892" width="12.85546875" style="389" hidden="1" customWidth="1"/>
    <col min="5893" max="5898" width="12.140625" style="389" hidden="1" customWidth="1"/>
    <col min="5899" max="5909" width="8.85546875" style="389" hidden="1" customWidth="1"/>
    <col min="5910" max="6144" width="8.85546875" style="389" hidden="1"/>
    <col min="6145" max="6145" width="32.7109375" style="389" hidden="1" customWidth="1"/>
    <col min="6146" max="6147" width="12.140625" style="389" hidden="1" customWidth="1"/>
    <col min="6148" max="6148" width="12.85546875" style="389" hidden="1" customWidth="1"/>
    <col min="6149" max="6154" width="12.140625" style="389" hidden="1" customWidth="1"/>
    <col min="6155" max="6165" width="8.85546875" style="389" hidden="1" customWidth="1"/>
    <col min="6166" max="6400" width="8.85546875" style="389" hidden="1"/>
    <col min="6401" max="6401" width="32.7109375" style="389" hidden="1" customWidth="1"/>
    <col min="6402" max="6403" width="12.140625" style="389" hidden="1" customWidth="1"/>
    <col min="6404" max="6404" width="12.85546875" style="389" hidden="1" customWidth="1"/>
    <col min="6405" max="6410" width="12.140625" style="389" hidden="1" customWidth="1"/>
    <col min="6411" max="6421" width="8.85546875" style="389" hidden="1" customWidth="1"/>
    <col min="6422" max="6656" width="8.85546875" style="389" hidden="1"/>
    <col min="6657" max="6657" width="32.7109375" style="389" hidden="1" customWidth="1"/>
    <col min="6658" max="6659" width="12.140625" style="389" hidden="1" customWidth="1"/>
    <col min="6660" max="6660" width="12.85546875" style="389" hidden="1" customWidth="1"/>
    <col min="6661" max="6666" width="12.140625" style="389" hidden="1" customWidth="1"/>
    <col min="6667" max="6677" width="8.85546875" style="389" hidden="1" customWidth="1"/>
    <col min="6678" max="6912" width="8.85546875" style="389" hidden="1"/>
    <col min="6913" max="6913" width="32.7109375" style="389" hidden="1" customWidth="1"/>
    <col min="6914" max="6915" width="12.140625" style="389" hidden="1" customWidth="1"/>
    <col min="6916" max="6916" width="12.85546875" style="389" hidden="1" customWidth="1"/>
    <col min="6917" max="6922" width="12.140625" style="389" hidden="1" customWidth="1"/>
    <col min="6923" max="6933" width="8.85546875" style="389" hidden="1" customWidth="1"/>
    <col min="6934" max="7168" width="8.85546875" style="389" hidden="1"/>
    <col min="7169" max="7169" width="32.7109375" style="389" hidden="1" customWidth="1"/>
    <col min="7170" max="7171" width="12.140625" style="389" hidden="1" customWidth="1"/>
    <col min="7172" max="7172" width="12.85546875" style="389" hidden="1" customWidth="1"/>
    <col min="7173" max="7178" width="12.140625" style="389" hidden="1" customWidth="1"/>
    <col min="7179" max="7189" width="8.85546875" style="389" hidden="1" customWidth="1"/>
    <col min="7190" max="7424" width="8.85546875" style="389" hidden="1"/>
    <col min="7425" max="7425" width="32.7109375" style="389" hidden="1" customWidth="1"/>
    <col min="7426" max="7427" width="12.140625" style="389" hidden="1" customWidth="1"/>
    <col min="7428" max="7428" width="12.85546875" style="389" hidden="1" customWidth="1"/>
    <col min="7429" max="7434" width="12.140625" style="389" hidden="1" customWidth="1"/>
    <col min="7435" max="7445" width="8.85546875" style="389" hidden="1" customWidth="1"/>
    <col min="7446" max="7680" width="8.85546875" style="389" hidden="1"/>
    <col min="7681" max="7681" width="32.7109375" style="389" hidden="1" customWidth="1"/>
    <col min="7682" max="7683" width="12.140625" style="389" hidden="1" customWidth="1"/>
    <col min="7684" max="7684" width="12.85546875" style="389" hidden="1" customWidth="1"/>
    <col min="7685" max="7690" width="12.140625" style="389" hidden="1" customWidth="1"/>
    <col min="7691" max="7701" width="8.85546875" style="389" hidden="1" customWidth="1"/>
    <col min="7702" max="7936" width="8.85546875" style="389" hidden="1"/>
    <col min="7937" max="7937" width="32.7109375" style="389" hidden="1" customWidth="1"/>
    <col min="7938" max="7939" width="12.140625" style="389" hidden="1" customWidth="1"/>
    <col min="7940" max="7940" width="12.85546875" style="389" hidden="1" customWidth="1"/>
    <col min="7941" max="7946" width="12.140625" style="389" hidden="1" customWidth="1"/>
    <col min="7947" max="7957" width="8.85546875" style="389" hidden="1" customWidth="1"/>
    <col min="7958" max="8192" width="8.85546875" style="389" hidden="1"/>
    <col min="8193" max="8193" width="32.7109375" style="389" hidden="1" customWidth="1"/>
    <col min="8194" max="8195" width="12.140625" style="389" hidden="1" customWidth="1"/>
    <col min="8196" max="8196" width="12.85546875" style="389" hidden="1" customWidth="1"/>
    <col min="8197" max="8202" width="12.140625" style="389" hidden="1" customWidth="1"/>
    <col min="8203" max="8213" width="8.85546875" style="389" hidden="1" customWidth="1"/>
    <col min="8214" max="8448" width="8.85546875" style="389" hidden="1"/>
    <col min="8449" max="8449" width="32.7109375" style="389" hidden="1" customWidth="1"/>
    <col min="8450" max="8451" width="12.140625" style="389" hidden="1" customWidth="1"/>
    <col min="8452" max="8452" width="12.85546875" style="389" hidden="1" customWidth="1"/>
    <col min="8453" max="8458" width="12.140625" style="389" hidden="1" customWidth="1"/>
    <col min="8459" max="8469" width="8.85546875" style="389" hidden="1" customWidth="1"/>
    <col min="8470" max="8704" width="8.85546875" style="389" hidden="1"/>
    <col min="8705" max="8705" width="32.7109375" style="389" hidden="1" customWidth="1"/>
    <col min="8706" max="8707" width="12.140625" style="389" hidden="1" customWidth="1"/>
    <col min="8708" max="8708" width="12.85546875" style="389" hidden="1" customWidth="1"/>
    <col min="8709" max="8714" width="12.140625" style="389" hidden="1" customWidth="1"/>
    <col min="8715" max="8725" width="8.85546875" style="389" hidden="1" customWidth="1"/>
    <col min="8726" max="8960" width="8.85546875" style="389" hidden="1"/>
    <col min="8961" max="8961" width="32.7109375" style="389" hidden="1" customWidth="1"/>
    <col min="8962" max="8963" width="12.140625" style="389" hidden="1" customWidth="1"/>
    <col min="8964" max="8964" width="12.85546875" style="389" hidden="1" customWidth="1"/>
    <col min="8965" max="8970" width="12.140625" style="389" hidden="1" customWidth="1"/>
    <col min="8971" max="8981" width="8.85546875" style="389" hidden="1" customWidth="1"/>
    <col min="8982" max="9216" width="8.85546875" style="389" hidden="1"/>
    <col min="9217" max="9217" width="32.7109375" style="389" hidden="1" customWidth="1"/>
    <col min="9218" max="9219" width="12.140625" style="389" hidden="1" customWidth="1"/>
    <col min="9220" max="9220" width="12.85546875" style="389" hidden="1" customWidth="1"/>
    <col min="9221" max="9226" width="12.140625" style="389" hidden="1" customWidth="1"/>
    <col min="9227" max="9237" width="8.85546875" style="389" hidden="1" customWidth="1"/>
    <col min="9238" max="9472" width="8.85546875" style="389" hidden="1"/>
    <col min="9473" max="9473" width="32.7109375" style="389" hidden="1" customWidth="1"/>
    <col min="9474" max="9475" width="12.140625" style="389" hidden="1" customWidth="1"/>
    <col min="9476" max="9476" width="12.85546875" style="389" hidden="1" customWidth="1"/>
    <col min="9477" max="9482" width="12.140625" style="389" hidden="1" customWidth="1"/>
    <col min="9483" max="9493" width="8.85546875" style="389" hidden="1" customWidth="1"/>
    <col min="9494" max="9728" width="8.85546875" style="389" hidden="1"/>
    <col min="9729" max="9729" width="32.7109375" style="389" hidden="1" customWidth="1"/>
    <col min="9730" max="9731" width="12.140625" style="389" hidden="1" customWidth="1"/>
    <col min="9732" max="9732" width="12.85546875" style="389" hidden="1" customWidth="1"/>
    <col min="9733" max="9738" width="12.140625" style="389" hidden="1" customWidth="1"/>
    <col min="9739" max="9749" width="8.85546875" style="389" hidden="1" customWidth="1"/>
    <col min="9750" max="9984" width="8.85546875" style="389" hidden="1"/>
    <col min="9985" max="9985" width="32.7109375" style="389" hidden="1" customWidth="1"/>
    <col min="9986" max="9987" width="12.140625" style="389" hidden="1" customWidth="1"/>
    <col min="9988" max="9988" width="12.85546875" style="389" hidden="1" customWidth="1"/>
    <col min="9989" max="9994" width="12.140625" style="389" hidden="1" customWidth="1"/>
    <col min="9995" max="10005" width="8.85546875" style="389" hidden="1" customWidth="1"/>
    <col min="10006" max="10240" width="8.85546875" style="389" hidden="1"/>
    <col min="10241" max="10241" width="32.7109375" style="389" hidden="1" customWidth="1"/>
    <col min="10242" max="10243" width="12.140625" style="389" hidden="1" customWidth="1"/>
    <col min="10244" max="10244" width="12.85546875" style="389" hidden="1" customWidth="1"/>
    <col min="10245" max="10250" width="12.140625" style="389" hidden="1" customWidth="1"/>
    <col min="10251" max="10261" width="8.85546875" style="389" hidden="1" customWidth="1"/>
    <col min="10262" max="10496" width="8.85546875" style="389" hidden="1"/>
    <col min="10497" max="10497" width="32.7109375" style="389" hidden="1" customWidth="1"/>
    <col min="10498" max="10499" width="12.140625" style="389" hidden="1" customWidth="1"/>
    <col min="10500" max="10500" width="12.85546875" style="389" hidden="1" customWidth="1"/>
    <col min="10501" max="10506" width="12.140625" style="389" hidden="1" customWidth="1"/>
    <col min="10507" max="10517" width="8.85546875" style="389" hidden="1" customWidth="1"/>
    <col min="10518" max="10752" width="8.85546875" style="389" hidden="1"/>
    <col min="10753" max="10753" width="32.7109375" style="389" hidden="1" customWidth="1"/>
    <col min="10754" max="10755" width="12.140625" style="389" hidden="1" customWidth="1"/>
    <col min="10756" max="10756" width="12.85546875" style="389" hidden="1" customWidth="1"/>
    <col min="10757" max="10762" width="12.140625" style="389" hidden="1" customWidth="1"/>
    <col min="10763" max="10773" width="8.85546875" style="389" hidden="1" customWidth="1"/>
    <col min="10774" max="11008" width="8.85546875" style="389" hidden="1"/>
    <col min="11009" max="11009" width="32.7109375" style="389" hidden="1" customWidth="1"/>
    <col min="11010" max="11011" width="12.140625" style="389" hidden="1" customWidth="1"/>
    <col min="11012" max="11012" width="12.85546875" style="389" hidden="1" customWidth="1"/>
    <col min="11013" max="11018" width="12.140625" style="389" hidden="1" customWidth="1"/>
    <col min="11019" max="11029" width="8.85546875" style="389" hidden="1" customWidth="1"/>
    <col min="11030" max="11264" width="8.85546875" style="389" hidden="1"/>
    <col min="11265" max="11265" width="32.7109375" style="389" hidden="1" customWidth="1"/>
    <col min="11266" max="11267" width="12.140625" style="389" hidden="1" customWidth="1"/>
    <col min="11268" max="11268" width="12.85546875" style="389" hidden="1" customWidth="1"/>
    <col min="11269" max="11274" width="12.140625" style="389" hidden="1" customWidth="1"/>
    <col min="11275" max="11285" width="8.85546875" style="389" hidden="1" customWidth="1"/>
    <col min="11286" max="11520" width="8.85546875" style="389" hidden="1"/>
    <col min="11521" max="11521" width="32.7109375" style="389" hidden="1" customWidth="1"/>
    <col min="11522" max="11523" width="12.140625" style="389" hidden="1" customWidth="1"/>
    <col min="11524" max="11524" width="12.85546875" style="389" hidden="1" customWidth="1"/>
    <col min="11525" max="11530" width="12.140625" style="389" hidden="1" customWidth="1"/>
    <col min="11531" max="11541" width="8.85546875" style="389" hidden="1" customWidth="1"/>
    <col min="11542" max="11776" width="8.85546875" style="389" hidden="1"/>
    <col min="11777" max="11777" width="32.7109375" style="389" hidden="1" customWidth="1"/>
    <col min="11778" max="11779" width="12.140625" style="389" hidden="1" customWidth="1"/>
    <col min="11780" max="11780" width="12.85546875" style="389" hidden="1" customWidth="1"/>
    <col min="11781" max="11786" width="12.140625" style="389" hidden="1" customWidth="1"/>
    <col min="11787" max="11797" width="8.85546875" style="389" hidden="1" customWidth="1"/>
    <col min="11798" max="12032" width="8.85546875" style="389" hidden="1"/>
    <col min="12033" max="12033" width="32.7109375" style="389" hidden="1" customWidth="1"/>
    <col min="12034" max="12035" width="12.140625" style="389" hidden="1" customWidth="1"/>
    <col min="12036" max="12036" width="12.85546875" style="389" hidden="1" customWidth="1"/>
    <col min="12037" max="12042" width="12.140625" style="389" hidden="1" customWidth="1"/>
    <col min="12043" max="12053" width="8.85546875" style="389" hidden="1" customWidth="1"/>
    <col min="12054" max="12288" width="8.85546875" style="389" hidden="1"/>
    <col min="12289" max="12289" width="32.7109375" style="389" hidden="1" customWidth="1"/>
    <col min="12290" max="12291" width="12.140625" style="389" hidden="1" customWidth="1"/>
    <col min="12292" max="12292" width="12.85546875" style="389" hidden="1" customWidth="1"/>
    <col min="12293" max="12298" width="12.140625" style="389" hidden="1" customWidth="1"/>
    <col min="12299" max="12309" width="8.85546875" style="389" hidden="1" customWidth="1"/>
    <col min="12310" max="12544" width="8.85546875" style="389" hidden="1"/>
    <col min="12545" max="12545" width="32.7109375" style="389" hidden="1" customWidth="1"/>
    <col min="12546" max="12547" width="12.140625" style="389" hidden="1" customWidth="1"/>
    <col min="12548" max="12548" width="12.85546875" style="389" hidden="1" customWidth="1"/>
    <col min="12549" max="12554" width="12.140625" style="389" hidden="1" customWidth="1"/>
    <col min="12555" max="12565" width="8.85546875" style="389" hidden="1" customWidth="1"/>
    <col min="12566" max="12800" width="8.85546875" style="389" hidden="1"/>
    <col min="12801" max="12801" width="32.7109375" style="389" hidden="1" customWidth="1"/>
    <col min="12802" max="12803" width="12.140625" style="389" hidden="1" customWidth="1"/>
    <col min="12804" max="12804" width="12.85546875" style="389" hidden="1" customWidth="1"/>
    <col min="12805" max="12810" width="12.140625" style="389" hidden="1" customWidth="1"/>
    <col min="12811" max="12821" width="8.85546875" style="389" hidden="1" customWidth="1"/>
    <col min="12822" max="13056" width="8.85546875" style="389" hidden="1"/>
    <col min="13057" max="13057" width="32.7109375" style="389" hidden="1" customWidth="1"/>
    <col min="13058" max="13059" width="12.140625" style="389" hidden="1" customWidth="1"/>
    <col min="13060" max="13060" width="12.85546875" style="389" hidden="1" customWidth="1"/>
    <col min="13061" max="13066" width="12.140625" style="389" hidden="1" customWidth="1"/>
    <col min="13067" max="13077" width="8.85546875" style="389" hidden="1" customWidth="1"/>
    <col min="13078" max="13312" width="8.85546875" style="389" hidden="1"/>
    <col min="13313" max="13313" width="32.7109375" style="389" hidden="1" customWidth="1"/>
    <col min="13314" max="13315" width="12.140625" style="389" hidden="1" customWidth="1"/>
    <col min="13316" max="13316" width="12.85546875" style="389" hidden="1" customWidth="1"/>
    <col min="13317" max="13322" width="12.140625" style="389" hidden="1" customWidth="1"/>
    <col min="13323" max="13333" width="8.85546875" style="389" hidden="1" customWidth="1"/>
    <col min="13334" max="13568" width="8.85546875" style="389" hidden="1"/>
    <col min="13569" max="13569" width="32.7109375" style="389" hidden="1" customWidth="1"/>
    <col min="13570" max="13571" width="12.140625" style="389" hidden="1" customWidth="1"/>
    <col min="13572" max="13572" width="12.85546875" style="389" hidden="1" customWidth="1"/>
    <col min="13573" max="13578" width="12.140625" style="389" hidden="1" customWidth="1"/>
    <col min="13579" max="13589" width="8.85546875" style="389" hidden="1" customWidth="1"/>
    <col min="13590" max="13824" width="8.85546875" style="389" hidden="1"/>
    <col min="13825" max="13825" width="32.7109375" style="389" hidden="1" customWidth="1"/>
    <col min="13826" max="13827" width="12.140625" style="389" hidden="1" customWidth="1"/>
    <col min="13828" max="13828" width="12.85546875" style="389" hidden="1" customWidth="1"/>
    <col min="13829" max="13834" width="12.140625" style="389" hidden="1" customWidth="1"/>
    <col min="13835" max="13845" width="8.85546875" style="389" hidden="1" customWidth="1"/>
    <col min="13846" max="14080" width="8.85546875" style="389" hidden="1"/>
    <col min="14081" max="14081" width="32.7109375" style="389" hidden="1" customWidth="1"/>
    <col min="14082" max="14083" width="12.140625" style="389" hidden="1" customWidth="1"/>
    <col min="14084" max="14084" width="12.85546875" style="389" hidden="1" customWidth="1"/>
    <col min="14085" max="14090" width="12.140625" style="389" hidden="1" customWidth="1"/>
    <col min="14091" max="14101" width="8.85546875" style="389" hidden="1" customWidth="1"/>
    <col min="14102" max="14336" width="8.85546875" style="389" hidden="1"/>
    <col min="14337" max="14337" width="32.7109375" style="389" hidden="1" customWidth="1"/>
    <col min="14338" max="14339" width="12.140625" style="389" hidden="1" customWidth="1"/>
    <col min="14340" max="14340" width="12.85546875" style="389" hidden="1" customWidth="1"/>
    <col min="14341" max="14346" width="12.140625" style="389" hidden="1" customWidth="1"/>
    <col min="14347" max="14357" width="8.85546875" style="389" hidden="1" customWidth="1"/>
    <col min="14358" max="14592" width="8.85546875" style="389" hidden="1"/>
    <col min="14593" max="14593" width="32.7109375" style="389" hidden="1" customWidth="1"/>
    <col min="14594" max="14595" width="12.140625" style="389" hidden="1" customWidth="1"/>
    <col min="14596" max="14596" width="12.85546875" style="389" hidden="1" customWidth="1"/>
    <col min="14597" max="14602" width="12.140625" style="389" hidden="1" customWidth="1"/>
    <col min="14603" max="14613" width="8.85546875" style="389" hidden="1" customWidth="1"/>
    <col min="14614" max="14848" width="8.85546875" style="389" hidden="1"/>
    <col min="14849" max="14849" width="32.7109375" style="389" hidden="1" customWidth="1"/>
    <col min="14850" max="14851" width="12.140625" style="389" hidden="1" customWidth="1"/>
    <col min="14852" max="14852" width="12.85546875" style="389" hidden="1" customWidth="1"/>
    <col min="14853" max="14858" width="12.140625" style="389" hidden="1" customWidth="1"/>
    <col min="14859" max="14869" width="8.85546875" style="389" hidden="1" customWidth="1"/>
    <col min="14870" max="15104" width="8.85546875" style="389" hidden="1"/>
    <col min="15105" max="15105" width="32.7109375" style="389" hidden="1" customWidth="1"/>
    <col min="15106" max="15107" width="12.140625" style="389" hidden="1" customWidth="1"/>
    <col min="15108" max="15108" width="12.85546875" style="389" hidden="1" customWidth="1"/>
    <col min="15109" max="15114" width="12.140625" style="389" hidden="1" customWidth="1"/>
    <col min="15115" max="15125" width="8.85546875" style="389" hidden="1" customWidth="1"/>
    <col min="15126" max="15360" width="8.85546875" style="389" hidden="1"/>
    <col min="15361" max="15361" width="32.7109375" style="389" hidden="1" customWidth="1"/>
    <col min="15362" max="15363" width="12.140625" style="389" hidden="1" customWidth="1"/>
    <col min="15364" max="15364" width="12.85546875" style="389" hidden="1" customWidth="1"/>
    <col min="15365" max="15370" width="12.140625" style="389" hidden="1" customWidth="1"/>
    <col min="15371" max="15381" width="8.85546875" style="389" hidden="1" customWidth="1"/>
    <col min="15382" max="15616" width="8.85546875" style="389" hidden="1"/>
    <col min="15617" max="15617" width="32.7109375" style="389" hidden="1" customWidth="1"/>
    <col min="15618" max="15619" width="12.140625" style="389" hidden="1" customWidth="1"/>
    <col min="15620" max="15620" width="12.85546875" style="389" hidden="1" customWidth="1"/>
    <col min="15621" max="15626" width="12.140625" style="389" hidden="1" customWidth="1"/>
    <col min="15627" max="15637" width="8.85546875" style="389" hidden="1" customWidth="1"/>
    <col min="15638" max="15872" width="8.85546875" style="389" hidden="1"/>
    <col min="15873" max="15873" width="32.7109375" style="389" hidden="1" customWidth="1"/>
    <col min="15874" max="15875" width="12.140625" style="389" hidden="1" customWidth="1"/>
    <col min="15876" max="15876" width="12.85546875" style="389" hidden="1" customWidth="1"/>
    <col min="15877" max="15882" width="12.140625" style="389" hidden="1" customWidth="1"/>
    <col min="15883" max="15893" width="8.85546875" style="389" hidden="1" customWidth="1"/>
    <col min="15894" max="16128" width="8.85546875" style="389" hidden="1"/>
    <col min="16129" max="16129" width="32.7109375" style="389" hidden="1" customWidth="1"/>
    <col min="16130" max="16131" width="12.140625" style="389" hidden="1" customWidth="1"/>
    <col min="16132" max="16132" width="12.85546875" style="389" hidden="1" customWidth="1"/>
    <col min="16133" max="16138" width="12.140625" style="389" hidden="1" customWidth="1"/>
    <col min="16139" max="16149" width="8.85546875" style="389" hidden="1" customWidth="1"/>
    <col min="16150" max="16384" width="8.85546875" style="389" hidden="1"/>
  </cols>
  <sheetData>
    <row r="1" spans="1:11" s="352" customFormat="1" ht="12.75">
      <c r="A1" s="1908" t="s">
        <v>1224</v>
      </c>
      <c r="B1" s="1909"/>
      <c r="C1" s="1909"/>
      <c r="D1" s="1909"/>
      <c r="E1" s="1909"/>
      <c r="F1" s="1909"/>
      <c r="G1" s="1909"/>
      <c r="H1" s="1909"/>
      <c r="I1" s="1909"/>
      <c r="J1" s="1910"/>
      <c r="K1" s="351"/>
    </row>
    <row r="2" spans="1:11" s="397" customFormat="1" ht="72">
      <c r="A2" s="394"/>
      <c r="B2" s="395" t="s">
        <v>1025</v>
      </c>
      <c r="C2" s="395" t="s">
        <v>1226</v>
      </c>
      <c r="D2" s="395" t="s">
        <v>1227</v>
      </c>
      <c r="E2" s="395" t="s">
        <v>1155</v>
      </c>
      <c r="F2" s="395" t="s">
        <v>1228</v>
      </c>
      <c r="G2" s="395" t="s">
        <v>1229</v>
      </c>
      <c r="H2" s="395" t="s">
        <v>1026</v>
      </c>
      <c r="I2" s="395" t="s">
        <v>1230</v>
      </c>
      <c r="J2" s="395" t="s">
        <v>1231</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5041189</v>
      </c>
      <c r="C4" s="358"/>
      <c r="D4" s="358"/>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35000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591</v>
      </c>
      <c r="B8" s="357">
        <f>'Sources and Uses Budget'!C8</f>
        <v>5076189</v>
      </c>
      <c r="C8" s="357">
        <f>SUM(C4:C7)</f>
        <v>0</v>
      </c>
      <c r="D8" s="357">
        <f>SUM(D4:D7)</f>
        <v>0</v>
      </c>
      <c r="E8" s="359"/>
      <c r="F8" s="359"/>
      <c r="G8" s="359"/>
      <c r="H8" s="359"/>
      <c r="I8" s="359"/>
      <c r="J8" s="359"/>
      <c r="K8" s="355"/>
    </row>
    <row r="9" spans="1:11" s="356" customFormat="1">
      <c r="A9" s="360" t="s">
        <v>592</v>
      </c>
      <c r="B9" s="357">
        <f>'Sources and Uses Budget'!C9</f>
        <v>0</v>
      </c>
      <c r="C9" s="358"/>
      <c r="D9" s="358"/>
      <c r="E9" s="359"/>
      <c r="F9" s="359"/>
      <c r="G9" s="359"/>
      <c r="H9" s="357">
        <f>'Sources and Uses Budget'!T9</f>
        <v>0</v>
      </c>
      <c r="I9" s="358"/>
      <c r="J9" s="358"/>
      <c r="K9" s="355"/>
    </row>
    <row r="10" spans="1:11" s="356" customFormat="1">
      <c r="A10" s="360" t="s">
        <v>593</v>
      </c>
      <c r="B10" s="357">
        <f>'Sources and Uses Budget'!C10</f>
        <v>0</v>
      </c>
      <c r="C10" s="358"/>
      <c r="D10" s="358"/>
      <c r="E10" s="357">
        <f>'Sources and Uses Budget'!S10</f>
        <v>0</v>
      </c>
      <c r="F10" s="358"/>
      <c r="G10" s="358"/>
      <c r="H10" s="357">
        <f>'Sources and Uses Budget'!T10</f>
        <v>0</v>
      </c>
      <c r="I10" s="358"/>
      <c r="J10" s="358"/>
      <c r="K10" s="355"/>
    </row>
    <row r="11" spans="1:11" s="356" customFormat="1">
      <c r="A11" s="361" t="s">
        <v>594</v>
      </c>
      <c r="B11" s="357">
        <f>'Sources and Uses Budget'!C11</f>
        <v>0</v>
      </c>
      <c r="C11" s="357">
        <f>SUM(C9:C10)</f>
        <v>0</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5076189</v>
      </c>
      <c r="C12" s="357">
        <f>SUM(C8+C11)</f>
        <v>0</v>
      </c>
      <c r="D12" s="357">
        <f>SUM(D8+D11)</f>
        <v>0</v>
      </c>
      <c r="E12" s="359"/>
      <c r="F12" s="359"/>
      <c r="G12" s="359"/>
      <c r="H12" s="359"/>
      <c r="I12" s="359"/>
      <c r="J12" s="359"/>
      <c r="K12" s="355"/>
    </row>
    <row r="13" spans="1:11" s="356" customFormat="1">
      <c r="A13" s="362" t="s">
        <v>900</v>
      </c>
      <c r="B13" s="357">
        <f>'Sources and Uses Budget'!C13</f>
        <v>0</v>
      </c>
      <c r="C13" s="358"/>
      <c r="D13" s="358"/>
      <c r="E13" s="357">
        <f>'Sources and Uses Budget'!S13</f>
        <v>0</v>
      </c>
      <c r="F13" s="358"/>
      <c r="G13" s="358"/>
      <c r="H13" s="357">
        <f>'Sources and Uses Budget'!T13</f>
        <v>0</v>
      </c>
      <c r="I13" s="358"/>
      <c r="J13" s="358"/>
      <c r="K13" s="355"/>
    </row>
    <row r="14" spans="1:11" s="356" customFormat="1" ht="24">
      <c r="A14" s="360" t="s">
        <v>901</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1158</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595</v>
      </c>
      <c r="B16" s="354"/>
      <c r="C16" s="354"/>
      <c r="D16" s="354"/>
      <c r="E16" s="354"/>
      <c r="F16" s="354"/>
      <c r="G16" s="354"/>
      <c r="H16" s="354"/>
      <c r="I16" s="354"/>
      <c r="J16" s="354"/>
      <c r="K16" s="355"/>
    </row>
    <row r="17" spans="1:11" s="356" customFormat="1">
      <c r="A17" s="360" t="s">
        <v>596</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597</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598</v>
      </c>
      <c r="B19" s="357">
        <f>'Sources and Uses Budget'!C19</f>
        <v>0</v>
      </c>
      <c r="C19" s="358"/>
      <c r="D19" s="358"/>
      <c r="E19" s="357">
        <f>'Sources and Uses Budget'!S19</f>
        <v>0</v>
      </c>
      <c r="F19" s="358"/>
      <c r="G19" s="358"/>
      <c r="H19" s="357">
        <f>'Sources and Uses Budget'!T19</f>
        <v>0</v>
      </c>
      <c r="I19" s="358"/>
      <c r="J19" s="358"/>
      <c r="K19" s="355"/>
    </row>
    <row r="20" spans="1:11" s="356" customFormat="1">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c r="A24" s="504" t="s">
        <v>1626</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596</v>
      </c>
      <c r="B29" s="357">
        <f>'Sources and Uses Budget'!C29</f>
        <v>696500</v>
      </c>
      <c r="C29" s="358"/>
      <c r="D29" s="358"/>
      <c r="E29" s="357">
        <f>'Sources and Uses Budget'!S29</f>
        <v>696500</v>
      </c>
      <c r="F29" s="358"/>
      <c r="G29" s="358"/>
      <c r="H29" s="357">
        <f>'Sources and Uses Budget'!T29</f>
        <v>0</v>
      </c>
      <c r="I29" s="358"/>
      <c r="J29" s="358"/>
      <c r="K29" s="355"/>
    </row>
    <row r="30" spans="1:11" s="356" customFormat="1">
      <c r="A30" s="145" t="s">
        <v>597</v>
      </c>
      <c r="B30" s="357">
        <f>'Sources and Uses Budget'!C30</f>
        <v>41898292</v>
      </c>
      <c r="C30" s="358">
        <v>0</v>
      </c>
      <c r="D30" s="358"/>
      <c r="E30" s="357">
        <f>'Sources and Uses Budget'!S30</f>
        <v>41898292</v>
      </c>
      <c r="F30" s="358"/>
      <c r="G30" s="358"/>
      <c r="H30" s="357">
        <f>'Sources and Uses Budget'!T30</f>
        <v>0</v>
      </c>
      <c r="I30" s="358"/>
      <c r="J30" s="358"/>
      <c r="K30" s="355"/>
    </row>
    <row r="31" spans="1:11" s="356" customFormat="1">
      <c r="A31" s="145" t="s">
        <v>598</v>
      </c>
      <c r="B31" s="357">
        <f>'Sources and Uses Budget'!C31</f>
        <v>2981636</v>
      </c>
      <c r="C31" s="358"/>
      <c r="D31" s="358"/>
      <c r="E31" s="357">
        <f>'Sources and Uses Budget'!S31</f>
        <v>2981636</v>
      </c>
      <c r="F31" s="358"/>
      <c r="G31" s="358"/>
      <c r="H31" s="357">
        <f>'Sources and Uses Budget'!T31</f>
        <v>0</v>
      </c>
      <c r="I31" s="358"/>
      <c r="J31" s="358"/>
      <c r="K31" s="355"/>
    </row>
    <row r="32" spans="1:11" s="356" customFormat="1">
      <c r="A32" s="145" t="s">
        <v>137</v>
      </c>
      <c r="B32" s="357">
        <f>'Sources and Uses Budget'!C32</f>
        <v>1277844</v>
      </c>
      <c r="C32" s="358"/>
      <c r="D32" s="358"/>
      <c r="E32" s="357">
        <f>'Sources and Uses Budget'!S32</f>
        <v>1277844</v>
      </c>
      <c r="F32" s="358"/>
      <c r="G32" s="358"/>
      <c r="H32" s="357">
        <f>'Sources and Uses Budget'!T32</f>
        <v>0</v>
      </c>
      <c r="I32" s="358"/>
      <c r="J32" s="358"/>
      <c r="K32" s="355"/>
    </row>
    <row r="33" spans="1:11" s="356" customFormat="1">
      <c r="A33" s="145" t="s">
        <v>138</v>
      </c>
      <c r="B33" s="357">
        <f>'Sources and Uses Budget'!C33</f>
        <v>1703792</v>
      </c>
      <c r="C33" s="358"/>
      <c r="D33" s="358"/>
      <c r="E33" s="357">
        <f>'Sources and Uses Budget'!S33</f>
        <v>1703792</v>
      </c>
      <c r="F33" s="358"/>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613046</v>
      </c>
      <c r="C35" s="358"/>
      <c r="D35" s="358"/>
      <c r="E35" s="357">
        <f>'Sources and Uses Budget'!S35</f>
        <v>613046</v>
      </c>
      <c r="F35" s="358"/>
      <c r="G35" s="358"/>
      <c r="H35" s="357">
        <f>'Sources and Uses Budget'!T35</f>
        <v>0</v>
      </c>
      <c r="I35" s="358"/>
      <c r="J35" s="358"/>
      <c r="K35" s="355"/>
    </row>
    <row r="36" spans="1:11" s="356" customFormat="1">
      <c r="A36" s="504" t="s">
        <v>1626</v>
      </c>
      <c r="B36" s="357">
        <f>'Sources and Uses Budget'!C36</f>
        <v>225000</v>
      </c>
      <c r="C36" s="358"/>
      <c r="D36" s="358"/>
      <c r="E36" s="357">
        <f>'Sources and Uses Budget'!S36</f>
        <v>225000</v>
      </c>
      <c r="F36" s="358"/>
      <c r="G36" s="358"/>
      <c r="H36" s="357">
        <f>'Sources and Uses Budget'!T36</f>
        <v>0</v>
      </c>
      <c r="I36" s="358"/>
      <c r="J36" s="358"/>
      <c r="K36" s="355"/>
    </row>
    <row r="37" spans="1:11" s="356" customFormat="1">
      <c r="A37" s="360" t="str">
        <f>'Sources and Uses Budget'!$A37</f>
        <v>Other: Payment &amp; Performance Bond</v>
      </c>
      <c r="B37" s="357">
        <f>'Sources and Uses Budget'!C37</f>
        <v>485581</v>
      </c>
      <c r="C37" s="358"/>
      <c r="D37" s="358"/>
      <c r="E37" s="357">
        <f>'Sources and Uses Budget'!S37</f>
        <v>485581</v>
      </c>
      <c r="F37" s="358"/>
      <c r="G37" s="358"/>
      <c r="H37" s="357">
        <f>'Sources and Uses Budget'!T37</f>
        <v>0</v>
      </c>
      <c r="I37" s="358"/>
      <c r="J37" s="358"/>
      <c r="K37" s="355"/>
    </row>
    <row r="38" spans="1:11" s="356" customFormat="1">
      <c r="A38" s="361" t="s">
        <v>143</v>
      </c>
      <c r="B38" s="357">
        <f>'Sources and Uses Budget'!C38</f>
        <v>49881691</v>
      </c>
      <c r="C38" s="357">
        <f>SUM(C29:C37)</f>
        <v>0</v>
      </c>
      <c r="D38" s="357">
        <f>SUM(D29:D37)</f>
        <v>0</v>
      </c>
      <c r="E38" s="357">
        <f>'Sources and Uses Budget'!S38</f>
        <v>49881691</v>
      </c>
      <c r="F38" s="363">
        <f>SUM(F29:F37)</f>
        <v>0</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1842841</v>
      </c>
      <c r="C40" s="358"/>
      <c r="D40" s="358"/>
      <c r="E40" s="357">
        <f>'Sources and Uses Budget'!S40</f>
        <v>1842841</v>
      </c>
      <c r="F40" s="358"/>
      <c r="G40" s="358"/>
      <c r="H40" s="357">
        <f>'Sources and Uses Budget'!T40</f>
        <v>0</v>
      </c>
      <c r="I40" s="358"/>
      <c r="J40" s="358"/>
      <c r="K40" s="355"/>
    </row>
    <row r="41" spans="1:11" s="356" customFormat="1">
      <c r="A41" s="360" t="s">
        <v>146</v>
      </c>
      <c r="B41" s="357">
        <f>'Sources and Uses Budget'!C41</f>
        <v>0</v>
      </c>
      <c r="C41" s="358"/>
      <c r="D41" s="358"/>
      <c r="E41" s="357">
        <f>'Sources and Uses Budget'!S41</f>
        <v>0</v>
      </c>
      <c r="F41" s="358"/>
      <c r="G41" s="358"/>
      <c r="H41" s="357">
        <f>'Sources and Uses Budget'!T41</f>
        <v>0</v>
      </c>
      <c r="I41" s="358"/>
      <c r="J41" s="358"/>
      <c r="K41" s="355"/>
    </row>
    <row r="42" spans="1:11" s="356" customFormat="1">
      <c r="A42" s="361" t="s">
        <v>147</v>
      </c>
      <c r="B42" s="357">
        <f>'Sources and Uses Budget'!C42</f>
        <v>1842841</v>
      </c>
      <c r="C42" s="357">
        <f>SUM(C39:C41)</f>
        <v>0</v>
      </c>
      <c r="D42" s="357">
        <f>SUM(D39:D41)</f>
        <v>0</v>
      </c>
      <c r="E42" s="357">
        <f>'Sources and Uses Budget'!S42</f>
        <v>1842841</v>
      </c>
      <c r="F42" s="363">
        <f>SUM(F40:F41)</f>
        <v>0</v>
      </c>
      <c r="G42" s="363">
        <f>SUM(G40:G41)</f>
        <v>0</v>
      </c>
      <c r="H42" s="357">
        <f>'Sources and Uses Budget'!T42</f>
        <v>0</v>
      </c>
      <c r="I42" s="363">
        <f>SUM(I40:I41)</f>
        <v>0</v>
      </c>
      <c r="J42" s="363">
        <f>SUM(J40:J41)</f>
        <v>0</v>
      </c>
      <c r="K42" s="355"/>
    </row>
    <row r="43" spans="1:11" s="356" customFormat="1">
      <c r="A43" s="361" t="s">
        <v>148</v>
      </c>
      <c r="B43" s="357">
        <f>'Sources and Uses Budget'!C43</f>
        <v>170140</v>
      </c>
      <c r="C43" s="358"/>
      <c r="D43" s="358"/>
      <c r="E43" s="357">
        <f>'Sources and Uses Budget'!S43</f>
        <v>170140</v>
      </c>
      <c r="F43" s="358"/>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4375760</v>
      </c>
      <c r="C45" s="358"/>
      <c r="D45" s="358"/>
      <c r="E45" s="357">
        <f>'Sources and Uses Budget'!S45</f>
        <v>2540922</v>
      </c>
      <c r="F45" s="358"/>
      <c r="G45" s="358"/>
      <c r="H45" s="357">
        <f>'Sources and Uses Budget'!T45</f>
        <v>0</v>
      </c>
      <c r="I45" s="358"/>
      <c r="J45" s="358"/>
      <c r="K45" s="355"/>
    </row>
    <row r="46" spans="1:11" s="356" customFormat="1">
      <c r="A46" s="360" t="s">
        <v>151</v>
      </c>
      <c r="B46" s="357">
        <f>'Sources and Uses Budget'!C46</f>
        <v>401354</v>
      </c>
      <c r="C46" s="358"/>
      <c r="D46" s="358"/>
      <c r="E46" s="357">
        <f>'Sources and Uses Budget'!S46</f>
        <v>235577</v>
      </c>
      <c r="F46" s="358"/>
      <c r="G46" s="358"/>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57</v>
      </c>
      <c r="B49" s="357">
        <f>'Sources and Uses Budget'!C49</f>
        <v>353695</v>
      </c>
      <c r="C49" s="358"/>
      <c r="D49" s="358"/>
      <c r="E49" s="357">
        <f>'Sources and Uses Budget'!S49</f>
        <v>35898</v>
      </c>
      <c r="F49" s="358"/>
      <c r="G49" s="358"/>
      <c r="H49" s="357">
        <f>'Sources and Uses Budget'!T49</f>
        <v>0</v>
      </c>
      <c r="I49" s="358"/>
      <c r="J49" s="358"/>
      <c r="K49" s="355"/>
    </row>
    <row r="50" spans="1:11" s="356" customFormat="1">
      <c r="A50" s="360" t="s">
        <v>156</v>
      </c>
      <c r="B50" s="357">
        <f>'Sources and Uses Budget'!C50</f>
        <v>100000</v>
      </c>
      <c r="C50" s="358"/>
      <c r="D50" s="358"/>
      <c r="E50" s="357">
        <f>'Sources and Uses Budget'!S50</f>
        <v>100000</v>
      </c>
      <c r="F50" s="358"/>
      <c r="G50" s="358"/>
      <c r="H50" s="357">
        <f>'Sources and Uses Budget'!T50</f>
        <v>0</v>
      </c>
      <c r="I50" s="358"/>
      <c r="J50" s="358"/>
      <c r="K50" s="355"/>
    </row>
    <row r="51" spans="1:11" s="356" customFormat="1">
      <c r="A51" s="360" t="s">
        <v>154</v>
      </c>
      <c r="B51" s="357">
        <f>'Sources and Uses Budget'!C51</f>
        <v>100000</v>
      </c>
      <c r="C51" s="358"/>
      <c r="D51" s="358"/>
      <c r="E51" s="357">
        <f>'Sources and Uses Budget'!S51</f>
        <v>100000</v>
      </c>
      <c r="F51" s="358"/>
      <c r="G51" s="358"/>
      <c r="H51" s="357">
        <f>'Sources and Uses Budget'!T51</f>
        <v>0</v>
      </c>
      <c r="I51" s="358"/>
      <c r="J51" s="358"/>
      <c r="K51" s="355"/>
    </row>
    <row r="52" spans="1:11" s="356" customFormat="1">
      <c r="A52" s="360" t="s">
        <v>155</v>
      </c>
      <c r="B52" s="357">
        <f>'Sources and Uses Budget'!C52</f>
        <v>634700</v>
      </c>
      <c r="C52" s="358"/>
      <c r="D52" s="358"/>
      <c r="E52" s="357">
        <f>'Sources and Uses Budget'!S52</f>
        <v>634700</v>
      </c>
      <c r="F52" s="358"/>
      <c r="G52" s="358"/>
      <c r="H52" s="357">
        <f>'Sources and Uses Budget'!T52</f>
        <v>0</v>
      </c>
      <c r="I52" s="358"/>
      <c r="J52" s="358"/>
      <c r="K52" s="355"/>
    </row>
    <row r="53" spans="1:11" s="356" customFormat="1" ht="24">
      <c r="A53" s="360" t="str">
        <f>'Sources and Uses Budget'!$A53</f>
        <v>Other: Accrued &amp; Deferred Soft Loan Interest</v>
      </c>
      <c r="B53" s="357">
        <f>'Sources and Uses Budget'!C53</f>
        <v>1285355</v>
      </c>
      <c r="C53" s="358"/>
      <c r="D53" s="358"/>
      <c r="E53" s="357">
        <f>'Sources and Uses Budget'!S53</f>
        <v>1008679</v>
      </c>
      <c r="F53" s="358"/>
      <c r="G53" s="358"/>
      <c r="H53" s="357">
        <f>'Sources and Uses Budget'!T53</f>
        <v>0</v>
      </c>
      <c r="I53" s="358"/>
      <c r="J53" s="358"/>
      <c r="K53" s="355"/>
    </row>
    <row r="54" spans="1:11" s="365" customFormat="1">
      <c r="A54" s="361" t="s">
        <v>157</v>
      </c>
      <c r="B54" s="357">
        <f>'Sources and Uses Budget'!C54</f>
        <v>7250864</v>
      </c>
      <c r="C54" s="363">
        <f>SUM(C45:C53)</f>
        <v>0</v>
      </c>
      <c r="D54" s="363">
        <f>SUM(D45:D53)</f>
        <v>0</v>
      </c>
      <c r="E54" s="357">
        <f>'Sources and Uses Budget'!S54</f>
        <v>4655776</v>
      </c>
      <c r="F54" s="363">
        <f>SUM(F45:F53)</f>
        <v>0</v>
      </c>
      <c r="G54" s="363">
        <f>SUM(G45:G53)</f>
        <v>0</v>
      </c>
      <c r="H54" s="357">
        <f>'Sources and Uses Budget'!T54</f>
        <v>0</v>
      </c>
      <c r="I54" s="363">
        <f>SUM(I45:I53)</f>
        <v>0</v>
      </c>
      <c r="J54" s="363">
        <f>SUM(J45:J53)</f>
        <v>0</v>
      </c>
      <c r="K54" s="364"/>
    </row>
    <row r="55" spans="1:11" s="356" customFormat="1">
      <c r="A55" s="353" t="s">
        <v>417</v>
      </c>
      <c r="B55" s="354"/>
      <c r="C55" s="354"/>
      <c r="D55" s="354"/>
      <c r="E55" s="354"/>
      <c r="F55" s="354"/>
      <c r="G55" s="354"/>
      <c r="H55" s="354"/>
      <c r="I55" s="354"/>
      <c r="J55" s="354"/>
      <c r="K55" s="355"/>
    </row>
    <row r="56" spans="1:11" s="356" customFormat="1">
      <c r="A56" s="360" t="s">
        <v>158</v>
      </c>
      <c r="B56" s="357">
        <f>'Sources and Uses Budget'!C56</f>
        <v>205470</v>
      </c>
      <c r="C56" s="358"/>
      <c r="D56" s="358"/>
      <c r="E56" s="359"/>
      <c r="F56" s="359"/>
      <c r="G56" s="359"/>
      <c r="H56" s="359"/>
      <c r="I56" s="359"/>
      <c r="J56" s="359"/>
      <c r="K56" s="355"/>
    </row>
    <row r="57" spans="1:11" s="356" customFormat="1" ht="12" customHeight="1">
      <c r="A57" s="360" t="s">
        <v>152</v>
      </c>
      <c r="B57" s="357">
        <f>'Sources and Uses Budget'!C57</f>
        <v>0</v>
      </c>
      <c r="C57" s="358"/>
      <c r="D57" s="358"/>
      <c r="E57" s="359"/>
      <c r="F57" s="359"/>
      <c r="G57" s="359"/>
      <c r="H57" s="359"/>
      <c r="I57" s="359"/>
      <c r="J57" s="359"/>
      <c r="K57" s="355"/>
    </row>
    <row r="58" spans="1:11" s="356" customFormat="1">
      <c r="A58" s="360" t="s">
        <v>156</v>
      </c>
      <c r="B58" s="357">
        <f>'Sources and Uses Budget'!C58</f>
        <v>5000</v>
      </c>
      <c r="C58" s="358"/>
      <c r="D58" s="358"/>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ht="24">
      <c r="A61" s="360" t="str">
        <f>'Sources and Uses Budget'!$A61</f>
        <v>Other: Permanent Loan Conversion Fee + Permanent Loan Legal</v>
      </c>
      <c r="B61" s="357">
        <f>'Sources and Uses Budget'!C61</f>
        <v>20000</v>
      </c>
      <c r="C61" s="358"/>
      <c r="D61" s="358"/>
      <c r="E61" s="359"/>
      <c r="F61" s="359"/>
      <c r="G61" s="359"/>
      <c r="H61" s="359"/>
      <c r="I61" s="359"/>
      <c r="J61" s="359"/>
      <c r="K61" s="355"/>
    </row>
    <row r="62" spans="1:11" s="356" customFormat="1" ht="13.7" customHeight="1">
      <c r="A62" s="361" t="s">
        <v>300</v>
      </c>
      <c r="B62" s="357">
        <f>'Sources and Uses Budget'!C62</f>
        <v>230470</v>
      </c>
      <c r="C62" s="357">
        <f>SUM(C56:C61)</f>
        <v>0</v>
      </c>
      <c r="D62" s="357">
        <f>SUM(D56:D61)</f>
        <v>0</v>
      </c>
      <c r="E62" s="359"/>
      <c r="F62" s="359"/>
      <c r="G62" s="359"/>
      <c r="H62" s="359"/>
      <c r="I62" s="359"/>
      <c r="J62" s="359"/>
      <c r="K62" s="355"/>
    </row>
    <row r="63" spans="1:11" s="356" customFormat="1">
      <c r="A63" s="366" t="s">
        <v>301</v>
      </c>
      <c r="B63" s="357">
        <f>'Sources and Uses Budget'!C63</f>
        <v>64452195</v>
      </c>
      <c r="C63" s="357">
        <f>SUM(C8+C11+C13+C14+C15+C26+C27+C38+C42+C43+C54+C62)</f>
        <v>0</v>
      </c>
      <c r="D63" s="357">
        <f>SUM(D8+D11+D13+D14+D15+D26+D27+D38+D42+D43+D54+D62)</f>
        <v>0</v>
      </c>
      <c r="E63" s="357">
        <f>'Sources and Uses Budget'!S63</f>
        <v>56550448</v>
      </c>
      <c r="F63" s="357">
        <f>SUM(F10+F13+F14+F15+F26+F27+F38+F42+F43+F54)</f>
        <v>0</v>
      </c>
      <c r="G63" s="357">
        <f>SUM(G10+G13+G14+G15+G26+G27+G38+G42+G43+G54)</f>
        <v>0</v>
      </c>
      <c r="H63" s="357">
        <f>'Sources and Uses Budget'!T63</f>
        <v>0</v>
      </c>
      <c r="I63" s="357">
        <f>SUM(I11+I13+I14+I15+I26+I27+I38+I42+I43+I54)</f>
        <v>0</v>
      </c>
      <c r="J63" s="357">
        <f>SUM(J11+J13+J14+J15+J26+J27+J38+J42+J43+J54)</f>
        <v>0</v>
      </c>
      <c r="K63" s="355"/>
    </row>
    <row r="64" spans="1:11" s="356" customFormat="1" ht="24">
      <c r="A64" s="141" t="s">
        <v>1630</v>
      </c>
      <c r="B64" s="354"/>
      <c r="C64" s="354"/>
      <c r="D64" s="354"/>
      <c r="E64" s="354"/>
      <c r="F64" s="354"/>
      <c r="G64" s="354"/>
      <c r="H64" s="354"/>
      <c r="I64" s="354"/>
      <c r="J64" s="354"/>
      <c r="K64" s="355"/>
    </row>
    <row r="65" spans="1:11" s="356" customFormat="1">
      <c r="A65" s="145" t="s">
        <v>170</v>
      </c>
      <c r="B65" s="357">
        <f>'Sources and Uses Budget'!C65</f>
        <v>235000</v>
      </c>
      <c r="C65" s="358"/>
      <c r="D65" s="358"/>
      <c r="E65" s="357">
        <f>'Sources and Uses Budget'!S65</f>
        <v>187500</v>
      </c>
      <c r="F65" s="358"/>
      <c r="G65" s="358"/>
      <c r="H65" s="357">
        <f>'Sources and Uses Budget'!T65</f>
        <v>0</v>
      </c>
      <c r="I65" s="358"/>
      <c r="J65" s="358"/>
      <c r="K65" s="355"/>
    </row>
    <row r="66" spans="1:11" s="356" customFormat="1" ht="24">
      <c r="A66" s="283" t="s">
        <v>1627</v>
      </c>
      <c r="B66" s="357">
        <f>'Sources and Uses Budget'!C66</f>
        <v>0</v>
      </c>
      <c r="C66" s="358"/>
      <c r="D66" s="358"/>
      <c r="E66" s="357">
        <f>'Sources and Uses Budget'!S66</f>
        <v>0</v>
      </c>
      <c r="F66" s="358"/>
      <c r="G66" s="358"/>
      <c r="H66" s="357">
        <f>'Sources and Uses Budget'!T66</f>
        <v>0</v>
      </c>
      <c r="I66" s="358"/>
      <c r="J66" s="358"/>
      <c r="K66" s="355"/>
    </row>
    <row r="67" spans="1:11" s="356" customFormat="1" ht="24">
      <c r="A67" s="283" t="s">
        <v>1628</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1634</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 xml:space="preserve">Other: </v>
      </c>
      <c r="B69" s="357">
        <f>'Sources and Uses Budget'!C69</f>
        <v>0</v>
      </c>
      <c r="C69" s="358"/>
      <c r="D69" s="358"/>
      <c r="E69" s="357">
        <f>'Sources and Uses Budget'!S69</f>
        <v>0</v>
      </c>
      <c r="F69" s="358"/>
      <c r="G69" s="358"/>
      <c r="H69" s="357">
        <f>'Sources and Uses Budget'!T69</f>
        <v>0</v>
      </c>
      <c r="I69" s="358"/>
      <c r="J69" s="358"/>
      <c r="K69" s="355"/>
    </row>
    <row r="70" spans="1:11" s="356" customFormat="1">
      <c r="A70" s="361" t="s">
        <v>599</v>
      </c>
      <c r="B70" s="357">
        <f>'Sources and Uses Budget'!C70</f>
        <v>235000</v>
      </c>
      <c r="C70" s="357">
        <f>SUM(C64:C69)</f>
        <v>0</v>
      </c>
      <c r="D70" s="357">
        <f>SUM(D64:D69)</f>
        <v>0</v>
      </c>
      <c r="E70" s="357">
        <f>'Sources and Uses Budget'!S70</f>
        <v>187500</v>
      </c>
      <c r="F70" s="363">
        <f>SUM(F65:F69)</f>
        <v>0</v>
      </c>
      <c r="G70" s="363">
        <f>SUM(G65:G69)</f>
        <v>0</v>
      </c>
      <c r="H70" s="357">
        <f>'Sources and Uses Budget'!T70</f>
        <v>0</v>
      </c>
      <c r="I70" s="363">
        <f>SUM(I65:I69)</f>
        <v>0</v>
      </c>
      <c r="J70" s="363">
        <f>SUM(J65:J69)</f>
        <v>0</v>
      </c>
      <c r="K70" s="355"/>
    </row>
    <row r="71" spans="1:11" s="356" customFormat="1">
      <c r="A71" s="353" t="s">
        <v>600</v>
      </c>
      <c r="B71" s="354"/>
      <c r="C71" s="354"/>
      <c r="D71" s="354"/>
      <c r="E71" s="354"/>
      <c r="F71" s="354"/>
      <c r="G71" s="354"/>
      <c r="H71" s="354"/>
      <c r="I71" s="354"/>
      <c r="J71" s="354"/>
      <c r="K71" s="355"/>
    </row>
    <row r="72" spans="1:11" s="356" customFormat="1">
      <c r="A72" s="360" t="s">
        <v>601</v>
      </c>
      <c r="B72" s="357">
        <f>'Sources and Uses Budget'!C72</f>
        <v>0</v>
      </c>
      <c r="C72" s="358"/>
      <c r="D72" s="358"/>
      <c r="E72" s="359"/>
      <c r="F72" s="359"/>
      <c r="G72" s="359"/>
      <c r="H72" s="359"/>
      <c r="I72" s="359"/>
      <c r="J72" s="359"/>
      <c r="K72" s="355"/>
    </row>
    <row r="73" spans="1:11" s="356" customFormat="1">
      <c r="A73" s="360" t="s">
        <v>602</v>
      </c>
      <c r="B73" s="357">
        <f>'Sources and Uses Budget'!C73</f>
        <v>0</v>
      </c>
      <c r="C73" s="358"/>
      <c r="D73" s="358"/>
      <c r="E73" s="359"/>
      <c r="F73" s="359"/>
      <c r="G73" s="359"/>
      <c r="H73" s="359"/>
      <c r="I73" s="359"/>
      <c r="J73" s="359"/>
      <c r="K73" s="355"/>
    </row>
    <row r="74" spans="1:11" s="356" customFormat="1">
      <c r="A74" s="362" t="s">
        <v>984</v>
      </c>
      <c r="B74" s="357">
        <f>'Sources and Uses Budget'!C74</f>
        <v>0</v>
      </c>
      <c r="C74" s="358"/>
      <c r="D74" s="358"/>
      <c r="E74" s="359"/>
      <c r="F74" s="359"/>
      <c r="G74" s="359"/>
      <c r="H74" s="359"/>
      <c r="I74" s="359"/>
      <c r="J74" s="359"/>
      <c r="K74" s="355"/>
    </row>
    <row r="75" spans="1:11" s="356" customFormat="1">
      <c r="A75" s="360" t="s">
        <v>603</v>
      </c>
      <c r="B75" s="357">
        <f>'Sources and Uses Budget'!C75</f>
        <v>957572</v>
      </c>
      <c r="C75" s="358"/>
      <c r="D75" s="358"/>
      <c r="E75" s="359"/>
      <c r="F75" s="359"/>
      <c r="G75" s="359"/>
      <c r="H75" s="359"/>
      <c r="I75" s="359"/>
      <c r="J75" s="359"/>
      <c r="K75" s="355"/>
    </row>
    <row r="76" spans="1:11" s="356" customFormat="1" ht="24">
      <c r="A76" s="360" t="str">
        <f>'Sources and Uses Budget'!$A76</f>
        <v>Other: Capitalized Operations + Services</v>
      </c>
      <c r="B76" s="357">
        <f>'Sources and Uses Budget'!C76</f>
        <v>80000</v>
      </c>
      <c r="C76" s="358"/>
      <c r="D76" s="358"/>
      <c r="E76" s="359"/>
      <c r="F76" s="359"/>
      <c r="G76" s="359"/>
      <c r="H76" s="359"/>
      <c r="I76" s="359"/>
      <c r="J76" s="359"/>
      <c r="K76" s="355"/>
    </row>
    <row r="77" spans="1:11" s="356" customFormat="1">
      <c r="A77" s="361" t="s">
        <v>604</v>
      </c>
      <c r="B77" s="357">
        <f>'Sources and Uses Budget'!C77</f>
        <v>1037572</v>
      </c>
      <c r="C77" s="357">
        <f>SUM(C72:C76)</f>
        <v>0</v>
      </c>
      <c r="D77" s="357">
        <f>SUM(D72:D76)</f>
        <v>0</v>
      </c>
      <c r="E77" s="359"/>
      <c r="F77" s="359"/>
      <c r="G77" s="359"/>
      <c r="H77" s="359"/>
      <c r="I77" s="359"/>
      <c r="J77" s="359"/>
      <c r="K77" s="355"/>
    </row>
    <row r="78" spans="1:11" s="356" customFormat="1">
      <c r="A78" s="353" t="s">
        <v>1207</v>
      </c>
      <c r="B78" s="354"/>
      <c r="C78" s="354"/>
      <c r="D78" s="354"/>
      <c r="E78" s="354"/>
      <c r="F78" s="354"/>
      <c r="G78" s="354"/>
      <c r="H78" s="354"/>
      <c r="I78" s="354"/>
      <c r="J78" s="354"/>
      <c r="K78" s="355"/>
    </row>
    <row r="79" spans="1:11" s="356" customFormat="1">
      <c r="A79" s="360" t="s">
        <v>1209</v>
      </c>
      <c r="B79" s="357">
        <f>'Sources and Uses Budget'!C79</f>
        <v>3227684</v>
      </c>
      <c r="C79" s="358"/>
      <c r="D79" s="358"/>
      <c r="E79" s="357">
        <f>'Sources and Uses Budget'!S79</f>
        <v>3227684</v>
      </c>
      <c r="F79" s="358"/>
      <c r="G79" s="358"/>
      <c r="H79" s="357">
        <f>'Sources and Uses Budget'!T79</f>
        <v>0</v>
      </c>
      <c r="I79" s="358"/>
      <c r="J79" s="358"/>
      <c r="K79" s="355"/>
    </row>
    <row r="80" spans="1:11" s="356" customFormat="1">
      <c r="A80" s="360" t="s">
        <v>58</v>
      </c>
      <c r="B80" s="357">
        <f>'Sources and Uses Budget'!C80</f>
        <v>638730</v>
      </c>
      <c r="C80" s="358"/>
      <c r="D80" s="358"/>
      <c r="E80" s="357">
        <f>'Sources and Uses Budget'!S80</f>
        <v>638730</v>
      </c>
      <c r="F80" s="358"/>
      <c r="G80" s="358"/>
      <c r="H80" s="357">
        <f>'Sources and Uses Budget'!T80</f>
        <v>0</v>
      </c>
      <c r="I80" s="358"/>
      <c r="J80" s="358"/>
      <c r="K80" s="355"/>
    </row>
    <row r="81" spans="1:11" s="356" customFormat="1">
      <c r="A81" s="361" t="s">
        <v>1206</v>
      </c>
      <c r="B81" s="357">
        <f>'Sources and Uses Budget'!C81</f>
        <v>3866414</v>
      </c>
      <c r="C81" s="357">
        <f>SUM(C79:C80)</f>
        <v>0</v>
      </c>
      <c r="D81" s="357">
        <f>SUM(D79:D80)</f>
        <v>0</v>
      </c>
      <c r="E81" s="357">
        <f>'Sources and Uses Budget'!S81</f>
        <v>3866414</v>
      </c>
      <c r="F81" s="357">
        <f>SUM(F79:F80)</f>
        <v>0</v>
      </c>
      <c r="G81" s="357">
        <f>SUM(G79:G80)</f>
        <v>0</v>
      </c>
      <c r="H81" s="357">
        <f>'Sources and Uses Budget'!T81</f>
        <v>0</v>
      </c>
      <c r="I81" s="357">
        <f>SUM(I79:I80)</f>
        <v>0</v>
      </c>
      <c r="J81" s="357">
        <f>SUM(J79:J80)</f>
        <v>0</v>
      </c>
      <c r="K81" s="355"/>
    </row>
    <row r="82" spans="1:11" s="356" customFormat="1">
      <c r="A82" s="353" t="s">
        <v>763</v>
      </c>
      <c r="B82" s="354"/>
      <c r="C82" s="354"/>
      <c r="D82" s="354"/>
      <c r="E82" s="354"/>
      <c r="F82" s="354"/>
      <c r="G82" s="354"/>
      <c r="H82" s="354"/>
      <c r="I82" s="354"/>
      <c r="J82" s="354"/>
      <c r="K82" s="355"/>
    </row>
    <row r="83" spans="1:11" s="356" customFormat="1" ht="13.7" customHeight="1">
      <c r="A83" s="145" t="s">
        <v>2042</v>
      </c>
      <c r="B83" s="357">
        <f>'Sources and Uses Budget'!C83</f>
        <v>115386</v>
      </c>
      <c r="C83" s="358"/>
      <c r="D83" s="358"/>
      <c r="E83" s="359"/>
      <c r="F83" s="359"/>
      <c r="G83" s="359"/>
      <c r="H83" s="359"/>
      <c r="I83" s="359"/>
      <c r="J83" s="359"/>
      <c r="K83" s="355"/>
    </row>
    <row r="84" spans="1:11" s="356" customFormat="1">
      <c r="A84" s="145" t="s">
        <v>765</v>
      </c>
      <c r="B84" s="357">
        <f>'Sources and Uses Budget'!C84</f>
        <v>150000</v>
      </c>
      <c r="C84" s="358"/>
      <c r="D84" s="358"/>
      <c r="E84" s="357">
        <f>'Sources and Uses Budget'!S84</f>
        <v>150000</v>
      </c>
      <c r="F84" s="358"/>
      <c r="G84" s="358"/>
      <c r="H84" s="357">
        <f>'Sources and Uses Budget'!T84</f>
        <v>0</v>
      </c>
      <c r="I84" s="358"/>
      <c r="J84" s="358"/>
      <c r="K84" s="355"/>
    </row>
    <row r="85" spans="1:11" s="356" customFormat="1">
      <c r="A85" s="145" t="s">
        <v>766</v>
      </c>
      <c r="B85" s="357">
        <f>'Sources and Uses Budget'!C85</f>
        <v>926936</v>
      </c>
      <c r="C85" s="358"/>
      <c r="D85" s="358"/>
      <c r="E85" s="357">
        <f>'Sources and Uses Budget'!S85</f>
        <v>926936</v>
      </c>
      <c r="F85" s="358"/>
      <c r="G85" s="358"/>
      <c r="H85" s="357">
        <f>'Sources and Uses Budget'!T85</f>
        <v>0</v>
      </c>
      <c r="I85" s="358"/>
      <c r="J85" s="358"/>
      <c r="K85" s="355"/>
    </row>
    <row r="86" spans="1:11" s="356" customFormat="1">
      <c r="A86" s="145" t="s">
        <v>767</v>
      </c>
      <c r="B86" s="357">
        <f>'Sources and Uses Budget'!C86</f>
        <v>892925</v>
      </c>
      <c r="C86" s="358"/>
      <c r="D86" s="358"/>
      <c r="E86" s="357">
        <f>'Sources and Uses Budget'!S86</f>
        <v>892925</v>
      </c>
      <c r="F86" s="358"/>
      <c r="G86" s="358"/>
      <c r="H86" s="357">
        <f>'Sources and Uses Budget'!T86</f>
        <v>0</v>
      </c>
      <c r="I86" s="358"/>
      <c r="J86" s="358"/>
      <c r="K86" s="355"/>
    </row>
    <row r="87" spans="1:11" s="356" customFormat="1">
      <c r="A87" s="145" t="s">
        <v>768</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769</v>
      </c>
      <c r="B88" s="357">
        <f>'Sources and Uses Budget'!C88</f>
        <v>172000</v>
      </c>
      <c r="C88" s="358"/>
      <c r="D88" s="358"/>
      <c r="E88" s="359"/>
      <c r="F88" s="359"/>
      <c r="G88" s="359"/>
      <c r="H88" s="359"/>
      <c r="I88" s="359"/>
      <c r="J88" s="359"/>
      <c r="K88" s="355"/>
    </row>
    <row r="89" spans="1:11" s="356" customFormat="1">
      <c r="A89" s="145" t="s">
        <v>770</v>
      </c>
      <c r="B89" s="357">
        <f>'Sources and Uses Budget'!C89</f>
        <v>250000</v>
      </c>
      <c r="C89" s="358"/>
      <c r="D89" s="358"/>
      <c r="E89" s="357">
        <f>'Sources and Uses Budget'!S89</f>
        <v>250000</v>
      </c>
      <c r="F89" s="358"/>
      <c r="G89" s="358"/>
      <c r="H89" s="357">
        <f>'Sources and Uses Budget'!T89</f>
        <v>0</v>
      </c>
      <c r="I89" s="358"/>
      <c r="J89" s="358"/>
      <c r="K89" s="355"/>
    </row>
    <row r="90" spans="1:11" s="356" customFormat="1">
      <c r="A90" s="145" t="s">
        <v>771</v>
      </c>
      <c r="B90" s="357">
        <f>'Sources and Uses Budget'!C90</f>
        <v>15000</v>
      </c>
      <c r="C90" s="358"/>
      <c r="D90" s="358"/>
      <c r="E90" s="357">
        <f>'Sources and Uses Budget'!S90</f>
        <v>0</v>
      </c>
      <c r="F90" s="358"/>
      <c r="G90" s="358"/>
      <c r="H90" s="357">
        <f>'Sources and Uses Budget'!T90</f>
        <v>0</v>
      </c>
      <c r="I90" s="358"/>
      <c r="J90" s="358"/>
      <c r="K90" s="355"/>
    </row>
    <row r="91" spans="1:11" s="356" customFormat="1">
      <c r="A91" s="155" t="s">
        <v>371</v>
      </c>
      <c r="B91" s="357">
        <f>'Sources and Uses Budget'!C91</f>
        <v>0</v>
      </c>
      <c r="C91" s="358"/>
      <c r="D91" s="358"/>
      <c r="E91" s="357">
        <f>'Sources and Uses Budget'!S91</f>
        <v>0</v>
      </c>
      <c r="F91" s="358"/>
      <c r="G91" s="358"/>
      <c r="H91" s="357">
        <f>'Sources and Uses Budget'!T91</f>
        <v>0</v>
      </c>
      <c r="I91" s="358"/>
      <c r="J91" s="358"/>
      <c r="K91" s="355"/>
    </row>
    <row r="92" spans="1:11" s="356" customFormat="1">
      <c r="A92" s="504" t="s">
        <v>1208</v>
      </c>
      <c r="B92" s="357">
        <f>'Sources and Uses Budget'!C92</f>
        <v>15000</v>
      </c>
      <c r="C92" s="358"/>
      <c r="D92" s="358"/>
      <c r="E92" s="357">
        <f>'Sources and Uses Budget'!S92</f>
        <v>0</v>
      </c>
      <c r="F92" s="358"/>
      <c r="G92" s="358"/>
      <c r="H92" s="357">
        <f>'Sources and Uses Budget'!T92</f>
        <v>0</v>
      </c>
      <c r="I92" s="358"/>
      <c r="J92" s="358"/>
      <c r="K92" s="355"/>
    </row>
    <row r="93" spans="1:11" s="356" customFormat="1" ht="24">
      <c r="A93" s="360" t="str">
        <f>'Sources and Uses Budget'!$A93</f>
        <v>Other: Environmental Remediation (non-basis) + Well Mitigation Consultant</v>
      </c>
      <c r="B93" s="357">
        <f>'Sources and Uses Budget'!C93</f>
        <v>2208811</v>
      </c>
      <c r="C93" s="358"/>
      <c r="D93" s="358"/>
      <c r="E93" s="357">
        <f>'Sources and Uses Budget'!S93</f>
        <v>0</v>
      </c>
      <c r="F93" s="358"/>
      <c r="G93" s="358"/>
      <c r="H93" s="357">
        <f>'Sources and Uses Budget'!T93</f>
        <v>0</v>
      </c>
      <c r="I93" s="358"/>
      <c r="J93" s="358"/>
      <c r="K93" s="355"/>
    </row>
    <row r="94" spans="1:11" s="356" customFormat="1" ht="36">
      <c r="A94" s="360" t="str">
        <f>'Sources and Uses Budget'!$A94</f>
        <v>Other: Soils, HERS rater, Deputy Inspections, Utility ConnectionsSecurity &amp; Consultants</v>
      </c>
      <c r="B94" s="357">
        <f>'Sources and Uses Budget'!C94</f>
        <v>952744</v>
      </c>
      <c r="C94" s="358"/>
      <c r="D94" s="358"/>
      <c r="E94" s="357">
        <f>'Sources and Uses Budget'!S94</f>
        <v>952744</v>
      </c>
      <c r="F94" s="358"/>
      <c r="G94" s="358"/>
      <c r="H94" s="357">
        <f>'Sources and Uses Budget'!T94</f>
        <v>0</v>
      </c>
      <c r="I94" s="358"/>
      <c r="J94" s="358"/>
      <c r="K94" s="355"/>
    </row>
    <row r="95" spans="1:11" s="356" customFormat="1">
      <c r="A95" s="360" t="str">
        <f>'Sources and Uses Budget'!$A95</f>
        <v>Other: LACAHSA Fees</v>
      </c>
      <c r="B95" s="357">
        <f>'Sources and Uses Budget'!C95</f>
        <v>308929</v>
      </c>
      <c r="C95" s="358"/>
      <c r="D95" s="358"/>
      <c r="E95" s="357">
        <f>'Sources and Uses Budget'!S95</f>
        <v>245761</v>
      </c>
      <c r="F95" s="358"/>
      <c r="G95" s="358"/>
      <c r="H95" s="357">
        <f>'Sources and Uses Budget'!T95</f>
        <v>0</v>
      </c>
      <c r="I95" s="358"/>
      <c r="J95" s="358"/>
      <c r="K95" s="355"/>
    </row>
    <row r="96" spans="1:11" s="356" customFormat="1">
      <c r="A96" s="361" t="s">
        <v>772</v>
      </c>
      <c r="B96" s="357">
        <f>'Sources and Uses Budget'!C96</f>
        <v>6007731</v>
      </c>
      <c r="C96" s="357">
        <f>SUM(C83:C95)</f>
        <v>0</v>
      </c>
      <c r="D96" s="357">
        <f>SUM(D83:D95)</f>
        <v>0</v>
      </c>
      <c r="E96" s="357">
        <f>'Sources and Uses Budget'!S96</f>
        <v>3418366</v>
      </c>
      <c r="F96" s="363">
        <f>SUM(F84:F87,F89:F95)</f>
        <v>0</v>
      </c>
      <c r="G96" s="363">
        <f>SUM(G84:G87,G89:G95)</f>
        <v>0</v>
      </c>
      <c r="H96" s="357">
        <f>'Sources and Uses Budget'!T96</f>
        <v>0</v>
      </c>
      <c r="I96" s="357">
        <f>SUM(I84:I87,I89:I95)</f>
        <v>0</v>
      </c>
      <c r="J96" s="357">
        <f>SUM(J84:J87,J89:J95)</f>
        <v>0</v>
      </c>
      <c r="K96" s="355"/>
    </row>
    <row r="97" spans="1:11" s="356" customFormat="1">
      <c r="A97" s="361" t="s">
        <v>1027</v>
      </c>
      <c r="B97" s="357">
        <f>'Sources and Uses Budget'!C97</f>
        <v>75598912</v>
      </c>
      <c r="C97" s="357">
        <f>SUM(C63+C70+C77+C81+C96)</f>
        <v>0</v>
      </c>
      <c r="D97" s="357">
        <f>SUM(D63+D70+D77+D81+D96)</f>
        <v>0</v>
      </c>
      <c r="E97" s="357">
        <f>'Sources and Uses Budget'!S97</f>
        <v>64022728</v>
      </c>
      <c r="F97" s="363">
        <f>SUM(+F63+F70+F81+F96)</f>
        <v>0</v>
      </c>
      <c r="G97" s="363">
        <f>SUM(+G63+G70+G81+G96)</f>
        <v>0</v>
      </c>
      <c r="H97" s="357">
        <f>'Sources and Uses Budget'!T97</f>
        <v>0</v>
      </c>
      <c r="I97" s="363">
        <f>SUM(I63+I70+I81+I96)</f>
        <v>0</v>
      </c>
      <c r="J97" s="363">
        <f>SUM(J63+J70+J81+J96)</f>
        <v>0</v>
      </c>
      <c r="K97" s="355"/>
    </row>
    <row r="98" spans="1:11" s="356" customFormat="1">
      <c r="A98" s="353" t="s">
        <v>774</v>
      </c>
      <c r="B98" s="354"/>
      <c r="C98" s="354"/>
      <c r="D98" s="354"/>
      <c r="E98" s="354"/>
      <c r="F98" s="354"/>
      <c r="G98" s="354"/>
      <c r="H98" s="354"/>
      <c r="I98" s="354"/>
      <c r="J98" s="354"/>
      <c r="K98" s="355"/>
    </row>
    <row r="99" spans="1:11" s="356" customFormat="1">
      <c r="A99" s="145" t="s">
        <v>775</v>
      </c>
      <c r="B99" s="357">
        <f>'Sources and Uses Budget'!C99</f>
        <v>9603409</v>
      </c>
      <c r="C99" s="358"/>
      <c r="D99" s="358"/>
      <c r="E99" s="357">
        <f>'Sources and Uses Budget'!S99</f>
        <v>9603409</v>
      </c>
      <c r="F99" s="358"/>
      <c r="G99" s="358"/>
      <c r="H99" s="357">
        <f>'Sources and Uses Budget'!T99</f>
        <v>0</v>
      </c>
      <c r="I99" s="358"/>
      <c r="J99" s="358"/>
      <c r="K99" s="355"/>
    </row>
    <row r="100" spans="1:11" s="356" customFormat="1">
      <c r="A100" s="283" t="s">
        <v>1632</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776</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1633</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777</v>
      </c>
      <c r="B104" s="357">
        <f>'Sources and Uses Budget'!C104</f>
        <v>9603409</v>
      </c>
      <c r="C104" s="357">
        <f>SUM(C99:C103)</f>
        <v>0</v>
      </c>
      <c r="D104" s="357">
        <f>SUM(D99:D103)</f>
        <v>0</v>
      </c>
      <c r="E104" s="357">
        <f>'Sources and Uses Budget'!S104</f>
        <v>9603409</v>
      </c>
      <c r="F104" s="363">
        <f>SUM(F99:F103)</f>
        <v>0</v>
      </c>
      <c r="G104" s="363">
        <f>SUM(G99:G103)</f>
        <v>0</v>
      </c>
      <c r="H104" s="357">
        <f>'Sources and Uses Budget'!T104</f>
        <v>0</v>
      </c>
      <c r="I104" s="363">
        <f>SUM(I99:I103)</f>
        <v>0</v>
      </c>
      <c r="J104" s="363">
        <f>SUM(J99:J103)</f>
        <v>0</v>
      </c>
      <c r="K104" s="355"/>
    </row>
    <row r="105" spans="1:11" s="356" customFormat="1">
      <c r="A105" s="361" t="s">
        <v>1028</v>
      </c>
      <c r="B105" s="357">
        <f>'Sources and Uses Budget'!C105</f>
        <v>85202321</v>
      </c>
      <c r="C105" s="363">
        <f>SUM(C97+C104)</f>
        <v>0</v>
      </c>
      <c r="D105" s="363">
        <f>SUM(D97+D104)</f>
        <v>0</v>
      </c>
      <c r="E105" s="357">
        <f>'Sources and Uses Budget'!S105</f>
        <v>73626137</v>
      </c>
      <c r="F105" s="363">
        <f>F97+F104</f>
        <v>0</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374</v>
      </c>
      <c r="E107" s="357">
        <f>'Sources and Uses Budget'!S107</f>
        <v>73626137</v>
      </c>
      <c r="F107" s="363">
        <f>F105+F106</f>
        <v>0</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75">
      <c r="A111" s="373"/>
      <c r="B111" s="371"/>
      <c r="C111" s="371"/>
      <c r="D111" s="371"/>
      <c r="J111" s="372"/>
      <c r="K111" s="355"/>
    </row>
    <row r="112" spans="1:11" s="356" customFormat="1" ht="12.75">
      <c r="A112" s="373"/>
      <c r="B112" s="371"/>
      <c r="C112" s="371"/>
      <c r="D112" s="371"/>
      <c r="J112" s="372"/>
      <c r="K112" s="355"/>
    </row>
    <row r="113" spans="1:11" s="356" customFormat="1" ht="14.25">
      <c r="A113" s="374"/>
      <c r="B113" s="371"/>
      <c r="C113" s="371"/>
      <c r="D113" s="371"/>
      <c r="J113" s="372"/>
      <c r="K113" s="355"/>
    </row>
    <row r="114" spans="1:11" s="356" customFormat="1" ht="12.75">
      <c r="A114" s="373"/>
      <c r="J114" s="372"/>
      <c r="K114" s="355"/>
    </row>
    <row r="115" spans="1:11" s="356" customFormat="1" ht="14.25">
      <c r="A115" s="374"/>
      <c r="J115" s="372"/>
      <c r="K115" s="355"/>
    </row>
    <row r="116" spans="1:11" s="356" customFormat="1" ht="14.2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25">
      <c r="A121" s="374"/>
      <c r="J121" s="372"/>
      <c r="K121" s="355"/>
    </row>
    <row r="122" spans="1:11" s="376" customFormat="1" ht="15.75">
      <c r="A122" s="375"/>
      <c r="J122" s="377"/>
      <c r="K122" s="378"/>
    </row>
    <row r="123" spans="1:11" s="356" customFormat="1">
      <c r="A123" s="379"/>
      <c r="J123" s="372"/>
      <c r="K123" s="355"/>
    </row>
    <row r="124" spans="1:11" s="356" customFormat="1">
      <c r="B124" s="380"/>
      <c r="D124" s="1906"/>
      <c r="E124" s="1846"/>
      <c r="F124" s="1846"/>
      <c r="G124" s="1846"/>
      <c r="H124" s="1846"/>
      <c r="I124" s="1846"/>
      <c r="J124" s="372"/>
      <c r="K124" s="355"/>
    </row>
    <row r="125" spans="1:11" s="356" customFormat="1" ht="12.75">
      <c r="A125" s="381"/>
      <c r="B125" s="380"/>
      <c r="C125" s="381"/>
      <c r="D125" s="1846"/>
      <c r="E125" s="1846"/>
      <c r="F125" s="1846"/>
      <c r="G125" s="1846"/>
      <c r="H125" s="1846"/>
      <c r="I125" s="1846"/>
      <c r="J125" s="372"/>
      <c r="K125" s="355"/>
    </row>
    <row r="126" spans="1:11" s="356" customFormat="1" ht="12.75">
      <c r="A126" s="381"/>
      <c r="B126" s="380"/>
      <c r="C126" s="381"/>
      <c r="D126" s="1846"/>
      <c r="E126" s="1846"/>
      <c r="F126" s="1846"/>
      <c r="G126" s="1846"/>
      <c r="H126" s="1846"/>
      <c r="I126" s="1846"/>
      <c r="J126" s="372"/>
      <c r="K126" s="355"/>
    </row>
    <row r="127" spans="1:11" s="356" customFormat="1" ht="12.75">
      <c r="A127" s="381"/>
      <c r="B127" s="380"/>
      <c r="C127" s="381"/>
      <c r="D127" s="382"/>
      <c r="E127" s="381"/>
      <c r="F127" s="381"/>
      <c r="G127" s="381"/>
      <c r="J127" s="372"/>
      <c r="K127" s="355"/>
    </row>
    <row r="128" spans="1:11" s="356" customFormat="1" ht="12.75">
      <c r="A128" s="381"/>
      <c r="B128" s="380"/>
      <c r="C128" s="381"/>
      <c r="D128" s="382"/>
      <c r="E128" s="381"/>
      <c r="F128" s="381"/>
      <c r="G128" s="381"/>
      <c r="J128" s="372"/>
      <c r="K128" s="355"/>
    </row>
    <row r="129" spans="1:11" s="356" customFormat="1" ht="12.75">
      <c r="A129" s="381"/>
      <c r="B129" s="380"/>
      <c r="C129" s="381"/>
      <c r="D129" s="381"/>
      <c r="E129" s="381"/>
      <c r="F129" s="381"/>
      <c r="G129" s="381"/>
      <c r="J129" s="372"/>
      <c r="K129" s="355"/>
    </row>
    <row r="130" spans="1:11" s="356" customFormat="1" ht="12.75">
      <c r="A130" s="381"/>
      <c r="B130" s="380"/>
      <c r="C130" s="381"/>
      <c r="D130" s="381"/>
      <c r="E130" s="381"/>
      <c r="F130" s="381"/>
      <c r="G130" s="381"/>
      <c r="J130" s="372"/>
      <c r="K130" s="355"/>
    </row>
    <row r="131" spans="1:11" s="356" customFormat="1" ht="12.75">
      <c r="A131" s="381"/>
      <c r="B131" s="383"/>
      <c r="C131" s="381"/>
      <c r="D131" s="381"/>
      <c r="E131" s="381"/>
      <c r="F131" s="381"/>
      <c r="G131" s="381"/>
      <c r="J131" s="372"/>
      <c r="K131" s="355"/>
    </row>
    <row r="132" spans="1:11" s="356" customFormat="1" ht="12.75">
      <c r="A132" s="384"/>
      <c r="B132" s="385"/>
      <c r="C132" s="381"/>
      <c r="D132" s="386"/>
      <c r="E132" s="381"/>
      <c r="F132" s="381"/>
      <c r="G132" s="381"/>
      <c r="J132" s="372"/>
      <c r="K132" s="355"/>
    </row>
    <row r="133" spans="1:11" s="356" customFormat="1" ht="12.75">
      <c r="A133" s="387"/>
      <c r="B133" s="381"/>
      <c r="C133" s="381"/>
      <c r="D133" s="381"/>
      <c r="E133" s="381"/>
      <c r="F133" s="381"/>
      <c r="G133" s="381"/>
      <c r="J133" s="372"/>
      <c r="K133" s="355"/>
    </row>
    <row r="134" spans="1:11" s="356" customFormat="1" ht="12.75">
      <c r="A134" s="387"/>
      <c r="B134" s="381"/>
      <c r="C134" s="381"/>
      <c r="D134" s="381"/>
      <c r="E134" s="381"/>
      <c r="F134" s="381"/>
      <c r="G134" s="381"/>
      <c r="J134" s="372"/>
      <c r="K134" s="355"/>
    </row>
    <row r="135" spans="1:11" s="356" customFormat="1" ht="12.75">
      <c r="A135" s="388"/>
      <c r="B135" s="381"/>
      <c r="C135" s="381"/>
      <c r="D135" s="381"/>
      <c r="E135" s="381"/>
      <c r="F135" s="381"/>
      <c r="G135" s="381"/>
      <c r="J135" s="372"/>
      <c r="K135" s="355"/>
    </row>
    <row r="136" spans="1:11" s="356" customFormat="1" ht="12.75">
      <c r="A136" s="373"/>
      <c r="B136" s="381"/>
      <c r="C136" s="381"/>
      <c r="D136" s="381"/>
      <c r="E136" s="381"/>
      <c r="F136" s="381"/>
      <c r="G136" s="381"/>
      <c r="J136" s="372"/>
      <c r="K136" s="355"/>
    </row>
    <row r="137" spans="1:11" ht="12.75">
      <c r="A137" s="387"/>
      <c r="B137" s="381"/>
      <c r="C137" s="381"/>
      <c r="D137" s="381"/>
      <c r="E137" s="381"/>
      <c r="F137" s="381"/>
      <c r="G137" s="381"/>
    </row>
    <row r="138" spans="1:11" ht="12" customHeight="1">
      <c r="A138" s="387"/>
      <c r="B138" s="381"/>
      <c r="C138" s="381"/>
      <c r="D138" s="381"/>
      <c r="E138" s="381"/>
      <c r="F138" s="381"/>
      <c r="G138" s="381"/>
    </row>
    <row r="139" spans="1:11" ht="12" customHeight="1">
      <c r="A139" s="1907"/>
      <c r="B139" s="1846"/>
      <c r="C139" s="1846"/>
      <c r="D139" s="352"/>
      <c r="E139" s="381"/>
      <c r="F139" s="381"/>
      <c r="G139" s="381"/>
    </row>
    <row r="140" spans="1:11" ht="12" customHeight="1">
      <c r="A140" s="1864"/>
      <c r="B140" s="1864"/>
      <c r="C140" s="1864"/>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tabColor theme="0" tint="-0.499984740745262"/>
    <pageSetUpPr fitToPage="1"/>
  </sheetPr>
  <dimension ref="A1:CP251"/>
  <sheetViews>
    <sheetView showGridLines="0" topLeftCell="A159" workbookViewId="0">
      <selection activeCell="AH190" sqref="AH190:BE191"/>
    </sheetView>
  </sheetViews>
  <sheetFormatPr defaultColWidth="2.7109375" defaultRowHeight="15.75" customHeight="1"/>
  <cols>
    <col min="1" max="8" width="2.7109375" style="1198"/>
    <col min="9" max="9" width="7.7109375" style="1198" customWidth="1"/>
    <col min="10" max="13" width="2.7109375" style="1198"/>
    <col min="14" max="14" width="4.7109375" style="1198" customWidth="1"/>
    <col min="15" max="19" width="2.7109375" style="1198"/>
    <col min="20" max="20" width="3.7109375" style="1198" customWidth="1"/>
    <col min="21" max="37" width="2.7109375" style="1198"/>
    <col min="38" max="38" width="3" style="1198" customWidth="1"/>
    <col min="39" max="45" width="2.7109375" style="1198"/>
    <col min="46" max="46" width="4.7109375" style="1198" customWidth="1"/>
    <col min="47" max="51" width="2.7109375" style="1198"/>
    <col min="52" max="52" width="3.42578125" style="1198" customWidth="1"/>
    <col min="53" max="53" width="2.7109375" style="1198"/>
    <col min="54" max="54" width="4.42578125" style="1198" customWidth="1"/>
    <col min="55" max="64" width="2.7109375" style="1198"/>
    <col min="65" max="65" width="10.42578125" style="1198" hidden="1" customWidth="1"/>
    <col min="66" max="66" width="5.42578125" style="1199" bestFit="1" customWidth="1"/>
    <col min="67" max="68" width="5.42578125" style="1199" customWidth="1"/>
    <col min="69" max="69" width="8" style="1199" customWidth="1"/>
    <col min="70" max="70" width="6" style="1199" customWidth="1"/>
    <col min="71" max="71" width="6.140625" style="1199" customWidth="1"/>
    <col min="72" max="76" width="5.42578125" style="1199" customWidth="1"/>
    <col min="77" max="77" width="6.140625" style="1199" bestFit="1" customWidth="1"/>
    <col min="78" max="78" width="5.42578125" style="1198" bestFit="1" customWidth="1"/>
    <col min="79" max="16384" width="2.7109375" style="1198"/>
  </cols>
  <sheetData>
    <row r="1" spans="1:65" ht="15.75" customHeight="1">
      <c r="A1" s="1919" t="s">
        <v>2381</v>
      </c>
      <c r="B1" s="1920"/>
      <c r="C1" s="1920"/>
      <c r="D1" s="1920"/>
      <c r="E1" s="1920"/>
      <c r="F1" s="1920"/>
      <c r="G1" s="1920"/>
      <c r="H1" s="1920"/>
      <c r="I1" s="1920"/>
      <c r="J1" s="1920"/>
      <c r="K1" s="1920"/>
      <c r="L1" s="1920"/>
      <c r="M1" s="1920"/>
      <c r="N1" s="1920"/>
      <c r="O1" s="1920"/>
      <c r="P1" s="1920"/>
      <c r="Q1" s="1920"/>
      <c r="R1" s="1920"/>
      <c r="S1" s="1920"/>
      <c r="T1" s="1920"/>
      <c r="U1" s="1920"/>
      <c r="V1" s="1920"/>
      <c r="W1" s="1920"/>
      <c r="X1" s="1920"/>
      <c r="Y1" s="1920"/>
      <c r="Z1" s="1920"/>
      <c r="AA1" s="1920"/>
      <c r="AB1" s="1920"/>
      <c r="AC1" s="1920"/>
      <c r="AD1" s="1920"/>
      <c r="AE1" s="1920"/>
      <c r="AF1" s="1920"/>
      <c r="AG1" s="1920"/>
      <c r="AH1" s="1920"/>
      <c r="AI1" s="1920"/>
      <c r="AJ1" s="1920"/>
      <c r="AK1" s="1920"/>
      <c r="AL1" s="1920"/>
      <c r="AM1" s="1920"/>
      <c r="AN1" s="1920"/>
      <c r="AO1" s="1920"/>
      <c r="AP1" s="1920"/>
      <c r="AQ1" s="1920"/>
      <c r="AR1" s="1920"/>
      <c r="AS1" s="1920"/>
      <c r="AT1" s="1920"/>
      <c r="AU1" s="1920"/>
      <c r="AV1" s="1920"/>
      <c r="AW1" s="1920"/>
      <c r="AX1" s="1920"/>
      <c r="AY1" s="1920"/>
      <c r="AZ1" s="1920"/>
      <c r="BA1" s="1920"/>
      <c r="BB1" s="1920"/>
      <c r="BC1" s="1920"/>
      <c r="BD1" s="1920"/>
      <c r="BE1" s="1921"/>
    </row>
    <row r="2" spans="1:65" ht="15.75" customHeight="1">
      <c r="A2" s="1922" t="s">
        <v>2380</v>
      </c>
      <c r="B2" s="1923"/>
      <c r="C2" s="1923"/>
      <c r="D2" s="1923"/>
      <c r="E2" s="1923"/>
      <c r="F2" s="1923"/>
      <c r="G2" s="1923"/>
      <c r="H2" s="1923"/>
      <c r="I2" s="1923"/>
      <c r="J2" s="1923"/>
      <c r="K2" s="1923"/>
      <c r="L2" s="1923"/>
      <c r="M2" s="1923"/>
      <c r="N2" s="1923"/>
      <c r="O2" s="1923"/>
      <c r="P2" s="1923"/>
      <c r="Q2" s="1923"/>
      <c r="R2" s="1923"/>
      <c r="S2" s="1923"/>
      <c r="T2" s="1923"/>
      <c r="U2" s="1923"/>
      <c r="V2" s="1923"/>
      <c r="W2" s="1923"/>
      <c r="X2" s="1923"/>
      <c r="Y2" s="1923"/>
      <c r="Z2" s="1923"/>
      <c r="AA2" s="1923"/>
      <c r="AB2" s="1923"/>
      <c r="AC2" s="1923"/>
      <c r="AD2" s="1923"/>
      <c r="AE2" s="1923"/>
      <c r="AF2" s="1923"/>
      <c r="AG2" s="1923"/>
      <c r="AH2" s="1923"/>
      <c r="AI2" s="1923"/>
      <c r="AJ2" s="1923"/>
      <c r="AK2" s="1923"/>
      <c r="AL2" s="1923"/>
      <c r="AM2" s="1923"/>
      <c r="AN2" s="1923"/>
      <c r="AO2" s="1923"/>
      <c r="AP2" s="1923"/>
      <c r="AQ2" s="1923"/>
      <c r="AR2" s="1923"/>
      <c r="AS2" s="1923"/>
      <c r="AT2" s="1923"/>
      <c r="AU2" s="1923"/>
      <c r="AV2" s="1923"/>
      <c r="AW2" s="1923"/>
      <c r="AX2" s="1923"/>
      <c r="AY2" s="1923"/>
      <c r="AZ2" s="1923"/>
      <c r="BA2" s="1923"/>
      <c r="BB2" s="1923"/>
      <c r="BC2" s="1923"/>
      <c r="BD2" s="1923"/>
      <c r="BE2" s="1924"/>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1925" t="s">
        <v>2581</v>
      </c>
      <c r="AY3" s="1926"/>
      <c r="AZ3" s="1926"/>
      <c r="BA3" s="1927"/>
      <c r="BB3" s="1925" t="s">
        <v>2582</v>
      </c>
      <c r="BC3" s="1926"/>
      <c r="BD3" s="1926"/>
      <c r="BE3" s="1927"/>
    </row>
    <row r="4" spans="1:65" ht="15.75" customHeight="1" thickBot="1">
      <c r="A4" s="1201"/>
      <c r="B4" s="1203" t="s">
        <v>654</v>
      </c>
      <c r="C4" s="1203"/>
      <c r="D4" s="1203"/>
      <c r="E4" s="1203"/>
      <c r="F4" s="1203"/>
      <c r="G4" s="1202"/>
      <c r="H4" s="1202"/>
      <c r="I4" s="1202"/>
      <c r="J4" s="1202"/>
      <c r="K4" s="1202"/>
      <c r="L4" s="1914" t="str">
        <f>IF(Application!H18="","",Application!H18)</f>
        <v xml:space="preserve">3590 Elm																												</v>
      </c>
      <c r="M4" s="1915"/>
      <c r="N4" s="1915"/>
      <c r="O4" s="1915"/>
      <c r="P4" s="1915"/>
      <c r="Q4" s="1915"/>
      <c r="R4" s="1915"/>
      <c r="S4" s="1915"/>
      <c r="T4" s="1915"/>
      <c r="U4" s="1915"/>
      <c r="V4" s="1915"/>
      <c r="W4" s="1915"/>
      <c r="X4" s="1915"/>
      <c r="Y4" s="1915"/>
      <c r="Z4" s="1915"/>
      <c r="AA4" s="1915"/>
      <c r="AB4" s="1915"/>
      <c r="AC4" s="1916"/>
      <c r="AD4" s="1202"/>
      <c r="AE4" s="1202"/>
      <c r="AF4" s="1928" t="s">
        <v>2379</v>
      </c>
      <c r="AG4" s="1928"/>
      <c r="AH4" s="1928"/>
      <c r="AI4" s="1928"/>
      <c r="AJ4" s="1928"/>
      <c r="AK4" s="1928"/>
      <c r="AL4" s="1928"/>
      <c r="AM4" s="1928"/>
      <c r="AN4" s="1928"/>
      <c r="AO4" s="1928"/>
      <c r="AP4" s="1929"/>
      <c r="AQ4" s="1930"/>
      <c r="AR4" s="1930"/>
      <c r="AS4" s="1930"/>
      <c r="AT4" s="1930"/>
      <c r="AU4" s="1930"/>
      <c r="AV4" s="1202"/>
      <c r="AW4" s="1202"/>
      <c r="AX4" s="1911" t="s">
        <v>2583</v>
      </c>
      <c r="AY4" s="1912"/>
      <c r="AZ4" s="1912"/>
      <c r="BA4" s="1913"/>
      <c r="BB4" s="1204">
        <f t="array" ref="BB4">ROUNDDOWN(SUM(IF((B19:I27&gt;0)*(B19:I27&lt;=30%),J19:O27,0))/J29,2)</f>
        <v>0.48</v>
      </c>
      <c r="BC4" s="1205"/>
      <c r="BD4" s="1205"/>
      <c r="BE4" s="1206"/>
    </row>
    <row r="5" spans="1:6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1928" t="s">
        <v>2378</v>
      </c>
      <c r="AG5" s="1928"/>
      <c r="AH5" s="1928"/>
      <c r="AI5" s="1928"/>
      <c r="AJ5" s="1928"/>
      <c r="AK5" s="1928"/>
      <c r="AL5" s="1928"/>
      <c r="AM5" s="1928"/>
      <c r="AN5" s="1928"/>
      <c r="AO5" s="1928"/>
      <c r="AP5" s="1929"/>
      <c r="AQ5" s="1930"/>
      <c r="AR5" s="1930"/>
      <c r="AS5" s="1930"/>
      <c r="AT5" s="1930"/>
      <c r="AU5" s="1930"/>
      <c r="AV5" s="1202"/>
      <c r="AW5" s="1202"/>
      <c r="AX5" s="1911" t="s">
        <v>2584</v>
      </c>
      <c r="AY5" s="1912"/>
      <c r="AZ5" s="1912"/>
      <c r="BA5" s="1913"/>
      <c r="BB5" s="1204">
        <f t="array" ref="BB5">ROUNDDOWN(SUM(IF((B19:I27&gt;0%)*(B19:I27&lt;=50%),J19:O27,0))/J29,2)</f>
        <v>0.5</v>
      </c>
      <c r="BC5" s="1205"/>
      <c r="BD5" s="1205"/>
      <c r="BE5" s="1206"/>
    </row>
    <row r="6" spans="1:65" ht="15.75" customHeight="1" thickBot="1">
      <c r="A6" s="1201"/>
      <c r="B6" s="1203" t="s">
        <v>2377</v>
      </c>
      <c r="C6" s="1202"/>
      <c r="D6" s="1202"/>
      <c r="E6" s="1202"/>
      <c r="F6" s="1202"/>
      <c r="G6" s="1202"/>
      <c r="H6" s="1202"/>
      <c r="I6" s="1202"/>
      <c r="J6" s="1202"/>
      <c r="K6" s="1202"/>
      <c r="L6" s="1914" t="str">
        <f>IF(Application!H16="","",Application!H16)</f>
        <v xml:space="preserve">Linc Housing Corporation (as Sole Member and Manager of Linc 3590 LLC, the Managing General Partner of Linc 3590, LP)																												</v>
      </c>
      <c r="M6" s="1915"/>
      <c r="N6" s="1915"/>
      <c r="O6" s="1915"/>
      <c r="P6" s="1915"/>
      <c r="Q6" s="1915"/>
      <c r="R6" s="1915"/>
      <c r="S6" s="1915"/>
      <c r="T6" s="1915"/>
      <c r="U6" s="1915"/>
      <c r="V6" s="1915"/>
      <c r="W6" s="1915"/>
      <c r="X6" s="1915"/>
      <c r="Y6" s="1915"/>
      <c r="Z6" s="1915"/>
      <c r="AA6" s="1915"/>
      <c r="AB6" s="1915"/>
      <c r="AC6" s="1916"/>
      <c r="AD6" s="1202"/>
      <c r="AE6" s="1202"/>
      <c r="AF6" s="1917" t="s">
        <v>2376</v>
      </c>
      <c r="AG6" s="1917"/>
      <c r="AH6" s="1917"/>
      <c r="AI6" s="1917"/>
      <c r="AJ6" s="1917"/>
      <c r="AK6" s="1917"/>
      <c r="AL6" s="1917"/>
      <c r="AM6" s="1917"/>
      <c r="AN6" s="1917"/>
      <c r="AO6" s="1917"/>
      <c r="AP6" s="1918"/>
      <c r="AQ6" s="1918"/>
      <c r="AR6" s="1918"/>
      <c r="AS6" s="1918"/>
      <c r="AT6" s="1918"/>
      <c r="AU6" s="1918"/>
      <c r="AV6" s="1202"/>
      <c r="AW6" s="1202"/>
      <c r="AX6" s="1911" t="s">
        <v>2585</v>
      </c>
      <c r="AY6" s="1912"/>
      <c r="AZ6" s="1912"/>
      <c r="BA6" s="1913"/>
      <c r="BB6" s="1204">
        <f t="array" ref="BB6">ROUNDDOWN(SUM(IF((B19:I27&gt;60%)*(B19:I27&lt;=80%),J19:O27,0))/J29,2)</f>
        <v>0.48</v>
      </c>
      <c r="BC6" s="1205"/>
      <c r="BD6" s="1205"/>
      <c r="BE6" s="1206"/>
    </row>
    <row r="7" spans="1:6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1917" t="s">
        <v>2375</v>
      </c>
      <c r="AG7" s="1917"/>
      <c r="AH7" s="1917"/>
      <c r="AI7" s="1917"/>
      <c r="AJ7" s="1917"/>
      <c r="AK7" s="1917"/>
      <c r="AL7" s="1917"/>
      <c r="AM7" s="1917"/>
      <c r="AN7" s="1917"/>
      <c r="AO7" s="1917"/>
      <c r="AP7" s="1918"/>
      <c r="AQ7" s="1918"/>
      <c r="AR7" s="1918"/>
      <c r="AS7" s="1918"/>
      <c r="AT7" s="1918"/>
      <c r="AU7" s="1918"/>
      <c r="AV7" s="1202"/>
      <c r="AW7" s="1202"/>
      <c r="AX7" s="1202"/>
      <c r="AY7" s="1202"/>
      <c r="AZ7" s="1202"/>
      <c r="BA7" s="1202"/>
      <c r="BB7" s="1202"/>
      <c r="BC7" s="1202"/>
      <c r="BD7" s="1202"/>
      <c r="BE7" s="1207"/>
    </row>
    <row r="8" spans="1:65" thickBot="1">
      <c r="A8" s="1201"/>
      <c r="B8" s="1203" t="s">
        <v>2622</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1931" t="str">
        <f>Application!T197</f>
        <v>No</v>
      </c>
      <c r="AC8" s="1932"/>
      <c r="AD8" s="1933"/>
      <c r="AE8" s="1202"/>
      <c r="AF8" s="1917" t="s">
        <v>2374</v>
      </c>
      <c r="AG8" s="1917"/>
      <c r="AH8" s="1917"/>
      <c r="AI8" s="1917"/>
      <c r="AJ8" s="1917"/>
      <c r="AK8" s="1917"/>
      <c r="AL8" s="1917"/>
      <c r="AM8" s="1917"/>
      <c r="AN8" s="1917"/>
      <c r="AO8" s="1917"/>
      <c r="AP8" s="1918" t="s">
        <v>2046</v>
      </c>
      <c r="AQ8" s="1918"/>
      <c r="AR8" s="1918"/>
      <c r="AS8" s="1918"/>
      <c r="AT8" s="1918"/>
      <c r="AU8" s="1918"/>
      <c r="AV8" s="1202"/>
      <c r="AW8" s="1202"/>
      <c r="AX8" s="1202"/>
      <c r="AY8" s="1202"/>
      <c r="AZ8" s="1202"/>
      <c r="BA8" s="1202"/>
      <c r="BB8" s="1202"/>
      <c r="BC8" s="1202"/>
      <c r="BD8" s="1202"/>
      <c r="BE8" s="1207"/>
      <c r="BM8" s="1198" t="s">
        <v>1949</v>
      </c>
    </row>
    <row r="9" spans="1:65" ht="1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1928" t="s">
        <v>2373</v>
      </c>
      <c r="AG9" s="1928"/>
      <c r="AH9" s="1928"/>
      <c r="AI9" s="1928"/>
      <c r="AJ9" s="1928"/>
      <c r="AK9" s="1928"/>
      <c r="AL9" s="1928"/>
      <c r="AM9" s="1928"/>
      <c r="AN9" s="1928"/>
      <c r="AO9" s="1928"/>
      <c r="AP9" s="1929"/>
      <c r="AQ9" s="1930"/>
      <c r="AR9" s="1930"/>
      <c r="AS9" s="1930"/>
      <c r="AT9" s="1930"/>
      <c r="AU9" s="1930"/>
      <c r="AV9" s="1202"/>
      <c r="AW9" s="1202"/>
      <c r="AX9" s="1202"/>
      <c r="AY9" s="1202"/>
      <c r="AZ9" s="1202"/>
      <c r="BA9" s="1202"/>
      <c r="BB9" s="1202"/>
      <c r="BC9" s="1202"/>
      <c r="BD9" s="1202"/>
      <c r="BE9" s="1207"/>
      <c r="BM9" s="1198" t="s">
        <v>2372</v>
      </c>
    </row>
    <row r="10" spans="1:65" ht="15">
      <c r="A10" s="1201"/>
      <c r="B10" s="1203" t="s">
        <v>2371</v>
      </c>
      <c r="C10" s="1203"/>
      <c r="D10" s="1203"/>
      <c r="E10" s="1203"/>
      <c r="F10" s="1203"/>
      <c r="G10" s="1203"/>
      <c r="H10" s="1203"/>
      <c r="I10" s="1203"/>
      <c r="J10" s="1203"/>
      <c r="K10" s="1203"/>
      <c r="L10" s="1203"/>
      <c r="M10" s="1202"/>
      <c r="N10" s="1946">
        <f>Application!AO635</f>
        <v>20547458</v>
      </c>
      <c r="O10" s="1946"/>
      <c r="P10" s="1946"/>
      <c r="Q10" s="1946"/>
      <c r="R10" s="1946"/>
      <c r="S10" s="1946"/>
      <c r="T10" s="1946"/>
      <c r="U10" s="1202"/>
      <c r="V10" s="1202"/>
      <c r="W10" s="1202"/>
      <c r="X10" s="1208"/>
      <c r="Y10" s="1208"/>
      <c r="Z10" s="1208"/>
      <c r="AA10" s="1208"/>
      <c r="AB10" s="1208"/>
      <c r="AC10" s="1208"/>
      <c r="AD10" s="1208"/>
      <c r="AE10" s="1208"/>
      <c r="AF10" s="1928" t="s">
        <v>2370</v>
      </c>
      <c r="AG10" s="1928"/>
      <c r="AH10" s="1928"/>
      <c r="AI10" s="1928"/>
      <c r="AJ10" s="1928"/>
      <c r="AK10" s="1928"/>
      <c r="AL10" s="1928"/>
      <c r="AM10" s="1928"/>
      <c r="AN10" s="1928"/>
      <c r="AO10" s="1928"/>
      <c r="AP10" s="1929"/>
      <c r="AQ10" s="1930"/>
      <c r="AR10" s="1930"/>
      <c r="AS10" s="1930"/>
      <c r="AT10" s="1930"/>
      <c r="AU10" s="1930"/>
      <c r="AV10" s="1208"/>
      <c r="AW10" s="1208"/>
      <c r="AX10" s="1202"/>
      <c r="AY10" s="1202"/>
      <c r="AZ10" s="1202"/>
      <c r="BA10" s="1202"/>
      <c r="BB10" s="1202"/>
      <c r="BC10" s="1202"/>
      <c r="BD10" s="1202"/>
      <c r="BE10" s="1207"/>
      <c r="BM10" s="1198" t="s">
        <v>2369</v>
      </c>
    </row>
    <row r="11" spans="1:65" ht="15">
      <c r="A11" s="1201"/>
      <c r="B11" s="1203" t="s">
        <v>2368</v>
      </c>
      <c r="C11" s="1203"/>
      <c r="D11" s="1203"/>
      <c r="E11" s="1203"/>
      <c r="F11" s="1203"/>
      <c r="G11" s="1203"/>
      <c r="H11" s="1203"/>
      <c r="I11" s="1203"/>
      <c r="J11" s="1203"/>
      <c r="K11" s="1203"/>
      <c r="L11" s="1203"/>
      <c r="M11" s="1202"/>
      <c r="N11" s="1946">
        <f>Application!AA943</f>
        <v>0</v>
      </c>
      <c r="O11" s="1946"/>
      <c r="P11" s="1946"/>
      <c r="Q11" s="1946"/>
      <c r="R11" s="1946"/>
      <c r="S11" s="1946"/>
      <c r="T11" s="1946"/>
      <c r="U11" s="1202"/>
      <c r="V11" s="1202"/>
      <c r="W11" s="1202"/>
      <c r="X11" s="1208"/>
      <c r="Y11" s="1208"/>
      <c r="Z11" s="1208"/>
      <c r="AA11" s="1208"/>
      <c r="AB11" s="1208"/>
      <c r="AC11" s="1208"/>
      <c r="AD11" s="1208"/>
      <c r="AE11" s="1208"/>
      <c r="AF11" s="1928" t="s">
        <v>2367</v>
      </c>
      <c r="AG11" s="1928"/>
      <c r="AH11" s="1928"/>
      <c r="AI11" s="1928"/>
      <c r="AJ11" s="1928"/>
      <c r="AK11" s="1928"/>
      <c r="AL11" s="1928"/>
      <c r="AM11" s="1928"/>
      <c r="AN11" s="1928"/>
      <c r="AO11" s="1928"/>
      <c r="AP11" s="1929"/>
      <c r="AQ11" s="1930"/>
      <c r="AR11" s="1930"/>
      <c r="AS11" s="1930"/>
      <c r="AT11" s="1930"/>
      <c r="AU11" s="1930"/>
      <c r="AV11" s="1208"/>
      <c r="AW11" s="1208"/>
      <c r="AX11" s="1202"/>
      <c r="AY11" s="1202"/>
      <c r="AZ11" s="1202"/>
      <c r="BA11" s="1202"/>
      <c r="BB11" s="1202"/>
      <c r="BC11" s="1202"/>
      <c r="BD11" s="1202"/>
      <c r="BE11" s="1207"/>
      <c r="BM11" s="1198" t="s">
        <v>2046</v>
      </c>
    </row>
    <row r="12" spans="1:6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2366</v>
      </c>
    </row>
    <row r="13" spans="1:65" thickBot="1">
      <c r="A13" s="1202"/>
      <c r="B13" s="1934" t="s">
        <v>2365</v>
      </c>
      <c r="C13" s="1935"/>
      <c r="D13" s="1935"/>
      <c r="E13" s="1935"/>
      <c r="F13" s="1935"/>
      <c r="G13" s="1935"/>
      <c r="H13" s="1935"/>
      <c r="I13" s="1935"/>
      <c r="J13" s="1935"/>
      <c r="K13" s="1935"/>
      <c r="L13" s="1935"/>
      <c r="M13" s="1935"/>
      <c r="N13" s="1935"/>
      <c r="O13" s="1935"/>
      <c r="P13" s="1936"/>
      <c r="Q13" s="1937" t="s">
        <v>667</v>
      </c>
      <c r="R13" s="1938"/>
      <c r="S13" s="1938"/>
      <c r="T13" s="1939"/>
      <c r="U13" s="1208"/>
      <c r="V13" s="1202"/>
      <c r="W13" s="1202"/>
      <c r="X13" s="1202"/>
      <c r="Y13" s="1202"/>
      <c r="Z13" s="1202"/>
      <c r="AA13" s="1940" t="s">
        <v>2364</v>
      </c>
      <c r="AB13" s="1940"/>
      <c r="AC13" s="1940"/>
      <c r="AD13" s="1940"/>
      <c r="AE13" s="1940"/>
      <c r="AF13" s="1940"/>
      <c r="AG13" s="1940"/>
      <c r="AH13" s="1940"/>
      <c r="AI13" s="1940"/>
      <c r="AJ13" s="1940"/>
      <c r="AK13" s="1940"/>
      <c r="AL13" s="1940"/>
      <c r="AM13" s="1940"/>
      <c r="AN13" s="1940"/>
      <c r="AO13" s="1941">
        <f>Application!W481</f>
        <v>0</v>
      </c>
      <c r="AP13" s="1942"/>
      <c r="AQ13" s="1942"/>
      <c r="AR13" s="1942"/>
      <c r="AS13" s="1942"/>
      <c r="AT13" s="1208"/>
      <c r="AU13" s="1208"/>
      <c r="AV13" s="1208"/>
      <c r="AW13" s="1208"/>
      <c r="AX13" s="1208"/>
      <c r="AY13" s="1208"/>
      <c r="AZ13" s="1208"/>
      <c r="BA13" s="1208"/>
      <c r="BB13" s="1208"/>
      <c r="BC13" s="1208"/>
      <c r="BD13" s="1208"/>
      <c r="BE13" s="1209"/>
      <c r="BM13" s="1198" t="s">
        <v>2363</v>
      </c>
    </row>
    <row r="14" spans="1:6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1943" t="s">
        <v>2362</v>
      </c>
      <c r="AB14" s="1943"/>
      <c r="AC14" s="1943"/>
      <c r="AD14" s="1943"/>
      <c r="AE14" s="1943"/>
      <c r="AF14" s="1943"/>
      <c r="AG14" s="1943"/>
      <c r="AH14" s="1943"/>
      <c r="AI14" s="1943"/>
      <c r="AJ14" s="1943"/>
      <c r="AK14" s="1943"/>
      <c r="AL14" s="1943"/>
      <c r="AM14" s="1943"/>
      <c r="AN14" s="1943"/>
      <c r="AO14" s="1944"/>
      <c r="AP14" s="1945"/>
      <c r="AQ14" s="1945"/>
      <c r="AR14" s="1945"/>
      <c r="AS14" s="1945"/>
      <c r="AT14" s="1208"/>
      <c r="AU14" s="1208"/>
      <c r="AV14" s="1208"/>
      <c r="AW14" s="1208"/>
      <c r="AX14" s="1208"/>
      <c r="AY14" s="1208"/>
      <c r="AZ14" s="1208"/>
      <c r="BA14" s="1208"/>
      <c r="BB14" s="1208"/>
      <c r="BC14" s="1208"/>
      <c r="BD14" s="1208"/>
      <c r="BE14" s="1209"/>
    </row>
    <row r="15" spans="1:65" thickBot="1">
      <c r="A15" s="1202"/>
      <c r="B15" s="1947" t="s">
        <v>2361</v>
      </c>
      <c r="C15" s="1948"/>
      <c r="D15" s="1948"/>
      <c r="E15" s="1948"/>
      <c r="F15" s="1948"/>
      <c r="G15" s="1948"/>
      <c r="H15" s="1948"/>
      <c r="I15" s="1948"/>
      <c r="J15" s="1948"/>
      <c r="K15" s="1948"/>
      <c r="L15" s="1948"/>
      <c r="M15" s="1948"/>
      <c r="N15" s="1948"/>
      <c r="O15" s="1948"/>
      <c r="P15" s="1948"/>
      <c r="Q15" s="1948"/>
      <c r="R15" s="1949"/>
      <c r="S15" s="1950" t="str">
        <f>IF(Application!AB215="","",Application!AB215)</f>
        <v/>
      </c>
      <c r="T15" s="1950"/>
      <c r="U15" s="1950"/>
      <c r="V15" s="1950"/>
      <c r="W15" s="1951"/>
      <c r="X15" s="1208"/>
      <c r="Y15" s="1202"/>
      <c r="Z15" s="1202"/>
      <c r="AA15" s="1940" t="s">
        <v>2360</v>
      </c>
      <c r="AB15" s="1940"/>
      <c r="AC15" s="1940"/>
      <c r="AD15" s="1940"/>
      <c r="AE15" s="1940"/>
      <c r="AF15" s="1940"/>
      <c r="AG15" s="1940"/>
      <c r="AH15" s="1940"/>
      <c r="AI15" s="1940"/>
      <c r="AJ15" s="1940"/>
      <c r="AK15" s="1940"/>
      <c r="AL15" s="1940"/>
      <c r="AM15" s="1940"/>
      <c r="AN15" s="1940"/>
      <c r="AO15" s="1944"/>
      <c r="AP15" s="1945"/>
      <c r="AQ15" s="1945"/>
      <c r="AR15" s="1945"/>
      <c r="AS15" s="1945"/>
      <c r="AT15" s="1208"/>
      <c r="AU15" s="1208"/>
      <c r="AV15" s="1208"/>
      <c r="AW15" s="1208"/>
      <c r="AX15" s="1208"/>
      <c r="AY15" s="1208"/>
      <c r="AZ15" s="1208"/>
      <c r="BA15" s="1208"/>
      <c r="BB15" s="1208"/>
      <c r="BC15" s="1208"/>
      <c r="BD15" s="1208"/>
      <c r="BE15" s="1209"/>
    </row>
    <row r="16" spans="1:6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5">
      <c r="A17" s="1202"/>
      <c r="B17" s="1952" t="s">
        <v>2359</v>
      </c>
      <c r="C17" s="1953"/>
      <c r="D17" s="1953"/>
      <c r="E17" s="1953"/>
      <c r="F17" s="1953"/>
      <c r="G17" s="1953"/>
      <c r="H17" s="1953"/>
      <c r="I17" s="1953"/>
      <c r="J17" s="1953"/>
      <c r="K17" s="1953"/>
      <c r="L17" s="1953"/>
      <c r="M17" s="1953"/>
      <c r="N17" s="1953"/>
      <c r="O17" s="1953"/>
      <c r="P17" s="1953"/>
      <c r="Q17" s="1953"/>
      <c r="R17" s="1953"/>
      <c r="S17" s="1953"/>
      <c r="T17" s="1953"/>
      <c r="U17" s="1953"/>
      <c r="V17" s="1953"/>
      <c r="W17" s="1953"/>
      <c r="X17" s="1953"/>
      <c r="Y17" s="1953"/>
      <c r="Z17" s="1953"/>
      <c r="AA17" s="1953"/>
      <c r="AB17" s="1953"/>
      <c r="AC17" s="1953"/>
      <c r="AD17" s="1953"/>
      <c r="AE17" s="1953"/>
      <c r="AF17" s="1953"/>
      <c r="AG17" s="1953"/>
      <c r="AH17" s="1953"/>
      <c r="AI17" s="1953"/>
      <c r="AJ17" s="1953"/>
      <c r="AK17" s="1953"/>
      <c r="AL17" s="1953"/>
      <c r="AM17" s="1953"/>
      <c r="AN17" s="1953"/>
      <c r="AO17" s="1953"/>
      <c r="AP17" s="1953"/>
      <c r="AQ17" s="1953"/>
      <c r="AR17" s="1953"/>
      <c r="AS17" s="1953"/>
      <c r="AT17" s="1953"/>
      <c r="AU17" s="1953"/>
      <c r="AV17" s="1953"/>
      <c r="AW17" s="1953"/>
      <c r="AX17" s="1953"/>
      <c r="AY17" s="1954"/>
      <c r="AZ17" s="1202"/>
      <c r="BA17" s="1202"/>
      <c r="BB17" s="1202"/>
      <c r="BC17" s="1202"/>
      <c r="BD17" s="1202"/>
      <c r="BE17" s="1209"/>
      <c r="BF17" s="1200"/>
    </row>
    <row r="18" spans="1:58" ht="15.75" customHeight="1">
      <c r="A18" s="1202"/>
      <c r="B18" s="1955" t="s">
        <v>2358</v>
      </c>
      <c r="C18" s="1956"/>
      <c r="D18" s="1956"/>
      <c r="E18" s="1956"/>
      <c r="F18" s="1956"/>
      <c r="G18" s="1956"/>
      <c r="H18" s="1956"/>
      <c r="I18" s="1957"/>
      <c r="J18" s="1958" t="s">
        <v>1572</v>
      </c>
      <c r="K18" s="1959"/>
      <c r="L18" s="1959"/>
      <c r="M18" s="1959"/>
      <c r="N18" s="1959"/>
      <c r="O18" s="1960"/>
      <c r="P18" s="1958" t="s">
        <v>323</v>
      </c>
      <c r="Q18" s="1959"/>
      <c r="R18" s="1959"/>
      <c r="S18" s="1959"/>
      <c r="T18" s="1959"/>
      <c r="U18" s="1960"/>
      <c r="V18" s="1958" t="s">
        <v>324</v>
      </c>
      <c r="W18" s="1959"/>
      <c r="X18" s="1959"/>
      <c r="Y18" s="1959"/>
      <c r="Z18" s="1959"/>
      <c r="AA18" s="1960"/>
      <c r="AB18" s="1958" t="s">
        <v>163</v>
      </c>
      <c r="AC18" s="1959"/>
      <c r="AD18" s="1959"/>
      <c r="AE18" s="1959"/>
      <c r="AF18" s="1959"/>
      <c r="AG18" s="1960"/>
      <c r="AH18" s="1958" t="s">
        <v>164</v>
      </c>
      <c r="AI18" s="1959"/>
      <c r="AJ18" s="1959"/>
      <c r="AK18" s="1959"/>
      <c r="AL18" s="1959"/>
      <c r="AM18" s="1960"/>
      <c r="AN18" s="1958" t="s">
        <v>165</v>
      </c>
      <c r="AO18" s="1959"/>
      <c r="AP18" s="1959"/>
      <c r="AQ18" s="1959"/>
      <c r="AR18" s="1959"/>
      <c r="AS18" s="1960"/>
      <c r="AT18" s="1958" t="s">
        <v>2357</v>
      </c>
      <c r="AU18" s="1959"/>
      <c r="AV18" s="1959"/>
      <c r="AW18" s="1959"/>
      <c r="AX18" s="1959"/>
      <c r="AY18" s="1961"/>
      <c r="AZ18" s="1202"/>
      <c r="BA18" s="1202"/>
      <c r="BB18" s="1202"/>
      <c r="BC18" s="1202"/>
      <c r="BD18" s="1202"/>
      <c r="BE18" s="1209"/>
    </row>
    <row r="19" spans="1:58" ht="15">
      <c r="A19" s="1202"/>
      <c r="B19" s="1962">
        <v>0.3</v>
      </c>
      <c r="C19" s="1963"/>
      <c r="D19" s="1963"/>
      <c r="E19" s="1963"/>
      <c r="F19" s="1963"/>
      <c r="G19" s="1963"/>
      <c r="H19" s="1963"/>
      <c r="I19" s="1964"/>
      <c r="J19" s="1965">
        <f t="shared" ref="J19:J24" si="0">SUM(P19:AS19)</f>
        <v>53</v>
      </c>
      <c r="K19" s="1966"/>
      <c r="L19" s="1966"/>
      <c r="M19" s="1966"/>
      <c r="N19" s="1966"/>
      <c r="O19" s="1967"/>
      <c r="P19" s="1965" cm="1">
        <f t="array" ref="P19">SUMPRODUCT((Application!$B$726:$B$760 = 'CalHFA Addendum'!P$18)*(Application!$AC$726:$AC$760 = 'CalHFA Addendum'!$B19),Application!$G$726:$G$760)</f>
        <v>14</v>
      </c>
      <c r="Q19" s="1966"/>
      <c r="R19" s="1966"/>
      <c r="S19" s="1966"/>
      <c r="T19" s="1966"/>
      <c r="U19" s="1967"/>
      <c r="V19" s="1965" cm="1">
        <f t="array" ref="V19">SUMPRODUCT((Application!$B$726:$B$760 = 'CalHFA Addendum'!V$18)*(Application!$AC$726:$AC$760 = 'CalHFA Addendum'!$B19),Application!$G$726:$G$760)</f>
        <v>39</v>
      </c>
      <c r="W19" s="1966"/>
      <c r="X19" s="1966"/>
      <c r="Y19" s="1966"/>
      <c r="Z19" s="1966"/>
      <c r="AA19" s="1967"/>
      <c r="AB19" s="1965" cm="1">
        <f t="array" ref="AB19">SUMPRODUCT((Application!$B$726:$B$760 = 'CalHFA Addendum'!AB$18)*(Application!$AC$726:$AC$760 = 'CalHFA Addendum'!$B19),Application!$G$726:$G$760)</f>
        <v>0</v>
      </c>
      <c r="AC19" s="1966"/>
      <c r="AD19" s="1966"/>
      <c r="AE19" s="1966"/>
      <c r="AF19" s="1966"/>
      <c r="AG19" s="1967"/>
      <c r="AH19" s="1965" cm="1">
        <f t="array" ref="AH19">SUMPRODUCT((Application!$B$726:$B$760 = 'CalHFA Addendum'!AH$18)*(Application!$AC$726:$AC$760 = 'CalHFA Addendum'!$B19),Application!$G$726:$G$760)</f>
        <v>0</v>
      </c>
      <c r="AI19" s="1966"/>
      <c r="AJ19" s="1966"/>
      <c r="AK19" s="1966"/>
      <c r="AL19" s="1966"/>
      <c r="AM19" s="1967"/>
      <c r="AN19" s="1965" cm="1">
        <f t="array" ref="AN19">SUMPRODUCT((Application!$B$726:$B$760 = 'CalHFA Addendum'!AN$18)*(Application!$AC$726:$AC$760 = 'CalHFA Addendum'!$B19),Application!$G$726:$G$760)</f>
        <v>0</v>
      </c>
      <c r="AO19" s="1966"/>
      <c r="AP19" s="1966"/>
      <c r="AQ19" s="1966"/>
      <c r="AR19" s="1966"/>
      <c r="AS19" s="1967"/>
      <c r="AT19" s="1968">
        <f>J19/$J$29</f>
        <v>0.48623853211009177</v>
      </c>
      <c r="AU19" s="1969"/>
      <c r="AV19" s="1969"/>
      <c r="AW19" s="1969"/>
      <c r="AX19" s="1969"/>
      <c r="AY19" s="1970"/>
      <c r="AZ19" s="1210"/>
      <c r="BA19" s="1202"/>
      <c r="BB19" s="1202"/>
      <c r="BC19" s="1202"/>
      <c r="BD19" s="1202"/>
      <c r="BE19" s="1209"/>
    </row>
    <row r="20" spans="1:58" ht="15" customHeight="1">
      <c r="A20" s="1202"/>
      <c r="B20" s="1962">
        <v>0.4</v>
      </c>
      <c r="C20" s="1963"/>
      <c r="D20" s="1963"/>
      <c r="E20" s="1963"/>
      <c r="F20" s="1963"/>
      <c r="G20" s="1963"/>
      <c r="H20" s="1963"/>
      <c r="I20" s="1964"/>
      <c r="J20" s="1965">
        <f t="shared" si="0"/>
        <v>0</v>
      </c>
      <c r="K20" s="1966"/>
      <c r="L20" s="1966"/>
      <c r="M20" s="1966"/>
      <c r="N20" s="1966"/>
      <c r="O20" s="1967"/>
      <c r="P20" s="1965" cm="1">
        <f t="array" ref="P20">SUMPRODUCT((Application!$B$726:$B$760 = 'CalHFA Addendum'!P$18)*(Application!$AC$726:$AC$760 = 'CalHFA Addendum'!$B20),Application!$G$726:$G$760)</f>
        <v>0</v>
      </c>
      <c r="Q20" s="1966"/>
      <c r="R20" s="1966"/>
      <c r="S20" s="1966"/>
      <c r="T20" s="1966"/>
      <c r="U20" s="1967"/>
      <c r="V20" s="1965" cm="1">
        <f t="array" ref="V20">SUMPRODUCT((Application!$B$726:$B$760 = 'CalHFA Addendum'!V$18)*(Application!$AC$726:$AC$760 = 'CalHFA Addendum'!$B20),Application!$G$726:$G$760)</f>
        <v>0</v>
      </c>
      <c r="W20" s="1966"/>
      <c r="X20" s="1966"/>
      <c r="Y20" s="1966"/>
      <c r="Z20" s="1966"/>
      <c r="AA20" s="1967"/>
      <c r="AB20" s="1965" cm="1">
        <f t="array" ref="AB20">SUMPRODUCT((Application!$B$726:$B$760 = 'CalHFA Addendum'!AB$18)*(Application!$AC$726:$AC$760 = 'CalHFA Addendum'!$B20),Application!$G$726:$G$760)</f>
        <v>0</v>
      </c>
      <c r="AC20" s="1966"/>
      <c r="AD20" s="1966"/>
      <c r="AE20" s="1966"/>
      <c r="AF20" s="1966"/>
      <c r="AG20" s="1967"/>
      <c r="AH20" s="1965" cm="1">
        <f t="array" ref="AH20">SUMPRODUCT((Application!$B$726:$B$760 = 'CalHFA Addendum'!AH$18)*(Application!$AC$726:$AC$760 = 'CalHFA Addendum'!$B20),Application!$G$726:$G$760)</f>
        <v>0</v>
      </c>
      <c r="AI20" s="1966"/>
      <c r="AJ20" s="1966"/>
      <c r="AK20" s="1966"/>
      <c r="AL20" s="1966"/>
      <c r="AM20" s="1967"/>
      <c r="AN20" s="1965" cm="1">
        <f t="array" ref="AN20">SUMPRODUCT((Application!$B$726:$B$760 = 'CalHFA Addendum'!AN$18)*(Application!$AC$726:$AC$760 = 'CalHFA Addendum'!$B20),Application!$G$726:$G$760)</f>
        <v>0</v>
      </c>
      <c r="AO20" s="1966"/>
      <c r="AP20" s="1966"/>
      <c r="AQ20" s="1966"/>
      <c r="AR20" s="1966"/>
      <c r="AS20" s="1967"/>
      <c r="AT20" s="1968">
        <f t="shared" ref="AT20:AT29" si="1">J20/$J$29</f>
        <v>0</v>
      </c>
      <c r="AU20" s="1969"/>
      <c r="AV20" s="1969"/>
      <c r="AW20" s="1969"/>
      <c r="AX20" s="1969"/>
      <c r="AY20" s="1970"/>
      <c r="AZ20" s="1202"/>
      <c r="BA20" s="1202"/>
      <c r="BB20" s="1202"/>
      <c r="BC20" s="1202"/>
      <c r="BD20" s="1202"/>
      <c r="BE20" s="1209"/>
    </row>
    <row r="21" spans="1:58" ht="15">
      <c r="A21" s="1202"/>
      <c r="B21" s="1962">
        <v>0.5</v>
      </c>
      <c r="C21" s="1963"/>
      <c r="D21" s="1963"/>
      <c r="E21" s="1963"/>
      <c r="F21" s="1963"/>
      <c r="G21" s="1963"/>
      <c r="H21" s="1963"/>
      <c r="I21" s="1964"/>
      <c r="J21" s="1965">
        <f t="shared" si="0"/>
        <v>2</v>
      </c>
      <c r="K21" s="1966"/>
      <c r="L21" s="1966"/>
      <c r="M21" s="1966"/>
      <c r="N21" s="1966"/>
      <c r="O21" s="1967"/>
      <c r="P21" s="1965" cm="1">
        <f t="array" ref="P21">SUMPRODUCT((Application!$B$726:$B$760 = 'CalHFA Addendum'!P$18)*(Application!$AC$726:$AC$760 = 'CalHFA Addendum'!$B21),Application!$G$726:$G$760)</f>
        <v>0</v>
      </c>
      <c r="Q21" s="1966"/>
      <c r="R21" s="1966"/>
      <c r="S21" s="1966"/>
      <c r="T21" s="1966"/>
      <c r="U21" s="1967"/>
      <c r="V21" s="1965" cm="1">
        <f t="array" ref="V21">SUMPRODUCT((Application!$B$726:$B$760 = 'CalHFA Addendum'!V$18)*(Application!$AC$726:$AC$760 = 'CalHFA Addendum'!$B21),Application!$G$726:$G$760)</f>
        <v>0</v>
      </c>
      <c r="W21" s="1966"/>
      <c r="X21" s="1966"/>
      <c r="Y21" s="1966"/>
      <c r="Z21" s="1966"/>
      <c r="AA21" s="1967"/>
      <c r="AB21" s="1965" cm="1">
        <f t="array" ref="AB21">SUMPRODUCT((Application!$B$726:$B$760 = 'CalHFA Addendum'!AB$18)*(Application!$AC$726:$AC$760 = 'CalHFA Addendum'!$B21),Application!$G$726:$G$760)</f>
        <v>2</v>
      </c>
      <c r="AC21" s="1966"/>
      <c r="AD21" s="1966"/>
      <c r="AE21" s="1966"/>
      <c r="AF21" s="1966"/>
      <c r="AG21" s="1967"/>
      <c r="AH21" s="1965" cm="1">
        <f t="array" ref="AH21">SUMPRODUCT((Application!$B$726:$B$760 = 'CalHFA Addendum'!AH$18)*(Application!$AC$726:$AC$760 = 'CalHFA Addendum'!$B21),Application!$G$726:$G$760)</f>
        <v>0</v>
      </c>
      <c r="AI21" s="1966"/>
      <c r="AJ21" s="1966"/>
      <c r="AK21" s="1966"/>
      <c r="AL21" s="1966"/>
      <c r="AM21" s="1967"/>
      <c r="AN21" s="1965" cm="1">
        <f t="array" ref="AN21">SUMPRODUCT((Application!$B$726:$B$760 = 'CalHFA Addendum'!AN$18)*(Application!$AC$726:$AC$760 = 'CalHFA Addendum'!$B21),Application!$G$726:$G$760)</f>
        <v>0</v>
      </c>
      <c r="AO21" s="1966"/>
      <c r="AP21" s="1966"/>
      <c r="AQ21" s="1966"/>
      <c r="AR21" s="1966"/>
      <c r="AS21" s="1967"/>
      <c r="AT21" s="1968">
        <f t="shared" si="1"/>
        <v>1.834862385321101E-2</v>
      </c>
      <c r="AU21" s="1969"/>
      <c r="AV21" s="1969"/>
      <c r="AW21" s="1969"/>
      <c r="AX21" s="1969"/>
      <c r="AY21" s="1970"/>
      <c r="AZ21" s="1202"/>
      <c r="BA21" s="1202"/>
      <c r="BB21" s="1202"/>
      <c r="BC21" s="1202"/>
      <c r="BD21" s="1202"/>
      <c r="BE21" s="1209"/>
    </row>
    <row r="22" spans="1:58" ht="15">
      <c r="A22" s="1202"/>
      <c r="B22" s="1962">
        <v>0.6</v>
      </c>
      <c r="C22" s="1963"/>
      <c r="D22" s="1963"/>
      <c r="E22" s="1963"/>
      <c r="F22" s="1963"/>
      <c r="G22" s="1963"/>
      <c r="H22" s="1963"/>
      <c r="I22" s="1964"/>
      <c r="J22" s="1965">
        <f t="shared" si="0"/>
        <v>0</v>
      </c>
      <c r="K22" s="1966"/>
      <c r="L22" s="1966"/>
      <c r="M22" s="1966"/>
      <c r="N22" s="1966"/>
      <c r="O22" s="1967"/>
      <c r="P22" s="1965" cm="1">
        <f t="array" ref="P22">SUMPRODUCT((Application!$B$726:$B$760 = 'CalHFA Addendum'!P$18)*(Application!$AC$726:$AC$760 = 'CalHFA Addendum'!$B22),Application!$G$726:$G$760)</f>
        <v>0</v>
      </c>
      <c r="Q22" s="1966"/>
      <c r="R22" s="1966"/>
      <c r="S22" s="1966"/>
      <c r="T22" s="1966"/>
      <c r="U22" s="1967"/>
      <c r="V22" s="1965" cm="1">
        <f t="array" ref="V22">SUMPRODUCT((Application!$B$726:$B$760 = 'CalHFA Addendum'!V$18)*(Application!$AC$726:$AC$760 = 'CalHFA Addendum'!$B22),Application!$G$726:$G$760)</f>
        <v>0</v>
      </c>
      <c r="W22" s="1966"/>
      <c r="X22" s="1966"/>
      <c r="Y22" s="1966"/>
      <c r="Z22" s="1966"/>
      <c r="AA22" s="1967"/>
      <c r="AB22" s="1965" cm="1">
        <f t="array" ref="AB22">SUMPRODUCT((Application!$B$726:$B$760 = 'CalHFA Addendum'!AB$18)*(Application!$AC$726:$AC$760 = 'CalHFA Addendum'!$B22),Application!$G$726:$G$760)</f>
        <v>0</v>
      </c>
      <c r="AC22" s="1966"/>
      <c r="AD22" s="1966"/>
      <c r="AE22" s="1966"/>
      <c r="AF22" s="1966"/>
      <c r="AG22" s="1967"/>
      <c r="AH22" s="1965" cm="1">
        <f t="array" ref="AH22">SUMPRODUCT((Application!$B$726:$B$760 = 'CalHFA Addendum'!AH$18)*(Application!$AC$726:$AC$760 = 'CalHFA Addendum'!$B22),Application!$G$726:$G$760)</f>
        <v>0</v>
      </c>
      <c r="AI22" s="1966"/>
      <c r="AJ22" s="1966"/>
      <c r="AK22" s="1966"/>
      <c r="AL22" s="1966"/>
      <c r="AM22" s="1967"/>
      <c r="AN22" s="1965" cm="1">
        <f t="array" ref="AN22">SUMPRODUCT((Application!$B$726:$B$760 = 'CalHFA Addendum'!AN$18)*(Application!$AC$726:$AC$760 = 'CalHFA Addendum'!$B22),Application!$G$726:$G$760)</f>
        <v>0</v>
      </c>
      <c r="AO22" s="1966"/>
      <c r="AP22" s="1966"/>
      <c r="AQ22" s="1966"/>
      <c r="AR22" s="1966"/>
      <c r="AS22" s="1967"/>
      <c r="AT22" s="1968">
        <f t="shared" si="1"/>
        <v>0</v>
      </c>
      <c r="AU22" s="1969"/>
      <c r="AV22" s="1969"/>
      <c r="AW22" s="1969"/>
      <c r="AX22" s="1969"/>
      <c r="AY22" s="1970"/>
      <c r="AZ22" s="1202"/>
      <c r="BA22" s="1202"/>
      <c r="BB22" s="1202"/>
      <c r="BC22" s="1202"/>
      <c r="BD22" s="1202"/>
      <c r="BE22" s="1209"/>
    </row>
    <row r="23" spans="1:58" ht="15">
      <c r="A23" s="1202"/>
      <c r="B23" s="1962">
        <v>0.7</v>
      </c>
      <c r="C23" s="1963"/>
      <c r="D23" s="1963"/>
      <c r="E23" s="1963"/>
      <c r="F23" s="1963"/>
      <c r="G23" s="1963"/>
      <c r="H23" s="1963"/>
      <c r="I23" s="1964"/>
      <c r="J23" s="1965">
        <f t="shared" si="0"/>
        <v>53</v>
      </c>
      <c r="K23" s="1966"/>
      <c r="L23" s="1966"/>
      <c r="M23" s="1966"/>
      <c r="N23" s="1966"/>
      <c r="O23" s="1967"/>
      <c r="P23" s="1965" cm="1">
        <f t="array" ref="P23">SUMPRODUCT((Application!$B$726:$B$760 = 'CalHFA Addendum'!P$18)*(Application!$AC$726:$AC$760 = 'CalHFA Addendum'!$B23),Application!$G$726:$G$760)</f>
        <v>0</v>
      </c>
      <c r="Q23" s="1966"/>
      <c r="R23" s="1966"/>
      <c r="S23" s="1966"/>
      <c r="T23" s="1966"/>
      <c r="U23" s="1967"/>
      <c r="V23" s="1965" cm="1">
        <f t="array" ref="V23">SUMPRODUCT((Application!$B$726:$B$760 = 'CalHFA Addendum'!V$18)*(Application!$AC$726:$AC$760 = 'CalHFA Addendum'!$B23),Application!$G$726:$G$760)</f>
        <v>0</v>
      </c>
      <c r="W23" s="1966"/>
      <c r="X23" s="1966"/>
      <c r="Y23" s="1966"/>
      <c r="Z23" s="1966"/>
      <c r="AA23" s="1967"/>
      <c r="AB23" s="1965" cm="1">
        <f t="array" ref="AB23">SUMPRODUCT((Application!$B$726:$B$760 = 'CalHFA Addendum'!AB$18)*(Application!$AC$726:$AC$760 = 'CalHFA Addendum'!$B23),Application!$G$726:$G$760)</f>
        <v>26</v>
      </c>
      <c r="AC23" s="1966"/>
      <c r="AD23" s="1966"/>
      <c r="AE23" s="1966"/>
      <c r="AF23" s="1966"/>
      <c r="AG23" s="1967"/>
      <c r="AH23" s="1965" cm="1">
        <f t="array" ref="AH23">SUMPRODUCT((Application!$B$726:$B$760 = 'CalHFA Addendum'!AH$18)*(Application!$AC$726:$AC$760 = 'CalHFA Addendum'!$B23),Application!$G$726:$G$760)</f>
        <v>27</v>
      </c>
      <c r="AI23" s="1966"/>
      <c r="AJ23" s="1966"/>
      <c r="AK23" s="1966"/>
      <c r="AL23" s="1966"/>
      <c r="AM23" s="1967"/>
      <c r="AN23" s="1965" cm="1">
        <f t="array" ref="AN23">SUMPRODUCT((Application!$B$726:$B$760 = 'CalHFA Addendum'!AN$18)*(Application!$AC$726:$AC$760 = 'CalHFA Addendum'!$B23),Application!$G$726:$G$760)</f>
        <v>0</v>
      </c>
      <c r="AO23" s="1966"/>
      <c r="AP23" s="1966"/>
      <c r="AQ23" s="1966"/>
      <c r="AR23" s="1966"/>
      <c r="AS23" s="1967"/>
      <c r="AT23" s="1968">
        <f t="shared" si="1"/>
        <v>0.48623853211009177</v>
      </c>
      <c r="AU23" s="1969"/>
      <c r="AV23" s="1969"/>
      <c r="AW23" s="1969"/>
      <c r="AX23" s="1969"/>
      <c r="AY23" s="1970"/>
      <c r="AZ23" s="1202"/>
      <c r="BA23" s="1202"/>
      <c r="BB23" s="1202"/>
      <c r="BC23" s="1202"/>
      <c r="BD23" s="1202"/>
      <c r="BE23" s="1209"/>
    </row>
    <row r="24" spans="1:58" ht="15">
      <c r="A24" s="1202"/>
      <c r="B24" s="1962">
        <v>0.8</v>
      </c>
      <c r="C24" s="1963"/>
      <c r="D24" s="1963"/>
      <c r="E24" s="1963"/>
      <c r="F24" s="1963"/>
      <c r="G24" s="1963"/>
      <c r="H24" s="1963"/>
      <c r="I24" s="1964"/>
      <c r="J24" s="1965">
        <f t="shared" si="0"/>
        <v>0</v>
      </c>
      <c r="K24" s="1966"/>
      <c r="L24" s="1966"/>
      <c r="M24" s="1966"/>
      <c r="N24" s="1966"/>
      <c r="O24" s="1967"/>
      <c r="P24" s="1965" cm="1">
        <f t="array" ref="P24">SUMPRODUCT((Application!$B$726:$B$760 = 'CalHFA Addendum'!P$18)*(Application!$AC$726:$AC$760 = 'CalHFA Addendum'!$B24),Application!$G$726:$G$760)</f>
        <v>0</v>
      </c>
      <c r="Q24" s="1966"/>
      <c r="R24" s="1966"/>
      <c r="S24" s="1966"/>
      <c r="T24" s="1966"/>
      <c r="U24" s="1967"/>
      <c r="V24" s="1965" cm="1">
        <f t="array" ref="V24">SUMPRODUCT((Application!$B$726:$B$760 = 'CalHFA Addendum'!V$18)*(Application!$AC$726:$AC$760 = 'CalHFA Addendum'!$B24),Application!$G$726:$G$760)</f>
        <v>0</v>
      </c>
      <c r="W24" s="1966"/>
      <c r="X24" s="1966"/>
      <c r="Y24" s="1966"/>
      <c r="Z24" s="1966"/>
      <c r="AA24" s="1967"/>
      <c r="AB24" s="1965" cm="1">
        <f t="array" ref="AB24">SUMPRODUCT((Application!$B$726:$B$760 = 'CalHFA Addendum'!AB$18)*(Application!$AC$726:$AC$760 = 'CalHFA Addendum'!$B24),Application!$G$726:$G$760)</f>
        <v>0</v>
      </c>
      <c r="AC24" s="1966"/>
      <c r="AD24" s="1966"/>
      <c r="AE24" s="1966"/>
      <c r="AF24" s="1966"/>
      <c r="AG24" s="1967"/>
      <c r="AH24" s="1965" cm="1">
        <f t="array" ref="AH24">SUMPRODUCT((Application!$B$726:$B$760 = 'CalHFA Addendum'!AH$18)*(Application!$AC$726:$AC$760 = 'CalHFA Addendum'!$B24),Application!$G$726:$G$760)</f>
        <v>0</v>
      </c>
      <c r="AI24" s="1966"/>
      <c r="AJ24" s="1966"/>
      <c r="AK24" s="1966"/>
      <c r="AL24" s="1966"/>
      <c r="AM24" s="1967"/>
      <c r="AN24" s="1965" cm="1">
        <f t="array" ref="AN24">SUMPRODUCT((Application!$B$726:$B$760 = 'CalHFA Addendum'!AN$18)*(Application!$AC$726:$AC$760 = 'CalHFA Addendum'!$B24),Application!$G$726:$G$760)</f>
        <v>0</v>
      </c>
      <c r="AO24" s="1966"/>
      <c r="AP24" s="1966"/>
      <c r="AQ24" s="1966"/>
      <c r="AR24" s="1966"/>
      <c r="AS24" s="1967"/>
      <c r="AT24" s="1968">
        <f t="shared" si="1"/>
        <v>0</v>
      </c>
      <c r="AU24" s="1969"/>
      <c r="AV24" s="1969"/>
      <c r="AW24" s="1969"/>
      <c r="AX24" s="1969"/>
      <c r="AY24" s="1970"/>
      <c r="AZ24" s="1202"/>
      <c r="BA24" s="1202"/>
      <c r="BB24" s="1202"/>
      <c r="BC24" s="1202"/>
      <c r="BD24" s="1202"/>
      <c r="BE24" s="1209"/>
    </row>
    <row r="25" spans="1:58" ht="15">
      <c r="A25" s="1202"/>
      <c r="B25" s="1962">
        <v>0.9</v>
      </c>
      <c r="C25" s="1963"/>
      <c r="D25" s="1963"/>
      <c r="E25" s="1963"/>
      <c r="F25" s="1963"/>
      <c r="G25" s="1963"/>
      <c r="H25" s="1963"/>
      <c r="I25" s="1964"/>
      <c r="J25" s="1971"/>
      <c r="K25" s="1972"/>
      <c r="L25" s="1972"/>
      <c r="M25" s="1972"/>
      <c r="N25" s="1972"/>
      <c r="O25" s="1973"/>
      <c r="P25" s="1971"/>
      <c r="Q25" s="1972"/>
      <c r="R25" s="1972"/>
      <c r="S25" s="1972"/>
      <c r="T25" s="1972"/>
      <c r="U25" s="1973"/>
      <c r="V25" s="1971"/>
      <c r="W25" s="1972"/>
      <c r="X25" s="1972"/>
      <c r="Y25" s="1972"/>
      <c r="Z25" s="1972"/>
      <c r="AA25" s="1973"/>
      <c r="AB25" s="1971"/>
      <c r="AC25" s="1972"/>
      <c r="AD25" s="1972"/>
      <c r="AE25" s="1972"/>
      <c r="AF25" s="1972"/>
      <c r="AG25" s="1973"/>
      <c r="AH25" s="1971"/>
      <c r="AI25" s="1972"/>
      <c r="AJ25" s="1972"/>
      <c r="AK25" s="1972"/>
      <c r="AL25" s="1972"/>
      <c r="AM25" s="1973"/>
      <c r="AN25" s="1971"/>
      <c r="AO25" s="1972"/>
      <c r="AP25" s="1972"/>
      <c r="AQ25" s="1972"/>
      <c r="AR25" s="1972"/>
      <c r="AS25" s="1973"/>
      <c r="AT25" s="1968">
        <f t="shared" si="1"/>
        <v>0</v>
      </c>
      <c r="AU25" s="1969"/>
      <c r="AV25" s="1969"/>
      <c r="AW25" s="1969"/>
      <c r="AX25" s="1969"/>
      <c r="AY25" s="1970"/>
      <c r="AZ25" s="1202"/>
      <c r="BA25" s="1202"/>
      <c r="BB25" s="1202"/>
      <c r="BC25" s="1202"/>
      <c r="BD25" s="1202"/>
      <c r="BE25" s="1209"/>
    </row>
    <row r="26" spans="1:58" ht="15">
      <c r="A26" s="1202"/>
      <c r="B26" s="1962">
        <v>1</v>
      </c>
      <c r="C26" s="1963"/>
      <c r="D26" s="1963"/>
      <c r="E26" s="1963"/>
      <c r="F26" s="1963"/>
      <c r="G26" s="1963"/>
      <c r="H26" s="1963"/>
      <c r="I26" s="1964"/>
      <c r="J26" s="1971"/>
      <c r="K26" s="1972"/>
      <c r="L26" s="1972"/>
      <c r="M26" s="1972"/>
      <c r="N26" s="1972"/>
      <c r="O26" s="1973"/>
      <c r="P26" s="1971"/>
      <c r="Q26" s="1972"/>
      <c r="R26" s="1972"/>
      <c r="S26" s="1972"/>
      <c r="T26" s="1972"/>
      <c r="U26" s="1973"/>
      <c r="V26" s="1971"/>
      <c r="W26" s="1972"/>
      <c r="X26" s="1972"/>
      <c r="Y26" s="1972"/>
      <c r="Z26" s="1972"/>
      <c r="AA26" s="1973"/>
      <c r="AB26" s="1971"/>
      <c r="AC26" s="1972"/>
      <c r="AD26" s="1972"/>
      <c r="AE26" s="1972"/>
      <c r="AF26" s="1972"/>
      <c r="AG26" s="1973"/>
      <c r="AH26" s="1971"/>
      <c r="AI26" s="1972"/>
      <c r="AJ26" s="1972"/>
      <c r="AK26" s="1972"/>
      <c r="AL26" s="1972"/>
      <c r="AM26" s="1973"/>
      <c r="AN26" s="1971"/>
      <c r="AO26" s="1972"/>
      <c r="AP26" s="1972"/>
      <c r="AQ26" s="1972"/>
      <c r="AR26" s="1972"/>
      <c r="AS26" s="1973"/>
      <c r="AT26" s="1968">
        <f t="shared" si="1"/>
        <v>0</v>
      </c>
      <c r="AU26" s="1969"/>
      <c r="AV26" s="1969"/>
      <c r="AW26" s="1969"/>
      <c r="AX26" s="1969"/>
      <c r="AY26" s="1970"/>
      <c r="AZ26" s="1202"/>
      <c r="BA26" s="1202"/>
      <c r="BB26" s="1202"/>
      <c r="BC26" s="1202"/>
      <c r="BD26" s="1202"/>
      <c r="BE26" s="1209"/>
    </row>
    <row r="27" spans="1:58" ht="15">
      <c r="A27" s="1202"/>
      <c r="B27" s="1962">
        <v>1.2</v>
      </c>
      <c r="C27" s="1963"/>
      <c r="D27" s="1963"/>
      <c r="E27" s="1963"/>
      <c r="F27" s="1963"/>
      <c r="G27" s="1963"/>
      <c r="H27" s="1963"/>
      <c r="I27" s="1964"/>
      <c r="J27" s="1971"/>
      <c r="K27" s="1972"/>
      <c r="L27" s="1972"/>
      <c r="M27" s="1972"/>
      <c r="N27" s="1972"/>
      <c r="O27" s="1973"/>
      <c r="P27" s="1971"/>
      <c r="Q27" s="1972"/>
      <c r="R27" s="1972"/>
      <c r="S27" s="1972"/>
      <c r="T27" s="1972"/>
      <c r="U27" s="1973"/>
      <c r="V27" s="1971"/>
      <c r="W27" s="1972"/>
      <c r="X27" s="1972"/>
      <c r="Y27" s="1972"/>
      <c r="Z27" s="1972"/>
      <c r="AA27" s="1973"/>
      <c r="AB27" s="1971"/>
      <c r="AC27" s="1972"/>
      <c r="AD27" s="1972"/>
      <c r="AE27" s="1972"/>
      <c r="AF27" s="1972"/>
      <c r="AG27" s="1973"/>
      <c r="AH27" s="1971"/>
      <c r="AI27" s="1972"/>
      <c r="AJ27" s="1972"/>
      <c r="AK27" s="1972"/>
      <c r="AL27" s="1972"/>
      <c r="AM27" s="1973"/>
      <c r="AN27" s="1971"/>
      <c r="AO27" s="1972"/>
      <c r="AP27" s="1972"/>
      <c r="AQ27" s="1972"/>
      <c r="AR27" s="1972"/>
      <c r="AS27" s="1973"/>
      <c r="AT27" s="1968">
        <f t="shared" si="1"/>
        <v>0</v>
      </c>
      <c r="AU27" s="1969"/>
      <c r="AV27" s="1969"/>
      <c r="AW27" s="1969"/>
      <c r="AX27" s="1969"/>
      <c r="AY27" s="1970"/>
      <c r="AZ27" s="1202"/>
      <c r="BA27" s="1202"/>
      <c r="BB27" s="1202"/>
      <c r="BC27" s="1202"/>
      <c r="BD27" s="1202"/>
      <c r="BE27" s="1209"/>
    </row>
    <row r="28" spans="1:58" thickBot="1">
      <c r="A28" s="1202"/>
      <c r="B28" s="1974" t="s">
        <v>2356</v>
      </c>
      <c r="C28" s="1975"/>
      <c r="D28" s="1975"/>
      <c r="E28" s="1975"/>
      <c r="F28" s="1975"/>
      <c r="G28" s="1975"/>
      <c r="H28" s="1975"/>
      <c r="I28" s="1976"/>
      <c r="J28" s="1977">
        <f>SUM(P28:AS28)</f>
        <v>1</v>
      </c>
      <c r="K28" s="1978"/>
      <c r="L28" s="1978"/>
      <c r="M28" s="1978"/>
      <c r="N28" s="1978"/>
      <c r="O28" s="1979"/>
      <c r="P28" s="1977">
        <f>_xlfn.IFNA(VLOOKUP(P$18,Application!$J$781:$S$784,6,FALSE), 0)</f>
        <v>0</v>
      </c>
      <c r="Q28" s="1978"/>
      <c r="R28" s="1978"/>
      <c r="S28" s="1978"/>
      <c r="T28" s="1978"/>
      <c r="U28" s="1979"/>
      <c r="V28" s="1977">
        <f>_xlfn.IFNA(VLOOKUP(V$18,Application!$J$781:$S$784,6,FALSE), 0)</f>
        <v>0</v>
      </c>
      <c r="W28" s="1978"/>
      <c r="X28" s="1978"/>
      <c r="Y28" s="1978"/>
      <c r="Z28" s="1978"/>
      <c r="AA28" s="1979"/>
      <c r="AB28" s="1977">
        <f>_xlfn.IFNA(VLOOKUP(AB$18,Application!$J$781:$S$784,6,FALSE), 0)</f>
        <v>0</v>
      </c>
      <c r="AC28" s="1978"/>
      <c r="AD28" s="1978"/>
      <c r="AE28" s="1978"/>
      <c r="AF28" s="1978"/>
      <c r="AG28" s="1979"/>
      <c r="AH28" s="1977">
        <f>_xlfn.IFNA(VLOOKUP(AH$18,Application!$J$781:$S$784,6,FALSE), 0)</f>
        <v>1</v>
      </c>
      <c r="AI28" s="1978"/>
      <c r="AJ28" s="1978"/>
      <c r="AK28" s="1978"/>
      <c r="AL28" s="1978"/>
      <c r="AM28" s="1979"/>
      <c r="AN28" s="1977">
        <f>_xlfn.IFNA(VLOOKUP(AN$18,Application!$J$781:$S$784,6,FALSE), 0)</f>
        <v>0</v>
      </c>
      <c r="AO28" s="1978"/>
      <c r="AP28" s="1978"/>
      <c r="AQ28" s="1978"/>
      <c r="AR28" s="1978"/>
      <c r="AS28" s="1979"/>
      <c r="AT28" s="1980">
        <f t="shared" si="1"/>
        <v>9.1743119266055051E-3</v>
      </c>
      <c r="AU28" s="1981"/>
      <c r="AV28" s="1981"/>
      <c r="AW28" s="1981"/>
      <c r="AX28" s="1981"/>
      <c r="AY28" s="1982"/>
      <c r="AZ28" s="1202"/>
      <c r="BA28" s="1202"/>
      <c r="BB28" s="1202"/>
      <c r="BC28" s="1202"/>
      <c r="BD28" s="1202"/>
      <c r="BE28" s="1209"/>
    </row>
    <row r="29" spans="1:58" thickBot="1">
      <c r="A29" s="1202"/>
      <c r="B29" s="2011" t="s">
        <v>1572</v>
      </c>
      <c r="C29" s="1984"/>
      <c r="D29" s="1984"/>
      <c r="E29" s="1984"/>
      <c r="F29" s="1984"/>
      <c r="G29" s="1984"/>
      <c r="H29" s="1984"/>
      <c r="I29" s="1985"/>
      <c r="J29" s="1983">
        <f>SUM(J19:O28)</f>
        <v>109</v>
      </c>
      <c r="K29" s="1984"/>
      <c r="L29" s="1984"/>
      <c r="M29" s="1984"/>
      <c r="N29" s="1984"/>
      <c r="O29" s="1985"/>
      <c r="P29" s="1983">
        <f>SUM(P19:U28)</f>
        <v>14</v>
      </c>
      <c r="Q29" s="1984"/>
      <c r="R29" s="1984"/>
      <c r="S29" s="1984"/>
      <c r="T29" s="1984"/>
      <c r="U29" s="1985"/>
      <c r="V29" s="1983">
        <f>SUM(V19:AA28)</f>
        <v>39</v>
      </c>
      <c r="W29" s="1984"/>
      <c r="X29" s="1984"/>
      <c r="Y29" s="1984"/>
      <c r="Z29" s="1984"/>
      <c r="AA29" s="1985"/>
      <c r="AB29" s="1983">
        <f>SUM(AB19:AG28)</f>
        <v>28</v>
      </c>
      <c r="AC29" s="1984"/>
      <c r="AD29" s="1984"/>
      <c r="AE29" s="1984"/>
      <c r="AF29" s="1984"/>
      <c r="AG29" s="1985"/>
      <c r="AH29" s="1983">
        <f>SUM(AH19:AM28)</f>
        <v>28</v>
      </c>
      <c r="AI29" s="1984"/>
      <c r="AJ29" s="1984"/>
      <c r="AK29" s="1984"/>
      <c r="AL29" s="1984"/>
      <c r="AM29" s="1985"/>
      <c r="AN29" s="1983">
        <f>SUM(AN19:AS28)</f>
        <v>0</v>
      </c>
      <c r="AO29" s="1984"/>
      <c r="AP29" s="1984"/>
      <c r="AQ29" s="1984"/>
      <c r="AR29" s="1984"/>
      <c r="AS29" s="1985"/>
      <c r="AT29" s="1986">
        <f t="shared" si="1"/>
        <v>1</v>
      </c>
      <c r="AU29" s="1987"/>
      <c r="AV29" s="1987"/>
      <c r="AW29" s="1987"/>
      <c r="AX29" s="1987"/>
      <c r="AY29" s="1988"/>
      <c r="AZ29" s="1202"/>
      <c r="BA29" s="1202"/>
      <c r="BB29" s="1202"/>
      <c r="BC29" s="1202"/>
      <c r="BD29" s="1202"/>
      <c r="BE29" s="1209"/>
    </row>
    <row r="30" spans="1:58"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thickBot="1">
      <c r="A31" s="1202"/>
      <c r="B31" s="1989" t="s">
        <v>2355</v>
      </c>
      <c r="C31" s="1990"/>
      <c r="D31" s="1990"/>
      <c r="E31" s="1990"/>
      <c r="F31" s="1990"/>
      <c r="G31" s="1990"/>
      <c r="H31" s="1990"/>
      <c r="I31" s="1990"/>
      <c r="J31" s="1990"/>
      <c r="K31" s="1990"/>
      <c r="L31" s="1990"/>
      <c r="M31" s="1990"/>
      <c r="N31" s="1990"/>
      <c r="O31" s="1990"/>
      <c r="P31" s="1990"/>
      <c r="Q31" s="1990"/>
      <c r="R31" s="1990"/>
      <c r="S31" s="1990"/>
      <c r="T31" s="1990"/>
      <c r="U31" s="1990"/>
      <c r="V31" s="1990"/>
      <c r="W31" s="1990"/>
      <c r="X31" s="1990"/>
      <c r="Y31" s="1990"/>
      <c r="Z31" s="1990"/>
      <c r="AA31" s="1990"/>
      <c r="AB31" s="1990"/>
      <c r="AC31" s="1990"/>
      <c r="AD31" s="1990"/>
      <c r="AE31" s="1990"/>
      <c r="AF31" s="1990"/>
      <c r="AG31" s="1990"/>
      <c r="AH31" s="1990"/>
      <c r="AI31" s="1990"/>
      <c r="AJ31" s="1990"/>
      <c r="AK31" s="1990"/>
      <c r="AL31" s="1990"/>
      <c r="AM31" s="1990"/>
      <c r="AN31" s="1990"/>
      <c r="AO31" s="1990"/>
      <c r="AP31" s="1990"/>
      <c r="AQ31" s="1990"/>
      <c r="AR31" s="1990"/>
      <c r="AS31" s="1990"/>
      <c r="AT31" s="1990"/>
      <c r="AU31" s="1990"/>
      <c r="AV31" s="1990"/>
      <c r="AW31" s="1990"/>
      <c r="AX31" s="1990"/>
      <c r="AY31" s="1990"/>
      <c r="AZ31" s="1990"/>
      <c r="BA31" s="1990"/>
      <c r="BB31" s="1990"/>
      <c r="BC31" s="1990"/>
      <c r="BD31" s="1991"/>
      <c r="BE31" s="1209"/>
    </row>
    <row r="32" spans="1:58" thickBot="1">
      <c r="A32" s="1202"/>
      <c r="B32" s="1992" t="s">
        <v>2354</v>
      </c>
      <c r="C32" s="1993"/>
      <c r="D32" s="1993"/>
      <c r="E32" s="1993"/>
      <c r="F32" s="1993"/>
      <c r="G32" s="1993"/>
      <c r="H32" s="1993"/>
      <c r="I32" s="1993"/>
      <c r="J32" s="1996" t="s">
        <v>2353</v>
      </c>
      <c r="K32" s="1997"/>
      <c r="L32" s="1997"/>
      <c r="M32" s="1997"/>
      <c r="N32" s="1996" t="s">
        <v>2352</v>
      </c>
      <c r="O32" s="1997"/>
      <c r="P32" s="1997"/>
      <c r="Q32" s="1999"/>
      <c r="R32" s="2001" t="s">
        <v>2351</v>
      </c>
      <c r="S32" s="2002"/>
      <c r="T32" s="2002"/>
      <c r="U32" s="2002"/>
      <c r="V32" s="2002"/>
      <c r="W32" s="2002"/>
      <c r="X32" s="2002"/>
      <c r="Y32" s="2002"/>
      <c r="Z32" s="2002"/>
      <c r="AA32" s="2002"/>
      <c r="AB32" s="2002"/>
      <c r="AC32" s="2002"/>
      <c r="AD32" s="2002"/>
      <c r="AE32" s="2002"/>
      <c r="AF32" s="2002"/>
      <c r="AG32" s="2002"/>
      <c r="AH32" s="2002"/>
      <c r="AI32" s="2002"/>
      <c r="AJ32" s="2002"/>
      <c r="AK32" s="2002"/>
      <c r="AL32" s="2002"/>
      <c r="AM32" s="2002"/>
      <c r="AN32" s="2002"/>
      <c r="AO32" s="2002"/>
      <c r="AP32" s="2002"/>
      <c r="AQ32" s="2002"/>
      <c r="AR32" s="2002"/>
      <c r="AS32" s="2002"/>
      <c r="AT32" s="2002"/>
      <c r="AU32" s="2002"/>
      <c r="AV32" s="2002"/>
      <c r="AW32" s="2002"/>
      <c r="AX32" s="2002"/>
      <c r="AY32" s="2002"/>
      <c r="AZ32" s="2002"/>
      <c r="BA32" s="2002"/>
      <c r="BB32" s="2002"/>
      <c r="BC32" s="2002"/>
      <c r="BD32" s="2003"/>
      <c r="BE32" s="1209"/>
    </row>
    <row r="33" spans="1:58" ht="15" customHeight="1">
      <c r="A33" s="1202"/>
      <c r="B33" s="1994"/>
      <c r="C33" s="1995"/>
      <c r="D33" s="1995"/>
      <c r="E33" s="1995"/>
      <c r="F33" s="1995"/>
      <c r="G33" s="1995"/>
      <c r="H33" s="1995"/>
      <c r="I33" s="1995"/>
      <c r="J33" s="1998"/>
      <c r="K33" s="1998"/>
      <c r="L33" s="1998"/>
      <c r="M33" s="1998"/>
      <c r="N33" s="1998"/>
      <c r="O33" s="1998"/>
      <c r="P33" s="1998"/>
      <c r="Q33" s="2000"/>
      <c r="R33" s="2004" t="s">
        <v>2350</v>
      </c>
      <c r="S33" s="2005"/>
      <c r="T33" s="2005"/>
      <c r="U33" s="2005"/>
      <c r="V33" s="2005"/>
      <c r="W33" s="2005"/>
      <c r="X33" s="2005"/>
      <c r="Y33" s="2005"/>
      <c r="Z33" s="2005"/>
      <c r="AA33" s="2005"/>
      <c r="AB33" s="2005"/>
      <c r="AC33" s="2005"/>
      <c r="AD33" s="2005"/>
      <c r="AE33" s="2005"/>
      <c r="AF33" s="2005"/>
      <c r="AG33" s="2005"/>
      <c r="AH33" s="2005"/>
      <c r="AI33" s="2005"/>
      <c r="AJ33" s="2005"/>
      <c r="AK33" s="2005"/>
      <c r="AL33" s="2005"/>
      <c r="AM33" s="2005"/>
      <c r="AN33" s="2005"/>
      <c r="AO33" s="2005"/>
      <c r="AP33" s="2005"/>
      <c r="AQ33" s="2005"/>
      <c r="AR33" s="2005"/>
      <c r="AS33" s="2005"/>
      <c r="AT33" s="2005"/>
      <c r="AU33" s="2005"/>
      <c r="AV33" s="2005"/>
      <c r="AW33" s="2005"/>
      <c r="AX33" s="2005"/>
      <c r="AY33" s="2005"/>
      <c r="AZ33" s="2005"/>
      <c r="BA33" s="2005"/>
      <c r="BB33" s="2005"/>
      <c r="BC33" s="2005"/>
      <c r="BD33" s="2006"/>
      <c r="BE33" s="1209"/>
    </row>
    <row r="34" spans="1:58" ht="15.75" customHeight="1" thickBot="1">
      <c r="A34" s="1202"/>
      <c r="B34" s="1994"/>
      <c r="C34" s="1995"/>
      <c r="D34" s="1995"/>
      <c r="E34" s="1995"/>
      <c r="F34" s="1995"/>
      <c r="G34" s="1995"/>
      <c r="H34" s="1995"/>
      <c r="I34" s="1995"/>
      <c r="J34" s="1998"/>
      <c r="K34" s="1998"/>
      <c r="L34" s="1998"/>
      <c r="M34" s="1998"/>
      <c r="N34" s="1998"/>
      <c r="O34" s="1998"/>
      <c r="P34" s="1998"/>
      <c r="Q34" s="2000"/>
      <c r="R34" s="2007"/>
      <c r="S34" s="2008"/>
      <c r="T34" s="2008"/>
      <c r="U34" s="2008"/>
      <c r="V34" s="2008"/>
      <c r="W34" s="2008"/>
      <c r="X34" s="2008"/>
      <c r="Y34" s="2008"/>
      <c r="Z34" s="2008"/>
      <c r="AA34" s="2008"/>
      <c r="AB34" s="2008"/>
      <c r="AC34" s="2008"/>
      <c r="AD34" s="2008"/>
      <c r="AE34" s="2008"/>
      <c r="AF34" s="2008"/>
      <c r="AG34" s="2008"/>
      <c r="AH34" s="2008"/>
      <c r="AI34" s="2008"/>
      <c r="AJ34" s="2008"/>
      <c r="AK34" s="2008"/>
      <c r="AL34" s="2008"/>
      <c r="AM34" s="2008"/>
      <c r="AN34" s="2008"/>
      <c r="AO34" s="2008"/>
      <c r="AP34" s="2008"/>
      <c r="AQ34" s="2008"/>
      <c r="AR34" s="2008"/>
      <c r="AS34" s="2008"/>
      <c r="AT34" s="2008"/>
      <c r="AU34" s="2008"/>
      <c r="AV34" s="2008"/>
      <c r="AW34" s="2008"/>
      <c r="AX34" s="2008"/>
      <c r="AY34" s="2008"/>
      <c r="AZ34" s="2008"/>
      <c r="BA34" s="2008"/>
      <c r="BB34" s="2008"/>
      <c r="BC34" s="2008"/>
      <c r="BD34" s="2009"/>
      <c r="BE34" s="1209"/>
    </row>
    <row r="35" spans="1:58" ht="15.75" customHeight="1">
      <c r="A35" s="1202"/>
      <c r="B35" s="1994"/>
      <c r="C35" s="1995"/>
      <c r="D35" s="1995"/>
      <c r="E35" s="1995"/>
      <c r="F35" s="1995"/>
      <c r="G35" s="1995"/>
      <c r="H35" s="1995"/>
      <c r="I35" s="1995"/>
      <c r="J35" s="1998"/>
      <c r="K35" s="1998"/>
      <c r="L35" s="1998"/>
      <c r="M35" s="1998"/>
      <c r="N35" s="1998"/>
      <c r="O35" s="1998"/>
      <c r="P35" s="1998"/>
      <c r="Q35" s="1998"/>
      <c r="R35" s="2010">
        <v>0.3</v>
      </c>
      <c r="S35" s="2010"/>
      <c r="T35" s="2010"/>
      <c r="U35" s="2010"/>
      <c r="V35" s="2010">
        <v>0.4</v>
      </c>
      <c r="W35" s="2010"/>
      <c r="X35" s="2010"/>
      <c r="Y35" s="2010"/>
      <c r="Z35" s="2010">
        <v>0.5</v>
      </c>
      <c r="AA35" s="2010"/>
      <c r="AB35" s="2010"/>
      <c r="AC35" s="2010"/>
      <c r="AD35" s="2010">
        <v>0.6</v>
      </c>
      <c r="AE35" s="2010"/>
      <c r="AF35" s="2010"/>
      <c r="AG35" s="2010"/>
      <c r="AH35" s="2010">
        <v>0.7</v>
      </c>
      <c r="AI35" s="2010"/>
      <c r="AJ35" s="2010"/>
      <c r="AK35" s="2010"/>
      <c r="AL35" s="2015">
        <v>0.8</v>
      </c>
      <c r="AM35" s="2016"/>
      <c r="AN35" s="2016"/>
      <c r="AO35" s="2017"/>
      <c r="AP35" s="2018">
        <v>1.2</v>
      </c>
      <c r="AQ35" s="2019"/>
      <c r="AR35" s="2020"/>
      <c r="AS35" s="2012" t="s">
        <v>2349</v>
      </c>
      <c r="AT35" s="2013"/>
      <c r="AU35" s="2013"/>
      <c r="AV35" s="2013"/>
      <c r="AW35" s="2013"/>
      <c r="AX35" s="2021"/>
      <c r="AY35" s="2012" t="s">
        <v>2348</v>
      </c>
      <c r="AZ35" s="2013"/>
      <c r="BA35" s="2013"/>
      <c r="BB35" s="2013"/>
      <c r="BC35" s="2013"/>
      <c r="BD35" s="2014"/>
      <c r="BE35" s="1209"/>
    </row>
    <row r="36" spans="1:58" ht="15.75" customHeight="1">
      <c r="A36" s="1202"/>
      <c r="B36" s="2031" t="s">
        <v>2347</v>
      </c>
      <c r="C36" s="2032"/>
      <c r="D36" s="2032"/>
      <c r="E36" s="2032"/>
      <c r="F36" s="2032"/>
      <c r="G36" s="2032"/>
      <c r="H36" s="2032"/>
      <c r="I36" s="2032"/>
      <c r="J36" s="2033" t="s">
        <v>2346</v>
      </c>
      <c r="K36" s="2033"/>
      <c r="L36" s="2033"/>
      <c r="M36" s="2033"/>
      <c r="N36" s="2033">
        <v>55</v>
      </c>
      <c r="O36" s="2033"/>
      <c r="P36" s="2033"/>
      <c r="Q36" s="2033"/>
      <c r="R36" s="2034"/>
      <c r="S36" s="2034"/>
      <c r="T36" s="2034"/>
      <c r="U36" s="2034"/>
      <c r="V36" s="2034"/>
      <c r="W36" s="2034"/>
      <c r="X36" s="2034"/>
      <c r="Y36" s="2034"/>
      <c r="Z36" s="2034"/>
      <c r="AA36" s="2034"/>
      <c r="AB36" s="2034"/>
      <c r="AC36" s="2034"/>
      <c r="AD36" s="2034"/>
      <c r="AE36" s="2034"/>
      <c r="AF36" s="2034"/>
      <c r="AG36" s="2034"/>
      <c r="AH36" s="2034"/>
      <c r="AI36" s="2034"/>
      <c r="AJ36" s="2034"/>
      <c r="AK36" s="2034"/>
      <c r="AL36" s="2022"/>
      <c r="AM36" s="2023"/>
      <c r="AN36" s="2023"/>
      <c r="AO36" s="2024"/>
      <c r="AP36" s="2022"/>
      <c r="AQ36" s="2023"/>
      <c r="AR36" s="2024"/>
      <c r="AS36" s="2025">
        <f t="shared" ref="AS36:AS47" si="2">SUM(R36:AR36)</f>
        <v>0</v>
      </c>
      <c r="AT36" s="2026"/>
      <c r="AU36" s="2026"/>
      <c r="AV36" s="2026"/>
      <c r="AW36" s="2026"/>
      <c r="AX36" s="2027"/>
      <c r="AY36" s="2028">
        <f t="shared" ref="AY36:AY47" si="3">AS36/$J$29</f>
        <v>0</v>
      </c>
      <c r="AZ36" s="2029"/>
      <c r="BA36" s="2029"/>
      <c r="BB36" s="2029"/>
      <c r="BC36" s="2029"/>
      <c r="BD36" s="2030"/>
      <c r="BE36" s="1209"/>
    </row>
    <row r="37" spans="1:58" ht="15.75" customHeight="1">
      <c r="A37" s="1202"/>
      <c r="B37" s="2031" t="s">
        <v>2345</v>
      </c>
      <c r="C37" s="2032"/>
      <c r="D37" s="2032"/>
      <c r="E37" s="2032"/>
      <c r="F37" s="2032"/>
      <c r="G37" s="2032"/>
      <c r="H37" s="2032"/>
      <c r="I37" s="2032"/>
      <c r="J37" s="2033" t="s">
        <v>2344</v>
      </c>
      <c r="K37" s="2033"/>
      <c r="L37" s="2033"/>
      <c r="M37" s="2033"/>
      <c r="N37" s="2033">
        <v>55</v>
      </c>
      <c r="O37" s="2033"/>
      <c r="P37" s="2033"/>
      <c r="Q37" s="2033"/>
      <c r="R37" s="2034"/>
      <c r="S37" s="2034"/>
      <c r="T37" s="2034"/>
      <c r="U37" s="2034"/>
      <c r="V37" s="2034"/>
      <c r="W37" s="2034"/>
      <c r="X37" s="2034"/>
      <c r="Y37" s="2034"/>
      <c r="Z37" s="2034"/>
      <c r="AA37" s="2034"/>
      <c r="AB37" s="2034"/>
      <c r="AC37" s="2034"/>
      <c r="AD37" s="2034"/>
      <c r="AE37" s="2034"/>
      <c r="AF37" s="2034"/>
      <c r="AG37" s="2034"/>
      <c r="AH37" s="2034"/>
      <c r="AI37" s="2034"/>
      <c r="AJ37" s="2034"/>
      <c r="AK37" s="2034"/>
      <c r="AL37" s="2022"/>
      <c r="AM37" s="2023"/>
      <c r="AN37" s="2023"/>
      <c r="AO37" s="2024"/>
      <c r="AP37" s="2022"/>
      <c r="AQ37" s="2023"/>
      <c r="AR37" s="2024"/>
      <c r="AS37" s="2025">
        <f t="shared" si="2"/>
        <v>0</v>
      </c>
      <c r="AT37" s="2026"/>
      <c r="AU37" s="2026"/>
      <c r="AV37" s="2026"/>
      <c r="AW37" s="2026"/>
      <c r="AX37" s="2027"/>
      <c r="AY37" s="2028">
        <f t="shared" si="3"/>
        <v>0</v>
      </c>
      <c r="AZ37" s="2029"/>
      <c r="BA37" s="2029"/>
      <c r="BB37" s="2029"/>
      <c r="BC37" s="2029"/>
      <c r="BD37" s="2030"/>
      <c r="BE37" s="1209"/>
    </row>
    <row r="38" spans="1:58" ht="15.75" customHeight="1">
      <c r="A38" s="1202"/>
      <c r="B38" s="2031" t="s">
        <v>2343</v>
      </c>
      <c r="C38" s="2032"/>
      <c r="D38" s="2032"/>
      <c r="E38" s="2032"/>
      <c r="F38" s="2032"/>
      <c r="G38" s="2032"/>
      <c r="H38" s="2032"/>
      <c r="I38" s="2032"/>
      <c r="J38" s="2033" t="s">
        <v>2342</v>
      </c>
      <c r="K38" s="2033"/>
      <c r="L38" s="2033"/>
      <c r="M38" s="2033"/>
      <c r="N38" s="2033">
        <v>55</v>
      </c>
      <c r="O38" s="2033"/>
      <c r="P38" s="2033"/>
      <c r="Q38" s="2033"/>
      <c r="R38" s="2034"/>
      <c r="S38" s="2034"/>
      <c r="T38" s="2034"/>
      <c r="U38" s="2034"/>
      <c r="V38" s="2034"/>
      <c r="W38" s="2034"/>
      <c r="X38" s="2034"/>
      <c r="Y38" s="2034"/>
      <c r="Z38" s="2034"/>
      <c r="AA38" s="2034"/>
      <c r="AB38" s="2034"/>
      <c r="AC38" s="2034"/>
      <c r="AD38" s="2034"/>
      <c r="AE38" s="2034"/>
      <c r="AF38" s="2034"/>
      <c r="AG38" s="2034"/>
      <c r="AH38" s="2034"/>
      <c r="AI38" s="2034"/>
      <c r="AJ38" s="2034"/>
      <c r="AK38" s="2034"/>
      <c r="AL38" s="2022"/>
      <c r="AM38" s="2023"/>
      <c r="AN38" s="2023"/>
      <c r="AO38" s="2024"/>
      <c r="AP38" s="2022"/>
      <c r="AQ38" s="2023"/>
      <c r="AR38" s="2024"/>
      <c r="AS38" s="2025">
        <f t="shared" si="2"/>
        <v>0</v>
      </c>
      <c r="AT38" s="2026"/>
      <c r="AU38" s="2026"/>
      <c r="AV38" s="2026"/>
      <c r="AW38" s="2026"/>
      <c r="AX38" s="2027"/>
      <c r="AY38" s="2028">
        <f t="shared" si="3"/>
        <v>0</v>
      </c>
      <c r="AZ38" s="2029"/>
      <c r="BA38" s="2029"/>
      <c r="BB38" s="2029"/>
      <c r="BC38" s="2029"/>
      <c r="BD38" s="2030"/>
      <c r="BE38" s="1209"/>
    </row>
    <row r="39" spans="1:58" ht="15.75" customHeight="1">
      <c r="A39" s="1202"/>
      <c r="B39" s="2031" t="s">
        <v>2341</v>
      </c>
      <c r="C39" s="2032"/>
      <c r="D39" s="2032"/>
      <c r="E39" s="2032"/>
      <c r="F39" s="2032"/>
      <c r="G39" s="2032"/>
      <c r="H39" s="2032"/>
      <c r="I39" s="2032"/>
      <c r="J39" s="2033"/>
      <c r="K39" s="2033"/>
      <c r="L39" s="2033"/>
      <c r="M39" s="2033"/>
      <c r="N39" s="2033"/>
      <c r="O39" s="2033"/>
      <c r="P39" s="2033"/>
      <c r="Q39" s="2033"/>
      <c r="R39" s="2034"/>
      <c r="S39" s="2034"/>
      <c r="T39" s="2034"/>
      <c r="U39" s="2034"/>
      <c r="V39" s="2034"/>
      <c r="W39" s="2034"/>
      <c r="X39" s="2034"/>
      <c r="Y39" s="2034"/>
      <c r="Z39" s="2034"/>
      <c r="AA39" s="2034"/>
      <c r="AB39" s="2034"/>
      <c r="AC39" s="2034"/>
      <c r="AD39" s="2034"/>
      <c r="AE39" s="2034"/>
      <c r="AF39" s="2034"/>
      <c r="AG39" s="2034"/>
      <c r="AH39" s="2034"/>
      <c r="AI39" s="2034"/>
      <c r="AJ39" s="2034"/>
      <c r="AK39" s="2034"/>
      <c r="AL39" s="2022"/>
      <c r="AM39" s="2023"/>
      <c r="AN39" s="2023"/>
      <c r="AO39" s="2024"/>
      <c r="AP39" s="2022"/>
      <c r="AQ39" s="2023"/>
      <c r="AR39" s="2024"/>
      <c r="AS39" s="2025">
        <f t="shared" si="2"/>
        <v>0</v>
      </c>
      <c r="AT39" s="2026"/>
      <c r="AU39" s="2026"/>
      <c r="AV39" s="2026"/>
      <c r="AW39" s="2026"/>
      <c r="AX39" s="2027"/>
      <c r="AY39" s="2028">
        <f t="shared" si="3"/>
        <v>0</v>
      </c>
      <c r="AZ39" s="2029"/>
      <c r="BA39" s="2029"/>
      <c r="BB39" s="2029"/>
      <c r="BC39" s="2029"/>
      <c r="BD39" s="2030"/>
      <c r="BE39" s="1209"/>
    </row>
    <row r="40" spans="1:58" ht="15.75" customHeight="1">
      <c r="A40" s="1202"/>
      <c r="B40" s="2031" t="s">
        <v>2341</v>
      </c>
      <c r="C40" s="2032"/>
      <c r="D40" s="2032"/>
      <c r="E40" s="2032"/>
      <c r="F40" s="2032"/>
      <c r="G40" s="2032"/>
      <c r="H40" s="2032"/>
      <c r="I40" s="2032"/>
      <c r="J40" s="2033"/>
      <c r="K40" s="2033"/>
      <c r="L40" s="2033"/>
      <c r="M40" s="2033"/>
      <c r="N40" s="2033"/>
      <c r="O40" s="2033"/>
      <c r="P40" s="2033"/>
      <c r="Q40" s="2033"/>
      <c r="R40" s="2034"/>
      <c r="S40" s="2034"/>
      <c r="T40" s="2034"/>
      <c r="U40" s="2034"/>
      <c r="V40" s="2034"/>
      <c r="W40" s="2034"/>
      <c r="X40" s="2034"/>
      <c r="Y40" s="2034"/>
      <c r="Z40" s="2034"/>
      <c r="AA40" s="2034"/>
      <c r="AB40" s="2034"/>
      <c r="AC40" s="2034"/>
      <c r="AD40" s="2034"/>
      <c r="AE40" s="2034"/>
      <c r="AF40" s="2034"/>
      <c r="AG40" s="2034"/>
      <c r="AH40" s="2034"/>
      <c r="AI40" s="2034"/>
      <c r="AJ40" s="2034"/>
      <c r="AK40" s="2034"/>
      <c r="AL40" s="2022"/>
      <c r="AM40" s="2023"/>
      <c r="AN40" s="2023"/>
      <c r="AO40" s="2024"/>
      <c r="AP40" s="2022"/>
      <c r="AQ40" s="2023"/>
      <c r="AR40" s="2024"/>
      <c r="AS40" s="2025">
        <f t="shared" si="2"/>
        <v>0</v>
      </c>
      <c r="AT40" s="2026"/>
      <c r="AU40" s="2026"/>
      <c r="AV40" s="2026"/>
      <c r="AW40" s="2026"/>
      <c r="AX40" s="2027"/>
      <c r="AY40" s="2028">
        <f t="shared" si="3"/>
        <v>0</v>
      </c>
      <c r="AZ40" s="2029"/>
      <c r="BA40" s="2029"/>
      <c r="BB40" s="2029"/>
      <c r="BC40" s="2029"/>
      <c r="BD40" s="2030"/>
      <c r="BE40" s="1209"/>
    </row>
    <row r="41" spans="1:58" ht="15.75" customHeight="1">
      <c r="A41" s="1202"/>
      <c r="B41" s="2031" t="s">
        <v>2340</v>
      </c>
      <c r="C41" s="2032"/>
      <c r="D41" s="2032"/>
      <c r="E41" s="2032"/>
      <c r="F41" s="2032"/>
      <c r="G41" s="2032"/>
      <c r="H41" s="2032"/>
      <c r="I41" s="2032"/>
      <c r="J41" s="2033"/>
      <c r="K41" s="2033"/>
      <c r="L41" s="2033"/>
      <c r="M41" s="2033"/>
      <c r="N41" s="2033"/>
      <c r="O41" s="2033"/>
      <c r="P41" s="2033"/>
      <c r="Q41" s="2033"/>
      <c r="R41" s="2034"/>
      <c r="S41" s="2034"/>
      <c r="T41" s="2034"/>
      <c r="U41" s="2034"/>
      <c r="V41" s="2034"/>
      <c r="W41" s="2034"/>
      <c r="X41" s="2034"/>
      <c r="Y41" s="2034"/>
      <c r="Z41" s="2034"/>
      <c r="AA41" s="2034"/>
      <c r="AB41" s="2034"/>
      <c r="AC41" s="2034"/>
      <c r="AD41" s="2034"/>
      <c r="AE41" s="2034"/>
      <c r="AF41" s="2034"/>
      <c r="AG41" s="2034"/>
      <c r="AH41" s="2034"/>
      <c r="AI41" s="2034"/>
      <c r="AJ41" s="2034"/>
      <c r="AK41" s="2034"/>
      <c r="AL41" s="2022"/>
      <c r="AM41" s="2023"/>
      <c r="AN41" s="2023"/>
      <c r="AO41" s="2024"/>
      <c r="AP41" s="2022"/>
      <c r="AQ41" s="2023"/>
      <c r="AR41" s="2024"/>
      <c r="AS41" s="2025">
        <f t="shared" si="2"/>
        <v>0</v>
      </c>
      <c r="AT41" s="2026"/>
      <c r="AU41" s="2026"/>
      <c r="AV41" s="2026"/>
      <c r="AW41" s="2026"/>
      <c r="AX41" s="2027"/>
      <c r="AY41" s="2028">
        <f t="shared" si="3"/>
        <v>0</v>
      </c>
      <c r="AZ41" s="2029"/>
      <c r="BA41" s="2029"/>
      <c r="BB41" s="2029"/>
      <c r="BC41" s="2029"/>
      <c r="BD41" s="2030"/>
      <c r="BE41" s="1209"/>
    </row>
    <row r="42" spans="1:58" ht="15.75" customHeight="1">
      <c r="A42" s="1202"/>
      <c r="B42" s="2031" t="s">
        <v>2340</v>
      </c>
      <c r="C42" s="2032"/>
      <c r="D42" s="2032"/>
      <c r="E42" s="2032"/>
      <c r="F42" s="2032"/>
      <c r="G42" s="2032"/>
      <c r="H42" s="2032"/>
      <c r="I42" s="2032"/>
      <c r="J42" s="2033"/>
      <c r="K42" s="2033"/>
      <c r="L42" s="2033"/>
      <c r="M42" s="2033"/>
      <c r="N42" s="2033"/>
      <c r="O42" s="2033"/>
      <c r="P42" s="2033"/>
      <c r="Q42" s="2033"/>
      <c r="R42" s="2034"/>
      <c r="S42" s="2034"/>
      <c r="T42" s="2034"/>
      <c r="U42" s="2034"/>
      <c r="V42" s="2034"/>
      <c r="W42" s="2034"/>
      <c r="X42" s="2034"/>
      <c r="Y42" s="2034"/>
      <c r="Z42" s="2034"/>
      <c r="AA42" s="2034"/>
      <c r="AB42" s="2034"/>
      <c r="AC42" s="2034"/>
      <c r="AD42" s="2034"/>
      <c r="AE42" s="2034"/>
      <c r="AF42" s="2034"/>
      <c r="AG42" s="2034"/>
      <c r="AH42" s="2034"/>
      <c r="AI42" s="2034"/>
      <c r="AJ42" s="2034"/>
      <c r="AK42" s="2034"/>
      <c r="AL42" s="2022"/>
      <c r="AM42" s="2023"/>
      <c r="AN42" s="2023"/>
      <c r="AO42" s="2024"/>
      <c r="AP42" s="2022"/>
      <c r="AQ42" s="2023"/>
      <c r="AR42" s="2024"/>
      <c r="AS42" s="2025">
        <f t="shared" si="2"/>
        <v>0</v>
      </c>
      <c r="AT42" s="2026"/>
      <c r="AU42" s="2026"/>
      <c r="AV42" s="2026"/>
      <c r="AW42" s="2026"/>
      <c r="AX42" s="2027"/>
      <c r="AY42" s="2028">
        <f t="shared" si="3"/>
        <v>0</v>
      </c>
      <c r="AZ42" s="2029"/>
      <c r="BA42" s="2029"/>
      <c r="BB42" s="2029"/>
      <c r="BC42" s="2029"/>
      <c r="BD42" s="2030"/>
      <c r="BE42" s="1209"/>
    </row>
    <row r="43" spans="1:58" ht="15.75" customHeight="1">
      <c r="A43" s="1202"/>
      <c r="B43" s="2035" t="s">
        <v>2339</v>
      </c>
      <c r="C43" s="2036"/>
      <c r="D43" s="2036"/>
      <c r="E43" s="2036"/>
      <c r="F43" s="2036"/>
      <c r="G43" s="2036"/>
      <c r="H43" s="2036"/>
      <c r="I43" s="2036"/>
      <c r="J43" s="2033"/>
      <c r="K43" s="2033"/>
      <c r="L43" s="2033"/>
      <c r="M43" s="2033"/>
      <c r="N43" s="2033"/>
      <c r="O43" s="2033"/>
      <c r="P43" s="2033"/>
      <c r="Q43" s="2033"/>
      <c r="R43" s="2034"/>
      <c r="S43" s="2034"/>
      <c r="T43" s="2034"/>
      <c r="U43" s="2034"/>
      <c r="V43" s="2034"/>
      <c r="W43" s="2034"/>
      <c r="X43" s="2034"/>
      <c r="Y43" s="2034"/>
      <c r="Z43" s="2034"/>
      <c r="AA43" s="2034"/>
      <c r="AB43" s="2034"/>
      <c r="AC43" s="2034"/>
      <c r="AD43" s="2034"/>
      <c r="AE43" s="2034"/>
      <c r="AF43" s="2034"/>
      <c r="AG43" s="2034"/>
      <c r="AH43" s="2034"/>
      <c r="AI43" s="2034"/>
      <c r="AJ43" s="2034"/>
      <c r="AK43" s="2034"/>
      <c r="AL43" s="2022"/>
      <c r="AM43" s="2023"/>
      <c r="AN43" s="2023"/>
      <c r="AO43" s="2024"/>
      <c r="AP43" s="2022"/>
      <c r="AQ43" s="2023"/>
      <c r="AR43" s="2024"/>
      <c r="AS43" s="2025">
        <f t="shared" si="2"/>
        <v>0</v>
      </c>
      <c r="AT43" s="2026"/>
      <c r="AU43" s="2026"/>
      <c r="AV43" s="2026"/>
      <c r="AW43" s="2026"/>
      <c r="AX43" s="2027"/>
      <c r="AY43" s="2028">
        <f t="shared" si="3"/>
        <v>0</v>
      </c>
      <c r="AZ43" s="2029"/>
      <c r="BA43" s="2029"/>
      <c r="BB43" s="2029"/>
      <c r="BC43" s="2029"/>
      <c r="BD43" s="2030"/>
      <c r="BE43" s="1209"/>
    </row>
    <row r="44" spans="1:58" ht="15.75" customHeight="1">
      <c r="A44" s="1202"/>
      <c r="B44" s="2035" t="s">
        <v>2338</v>
      </c>
      <c r="C44" s="2036"/>
      <c r="D44" s="2036"/>
      <c r="E44" s="2036"/>
      <c r="F44" s="2036"/>
      <c r="G44" s="2036"/>
      <c r="H44" s="2036"/>
      <c r="I44" s="2036"/>
      <c r="J44" s="2033"/>
      <c r="K44" s="2033"/>
      <c r="L44" s="2033"/>
      <c r="M44" s="2033"/>
      <c r="N44" s="2033"/>
      <c r="O44" s="2033"/>
      <c r="P44" s="2033"/>
      <c r="Q44" s="2033"/>
      <c r="R44" s="2034"/>
      <c r="S44" s="2034"/>
      <c r="T44" s="2034"/>
      <c r="U44" s="2034"/>
      <c r="V44" s="2034"/>
      <c r="W44" s="2034"/>
      <c r="X44" s="2034"/>
      <c r="Y44" s="2034"/>
      <c r="Z44" s="2034"/>
      <c r="AA44" s="2034"/>
      <c r="AB44" s="2034"/>
      <c r="AC44" s="2034"/>
      <c r="AD44" s="2034"/>
      <c r="AE44" s="2034"/>
      <c r="AF44" s="2034"/>
      <c r="AG44" s="2034"/>
      <c r="AH44" s="2034"/>
      <c r="AI44" s="2034"/>
      <c r="AJ44" s="2034"/>
      <c r="AK44" s="2034"/>
      <c r="AL44" s="2022"/>
      <c r="AM44" s="2023"/>
      <c r="AN44" s="2023"/>
      <c r="AO44" s="2024"/>
      <c r="AP44" s="2022"/>
      <c r="AQ44" s="2023"/>
      <c r="AR44" s="2024"/>
      <c r="AS44" s="2025">
        <f t="shared" si="2"/>
        <v>0</v>
      </c>
      <c r="AT44" s="2026"/>
      <c r="AU44" s="2026"/>
      <c r="AV44" s="2026"/>
      <c r="AW44" s="2026"/>
      <c r="AX44" s="2027"/>
      <c r="AY44" s="2028">
        <f t="shared" si="3"/>
        <v>0</v>
      </c>
      <c r="AZ44" s="2029"/>
      <c r="BA44" s="2029"/>
      <c r="BB44" s="2029"/>
      <c r="BC44" s="2029"/>
      <c r="BD44" s="2030"/>
      <c r="BE44" s="1209"/>
    </row>
    <row r="45" spans="1:58" ht="15.75" customHeight="1">
      <c r="A45" s="1202"/>
      <c r="B45" s="2035" t="s">
        <v>2337</v>
      </c>
      <c r="C45" s="2036"/>
      <c r="D45" s="2036"/>
      <c r="E45" s="2036"/>
      <c r="F45" s="2036"/>
      <c r="G45" s="2036"/>
      <c r="H45" s="2036"/>
      <c r="I45" s="2036"/>
      <c r="J45" s="2033"/>
      <c r="K45" s="2033"/>
      <c r="L45" s="2033"/>
      <c r="M45" s="2033"/>
      <c r="N45" s="2033"/>
      <c r="O45" s="2033"/>
      <c r="P45" s="2033"/>
      <c r="Q45" s="2033"/>
      <c r="R45" s="2034"/>
      <c r="S45" s="2034"/>
      <c r="T45" s="2034"/>
      <c r="U45" s="2034"/>
      <c r="V45" s="2034"/>
      <c r="W45" s="2034"/>
      <c r="X45" s="2034"/>
      <c r="Y45" s="2034"/>
      <c r="Z45" s="2034"/>
      <c r="AA45" s="2034"/>
      <c r="AB45" s="2034"/>
      <c r="AC45" s="2034"/>
      <c r="AD45" s="2034"/>
      <c r="AE45" s="2034"/>
      <c r="AF45" s="2034"/>
      <c r="AG45" s="2034"/>
      <c r="AH45" s="2034"/>
      <c r="AI45" s="2034"/>
      <c r="AJ45" s="2034"/>
      <c r="AK45" s="2034"/>
      <c r="AL45" s="2022"/>
      <c r="AM45" s="2023"/>
      <c r="AN45" s="2023"/>
      <c r="AO45" s="2024"/>
      <c r="AP45" s="2022"/>
      <c r="AQ45" s="2023"/>
      <c r="AR45" s="2024"/>
      <c r="AS45" s="2025">
        <f t="shared" si="2"/>
        <v>0</v>
      </c>
      <c r="AT45" s="2026"/>
      <c r="AU45" s="2026"/>
      <c r="AV45" s="2026"/>
      <c r="AW45" s="2026"/>
      <c r="AX45" s="2027"/>
      <c r="AY45" s="2028">
        <f t="shared" si="3"/>
        <v>0</v>
      </c>
      <c r="AZ45" s="2029"/>
      <c r="BA45" s="2029"/>
      <c r="BB45" s="2029"/>
      <c r="BC45" s="2029"/>
      <c r="BD45" s="2030"/>
      <c r="BE45" s="1209"/>
    </row>
    <row r="46" spans="1:58" ht="15.75" customHeight="1">
      <c r="A46" s="1202"/>
      <c r="B46" s="2035" t="s">
        <v>2269</v>
      </c>
      <c r="C46" s="2036"/>
      <c r="D46" s="2036"/>
      <c r="E46" s="2036"/>
      <c r="F46" s="2036"/>
      <c r="G46" s="2036"/>
      <c r="H46" s="2036"/>
      <c r="I46" s="2036"/>
      <c r="J46" s="2033"/>
      <c r="K46" s="2033"/>
      <c r="L46" s="2033"/>
      <c r="M46" s="2033"/>
      <c r="N46" s="2033">
        <v>99</v>
      </c>
      <c r="O46" s="2033"/>
      <c r="P46" s="2033"/>
      <c r="Q46" s="2033"/>
      <c r="R46" s="2034"/>
      <c r="S46" s="2034"/>
      <c r="T46" s="2034"/>
      <c r="U46" s="2034"/>
      <c r="V46" s="2034"/>
      <c r="W46" s="2034"/>
      <c r="X46" s="2034"/>
      <c r="Y46" s="2034"/>
      <c r="Z46" s="2034"/>
      <c r="AA46" s="2034"/>
      <c r="AB46" s="2034"/>
      <c r="AC46" s="2034"/>
      <c r="AD46" s="2034"/>
      <c r="AE46" s="2034"/>
      <c r="AF46" s="2034"/>
      <c r="AG46" s="2034"/>
      <c r="AH46" s="2034"/>
      <c r="AI46" s="2034"/>
      <c r="AJ46" s="2034"/>
      <c r="AK46" s="2034"/>
      <c r="AL46" s="2022"/>
      <c r="AM46" s="2023"/>
      <c r="AN46" s="2023"/>
      <c r="AO46" s="2024"/>
      <c r="AP46" s="2022"/>
      <c r="AQ46" s="2023"/>
      <c r="AR46" s="2024"/>
      <c r="AS46" s="2025">
        <f t="shared" si="2"/>
        <v>0</v>
      </c>
      <c r="AT46" s="2026"/>
      <c r="AU46" s="2026"/>
      <c r="AV46" s="2026"/>
      <c r="AW46" s="2026"/>
      <c r="AX46" s="2027"/>
      <c r="AY46" s="2028">
        <f t="shared" si="3"/>
        <v>0</v>
      </c>
      <c r="AZ46" s="2029"/>
      <c r="BA46" s="2029"/>
      <c r="BB46" s="2029"/>
      <c r="BC46" s="2029"/>
      <c r="BD46" s="2030"/>
      <c r="BE46" s="1209"/>
    </row>
    <row r="47" spans="1:58" ht="15.75" customHeight="1" thickBot="1">
      <c r="A47" s="1202"/>
      <c r="B47" s="2037" t="s">
        <v>299</v>
      </c>
      <c r="C47" s="2038"/>
      <c r="D47" s="2038"/>
      <c r="E47" s="2038"/>
      <c r="F47" s="2038"/>
      <c r="G47" s="2038"/>
      <c r="H47" s="2038"/>
      <c r="I47" s="2038"/>
      <c r="J47" s="2039"/>
      <c r="K47" s="2039"/>
      <c r="L47" s="2039"/>
      <c r="M47" s="2039"/>
      <c r="N47" s="2039"/>
      <c r="O47" s="2039"/>
      <c r="P47" s="2039"/>
      <c r="Q47" s="2039"/>
      <c r="R47" s="2040"/>
      <c r="S47" s="2040"/>
      <c r="T47" s="2040"/>
      <c r="U47" s="2040"/>
      <c r="V47" s="2040"/>
      <c r="W47" s="2040"/>
      <c r="X47" s="2040"/>
      <c r="Y47" s="2040"/>
      <c r="Z47" s="2040"/>
      <c r="AA47" s="2040"/>
      <c r="AB47" s="2040"/>
      <c r="AC47" s="2040"/>
      <c r="AD47" s="2040"/>
      <c r="AE47" s="2040"/>
      <c r="AF47" s="2040"/>
      <c r="AG47" s="2040"/>
      <c r="AH47" s="2040"/>
      <c r="AI47" s="2040"/>
      <c r="AJ47" s="2040"/>
      <c r="AK47" s="2040"/>
      <c r="AL47" s="2044"/>
      <c r="AM47" s="2045"/>
      <c r="AN47" s="2045"/>
      <c r="AO47" s="2046"/>
      <c r="AP47" s="2044"/>
      <c r="AQ47" s="2045"/>
      <c r="AR47" s="2046"/>
      <c r="AS47" s="2025">
        <f t="shared" si="2"/>
        <v>0</v>
      </c>
      <c r="AT47" s="2026"/>
      <c r="AU47" s="2026"/>
      <c r="AV47" s="2026"/>
      <c r="AW47" s="2026"/>
      <c r="AX47" s="2027"/>
      <c r="AY47" s="2041">
        <f t="shared" si="3"/>
        <v>0</v>
      </c>
      <c r="AZ47" s="2042"/>
      <c r="BA47" s="2042"/>
      <c r="BB47" s="2042"/>
      <c r="BC47" s="2042"/>
      <c r="BD47" s="2043"/>
      <c r="BE47" s="1209"/>
    </row>
    <row r="48" spans="1:58" ht="15.75" customHeight="1">
      <c r="A48" s="1202"/>
      <c r="B48" s="1211" t="s">
        <v>2336</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2335</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47" t="s">
        <v>2334</v>
      </c>
      <c r="C50" s="2048"/>
      <c r="D50" s="2048"/>
      <c r="E50" s="2048"/>
      <c r="F50" s="2048"/>
      <c r="G50" s="2048"/>
      <c r="H50" s="2048"/>
      <c r="I50" s="2048"/>
      <c r="J50" s="2048"/>
      <c r="K50" s="2048"/>
      <c r="L50" s="2048"/>
      <c r="M50" s="2048"/>
      <c r="N50" s="2048"/>
      <c r="O50" s="2048"/>
      <c r="P50" s="2048"/>
      <c r="Q50" s="2048"/>
      <c r="R50" s="2048"/>
      <c r="S50" s="2048"/>
      <c r="T50" s="2048"/>
      <c r="U50" s="2048"/>
      <c r="V50" s="2048"/>
      <c r="W50" s="2048"/>
      <c r="X50" s="2048"/>
      <c r="Y50" s="2048"/>
      <c r="Z50" s="2048"/>
      <c r="AA50" s="2048"/>
      <c r="AB50" s="2048"/>
      <c r="AC50" s="2048"/>
      <c r="AD50" s="2048"/>
      <c r="AE50" s="2048"/>
      <c r="AF50" s="2048"/>
      <c r="AG50" s="2048"/>
      <c r="AH50" s="2048"/>
      <c r="AI50" s="2048"/>
      <c r="AJ50" s="2048"/>
      <c r="AK50" s="2048"/>
      <c r="AL50" s="2048"/>
      <c r="AM50" s="2048"/>
      <c r="AN50" s="2048"/>
      <c r="AO50" s="2049"/>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050" t="s">
        <v>2327</v>
      </c>
      <c r="C51" s="2051"/>
      <c r="D51" s="2051"/>
      <c r="E51" s="2051"/>
      <c r="F51" s="2051"/>
      <c r="G51" s="2051"/>
      <c r="H51" s="2051"/>
      <c r="I51" s="2051"/>
      <c r="J51" s="2051" t="s">
        <v>2333</v>
      </c>
      <c r="K51" s="2051"/>
      <c r="L51" s="2051"/>
      <c r="M51" s="2051"/>
      <c r="N51" s="2051"/>
      <c r="O51" s="2051"/>
      <c r="P51" s="2051"/>
      <c r="Q51" s="2051"/>
      <c r="R51" s="2052" t="s">
        <v>2332</v>
      </c>
      <c r="S51" s="2052"/>
      <c r="T51" s="2052"/>
      <c r="U51" s="2052"/>
      <c r="V51" s="2052"/>
      <c r="W51" s="2052"/>
      <c r="X51" s="2052"/>
      <c r="Y51" s="2052"/>
      <c r="Z51" s="2052" t="s">
        <v>2331</v>
      </c>
      <c r="AA51" s="2052"/>
      <c r="AB51" s="2052"/>
      <c r="AC51" s="2052"/>
      <c r="AD51" s="2052"/>
      <c r="AE51" s="2052"/>
      <c r="AF51" s="2052"/>
      <c r="AG51" s="2052"/>
      <c r="AH51" s="2052" t="s">
        <v>2330</v>
      </c>
      <c r="AI51" s="2052"/>
      <c r="AJ51" s="2052"/>
      <c r="AK51" s="2052"/>
      <c r="AL51" s="2052"/>
      <c r="AM51" s="2052"/>
      <c r="AN51" s="2052"/>
      <c r="AO51" s="2053"/>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035" t="s">
        <v>2329</v>
      </c>
      <c r="C52" s="2036"/>
      <c r="D52" s="2036"/>
      <c r="E52" s="2036"/>
      <c r="F52" s="2036"/>
      <c r="G52" s="2036"/>
      <c r="H52" s="2036"/>
      <c r="I52" s="2036"/>
      <c r="J52" s="2054">
        <v>0</v>
      </c>
      <c r="K52" s="2054"/>
      <c r="L52" s="2054"/>
      <c r="M52" s="2054"/>
      <c r="N52" s="2054"/>
      <c r="O52" s="2054"/>
      <c r="P52" s="2054"/>
      <c r="Q52" s="2054"/>
      <c r="R52" s="2055">
        <v>0</v>
      </c>
      <c r="S52" s="2055"/>
      <c r="T52" s="2055"/>
      <c r="U52" s="2055"/>
      <c r="V52" s="2055"/>
      <c r="W52" s="2055"/>
      <c r="X52" s="2055"/>
      <c r="Y52" s="2055"/>
      <c r="Z52" s="2056">
        <v>0</v>
      </c>
      <c r="AA52" s="2056"/>
      <c r="AB52" s="2056"/>
      <c r="AC52" s="2056"/>
      <c r="AD52" s="2056"/>
      <c r="AE52" s="2056"/>
      <c r="AF52" s="2056"/>
      <c r="AG52" s="2056"/>
      <c r="AH52" s="2057"/>
      <c r="AI52" s="2057"/>
      <c r="AJ52" s="2057"/>
      <c r="AK52" s="2057"/>
      <c r="AL52" s="2057"/>
      <c r="AM52" s="2057"/>
      <c r="AN52" s="2057"/>
      <c r="AO52" s="2058"/>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035" t="s">
        <v>2328</v>
      </c>
      <c r="C53" s="2036"/>
      <c r="D53" s="2036"/>
      <c r="E53" s="2036"/>
      <c r="F53" s="2036"/>
      <c r="G53" s="2036"/>
      <c r="H53" s="2036"/>
      <c r="I53" s="2036"/>
      <c r="J53" s="2054">
        <v>0</v>
      </c>
      <c r="K53" s="2054"/>
      <c r="L53" s="2054"/>
      <c r="M53" s="2054"/>
      <c r="N53" s="2054"/>
      <c r="O53" s="2054"/>
      <c r="P53" s="2054"/>
      <c r="Q53" s="2054"/>
      <c r="R53" s="2055">
        <v>0</v>
      </c>
      <c r="S53" s="2055"/>
      <c r="T53" s="2055"/>
      <c r="U53" s="2055"/>
      <c r="V53" s="2055"/>
      <c r="W53" s="2055"/>
      <c r="X53" s="2055"/>
      <c r="Y53" s="2055"/>
      <c r="Z53" s="2056">
        <v>0</v>
      </c>
      <c r="AA53" s="2056"/>
      <c r="AB53" s="2056"/>
      <c r="AC53" s="2056"/>
      <c r="AD53" s="2056"/>
      <c r="AE53" s="2056"/>
      <c r="AF53" s="2056"/>
      <c r="AG53" s="2056"/>
      <c r="AH53" s="2057"/>
      <c r="AI53" s="2057"/>
      <c r="AJ53" s="2057"/>
      <c r="AK53" s="2057"/>
      <c r="AL53" s="2057"/>
      <c r="AM53" s="2057"/>
      <c r="AN53" s="2057"/>
      <c r="AO53" s="2058"/>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035"/>
      <c r="C54" s="2036"/>
      <c r="D54" s="2036"/>
      <c r="E54" s="2036"/>
      <c r="F54" s="2036"/>
      <c r="G54" s="2036"/>
      <c r="H54" s="2036"/>
      <c r="I54" s="2036"/>
      <c r="J54" s="2054"/>
      <c r="K54" s="2054"/>
      <c r="L54" s="2054"/>
      <c r="M54" s="2054"/>
      <c r="N54" s="2054"/>
      <c r="O54" s="2054"/>
      <c r="P54" s="2054"/>
      <c r="Q54" s="2054"/>
      <c r="R54" s="2055"/>
      <c r="S54" s="2055"/>
      <c r="T54" s="2055"/>
      <c r="U54" s="2055"/>
      <c r="V54" s="2055"/>
      <c r="W54" s="2055"/>
      <c r="X54" s="2055"/>
      <c r="Y54" s="2055"/>
      <c r="Z54" s="2056"/>
      <c r="AA54" s="2056"/>
      <c r="AB54" s="2056"/>
      <c r="AC54" s="2056"/>
      <c r="AD54" s="2056"/>
      <c r="AE54" s="2056"/>
      <c r="AF54" s="2056"/>
      <c r="AG54" s="2056"/>
      <c r="AH54" s="2057"/>
      <c r="AI54" s="2057"/>
      <c r="AJ54" s="2057"/>
      <c r="AK54" s="2057"/>
      <c r="AL54" s="2057"/>
      <c r="AM54" s="2057"/>
      <c r="AN54" s="2057"/>
      <c r="AO54" s="2058"/>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035"/>
      <c r="C55" s="2036"/>
      <c r="D55" s="2036"/>
      <c r="E55" s="2036"/>
      <c r="F55" s="2036"/>
      <c r="G55" s="2036"/>
      <c r="H55" s="2036"/>
      <c r="I55" s="2036"/>
      <c r="J55" s="2054"/>
      <c r="K55" s="2054"/>
      <c r="L55" s="2054"/>
      <c r="M55" s="2054"/>
      <c r="N55" s="2054"/>
      <c r="O55" s="2054"/>
      <c r="P55" s="2054"/>
      <c r="Q55" s="2054"/>
      <c r="R55" s="2055"/>
      <c r="S55" s="2055"/>
      <c r="T55" s="2055"/>
      <c r="U55" s="2055"/>
      <c r="V55" s="2055"/>
      <c r="W55" s="2055"/>
      <c r="X55" s="2055"/>
      <c r="Y55" s="2055"/>
      <c r="Z55" s="2056"/>
      <c r="AA55" s="2056"/>
      <c r="AB55" s="2056"/>
      <c r="AC55" s="2056"/>
      <c r="AD55" s="2056"/>
      <c r="AE55" s="2056"/>
      <c r="AF55" s="2056"/>
      <c r="AG55" s="2056"/>
      <c r="AH55" s="2057"/>
      <c r="AI55" s="2057"/>
      <c r="AJ55" s="2057"/>
      <c r="AK55" s="2057"/>
      <c r="AL55" s="2057"/>
      <c r="AM55" s="2057"/>
      <c r="AN55" s="2057"/>
      <c r="AO55" s="2058"/>
      <c r="AP55" s="1203"/>
      <c r="AQ55" s="1203"/>
      <c r="AR55" s="1203"/>
      <c r="AS55" s="1203"/>
      <c r="AT55" s="1203" t="s">
        <v>249</v>
      </c>
      <c r="AU55" s="1203"/>
      <c r="AV55" s="1203"/>
      <c r="AW55" s="1203"/>
      <c r="AX55" s="1202"/>
      <c r="AY55" s="1202"/>
      <c r="AZ55" s="1202"/>
      <c r="BA55" s="1202"/>
      <c r="BB55" s="1202"/>
      <c r="BC55" s="1202"/>
      <c r="BD55" s="1202"/>
      <c r="BE55" s="1209"/>
    </row>
    <row r="56" spans="1:77" ht="15.75" customHeight="1">
      <c r="A56" s="1202"/>
      <c r="B56" s="2035"/>
      <c r="C56" s="2036"/>
      <c r="D56" s="2036"/>
      <c r="E56" s="2036"/>
      <c r="F56" s="2036"/>
      <c r="G56" s="2036"/>
      <c r="H56" s="2036"/>
      <c r="I56" s="2036"/>
      <c r="J56" s="2054"/>
      <c r="K56" s="2054"/>
      <c r="L56" s="2054"/>
      <c r="M56" s="2054"/>
      <c r="N56" s="2054"/>
      <c r="O56" s="2054"/>
      <c r="P56" s="2054"/>
      <c r="Q56" s="2054"/>
      <c r="R56" s="2055"/>
      <c r="S56" s="2055"/>
      <c r="T56" s="2055"/>
      <c r="U56" s="2055"/>
      <c r="V56" s="2055"/>
      <c r="W56" s="2055"/>
      <c r="X56" s="2055"/>
      <c r="Y56" s="2055"/>
      <c r="Z56" s="2056"/>
      <c r="AA56" s="2056"/>
      <c r="AB56" s="2056"/>
      <c r="AC56" s="2056"/>
      <c r="AD56" s="2056"/>
      <c r="AE56" s="2056"/>
      <c r="AF56" s="2056"/>
      <c r="AG56" s="2056"/>
      <c r="AH56" s="2057"/>
      <c r="AI56" s="2057"/>
      <c r="AJ56" s="2057"/>
      <c r="AK56" s="2057"/>
      <c r="AL56" s="2057"/>
      <c r="AM56" s="2057"/>
      <c r="AN56" s="2057"/>
      <c r="AO56" s="2058"/>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068" t="s">
        <v>1572</v>
      </c>
      <c r="C57" s="2069"/>
      <c r="D57" s="2069"/>
      <c r="E57" s="2069"/>
      <c r="F57" s="2069"/>
      <c r="G57" s="2069"/>
      <c r="H57" s="2069"/>
      <c r="I57" s="2069"/>
      <c r="J57" s="2069"/>
      <c r="K57" s="2069"/>
      <c r="L57" s="2069"/>
      <c r="M57" s="2069"/>
      <c r="N57" s="2069"/>
      <c r="O57" s="2069"/>
      <c r="P57" s="2069"/>
      <c r="Q57" s="2069"/>
      <c r="R57" s="2070">
        <f>SUM(R52:Y56)</f>
        <v>0</v>
      </c>
      <c r="S57" s="2070"/>
      <c r="T57" s="2070"/>
      <c r="U57" s="2070"/>
      <c r="V57" s="2070"/>
      <c r="W57" s="2070"/>
      <c r="X57" s="2070"/>
      <c r="Y57" s="2070"/>
      <c r="Z57" s="2071">
        <f>SUM(Z52:AG56)</f>
        <v>0</v>
      </c>
      <c r="AA57" s="2071"/>
      <c r="AB57" s="2071"/>
      <c r="AC57" s="2071"/>
      <c r="AD57" s="2071"/>
      <c r="AE57" s="2071"/>
      <c r="AF57" s="2071"/>
      <c r="AG57" s="2071"/>
      <c r="AH57" s="2072"/>
      <c r="AI57" s="2072"/>
      <c r="AJ57" s="2072"/>
      <c r="AK57" s="2072"/>
      <c r="AL57" s="2072"/>
      <c r="AM57" s="2072"/>
      <c r="AN57" s="2072"/>
      <c r="AO57" s="2073"/>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059" t="s">
        <v>2327</v>
      </c>
      <c r="C59" s="2060"/>
      <c r="D59" s="2060"/>
      <c r="E59" s="2060"/>
      <c r="F59" s="2060"/>
      <c r="G59" s="2060"/>
      <c r="H59" s="2060"/>
      <c r="I59" s="2061"/>
      <c r="J59" s="1953" t="s">
        <v>2326</v>
      </c>
      <c r="K59" s="1953"/>
      <c r="L59" s="1953"/>
      <c r="M59" s="1953"/>
      <c r="N59" s="1953"/>
      <c r="O59" s="1953"/>
      <c r="P59" s="1953"/>
      <c r="Q59" s="1953"/>
      <c r="R59" s="1953"/>
      <c r="S59" s="1953"/>
      <c r="T59" s="1953"/>
      <c r="U59" s="1953"/>
      <c r="V59" s="1953"/>
      <c r="W59" s="1953"/>
      <c r="X59" s="1953"/>
      <c r="Y59" s="1953"/>
      <c r="Z59" s="1953"/>
      <c r="AA59" s="1953"/>
      <c r="AB59" s="1953"/>
      <c r="AC59" s="1953"/>
      <c r="AD59" s="1953"/>
      <c r="AE59" s="1953"/>
      <c r="AF59" s="1953"/>
      <c r="AG59" s="1953"/>
      <c r="AH59" s="1953"/>
      <c r="AI59" s="1953"/>
      <c r="AJ59" s="1953"/>
      <c r="AK59" s="1953"/>
      <c r="AL59" s="1953"/>
      <c r="AM59" s="1953"/>
      <c r="AN59" s="1953"/>
      <c r="AO59" s="1953"/>
      <c r="AP59" s="1953"/>
      <c r="AQ59" s="1953"/>
      <c r="AR59" s="1953"/>
      <c r="AS59" s="1953"/>
      <c r="AT59" s="1953"/>
      <c r="AU59" s="1953"/>
      <c r="AV59" s="1953"/>
      <c r="AW59" s="1954"/>
      <c r="AX59" s="1202"/>
      <c r="AY59" s="1202"/>
      <c r="AZ59" s="1202"/>
      <c r="BA59" s="1202"/>
      <c r="BB59" s="1202"/>
      <c r="BC59" s="1202"/>
      <c r="BD59" s="1202"/>
      <c r="BE59" s="1209"/>
    </row>
    <row r="60" spans="1:77" ht="15.75" customHeight="1">
      <c r="A60" s="1202"/>
      <c r="B60" s="2062" t="str">
        <f>IF(B52="", "", B52)</f>
        <v>Services Company 1</v>
      </c>
      <c r="C60" s="2063"/>
      <c r="D60" s="2063"/>
      <c r="E60" s="2063"/>
      <c r="F60" s="2063"/>
      <c r="G60" s="2063"/>
      <c r="H60" s="2063"/>
      <c r="I60" s="2064"/>
      <c r="J60" s="2065"/>
      <c r="K60" s="2066"/>
      <c r="L60" s="2066"/>
      <c r="M60" s="2066"/>
      <c r="N60" s="2066"/>
      <c r="O60" s="2066"/>
      <c r="P60" s="2066"/>
      <c r="Q60" s="2066"/>
      <c r="R60" s="2066"/>
      <c r="S60" s="2066"/>
      <c r="T60" s="2066"/>
      <c r="U60" s="2066"/>
      <c r="V60" s="2066"/>
      <c r="W60" s="2066"/>
      <c r="X60" s="2066"/>
      <c r="Y60" s="2066"/>
      <c r="Z60" s="2066"/>
      <c r="AA60" s="2066"/>
      <c r="AB60" s="2066"/>
      <c r="AC60" s="2066"/>
      <c r="AD60" s="2066"/>
      <c r="AE60" s="2066"/>
      <c r="AF60" s="2066"/>
      <c r="AG60" s="2066"/>
      <c r="AH60" s="2066"/>
      <c r="AI60" s="2066"/>
      <c r="AJ60" s="2066"/>
      <c r="AK60" s="2066"/>
      <c r="AL60" s="2066"/>
      <c r="AM60" s="2066"/>
      <c r="AN60" s="2066"/>
      <c r="AO60" s="2066"/>
      <c r="AP60" s="2066"/>
      <c r="AQ60" s="2066"/>
      <c r="AR60" s="2066"/>
      <c r="AS60" s="2066"/>
      <c r="AT60" s="2066"/>
      <c r="AU60" s="2066"/>
      <c r="AV60" s="2066"/>
      <c r="AW60" s="2067"/>
      <c r="AX60" s="1202"/>
      <c r="AY60" s="1202"/>
      <c r="AZ60" s="1202"/>
      <c r="BA60" s="1202"/>
      <c r="BB60" s="1202"/>
      <c r="BC60" s="1202"/>
      <c r="BD60" s="1202"/>
      <c r="BE60" s="1209"/>
    </row>
    <row r="61" spans="1:77" ht="15.75" customHeight="1">
      <c r="A61" s="1202"/>
      <c r="B61" s="2062" t="str">
        <f>IF(B53="", "", B53)</f>
        <v>Services Company 2</v>
      </c>
      <c r="C61" s="2063"/>
      <c r="D61" s="2063"/>
      <c r="E61" s="2063"/>
      <c r="F61" s="2063"/>
      <c r="G61" s="2063"/>
      <c r="H61" s="2063"/>
      <c r="I61" s="2064"/>
      <c r="J61" s="2065"/>
      <c r="K61" s="2066"/>
      <c r="L61" s="2066"/>
      <c r="M61" s="2066"/>
      <c r="N61" s="2066"/>
      <c r="O61" s="2066"/>
      <c r="P61" s="2066"/>
      <c r="Q61" s="2066"/>
      <c r="R61" s="2066"/>
      <c r="S61" s="2066"/>
      <c r="T61" s="2066"/>
      <c r="U61" s="2066"/>
      <c r="V61" s="2066"/>
      <c r="W61" s="2066"/>
      <c r="X61" s="2066"/>
      <c r="Y61" s="2066"/>
      <c r="Z61" s="2066"/>
      <c r="AA61" s="2066"/>
      <c r="AB61" s="2066"/>
      <c r="AC61" s="2066"/>
      <c r="AD61" s="2066"/>
      <c r="AE61" s="2066"/>
      <c r="AF61" s="2066"/>
      <c r="AG61" s="2066"/>
      <c r="AH61" s="2066"/>
      <c r="AI61" s="2066"/>
      <c r="AJ61" s="2066"/>
      <c r="AK61" s="2066"/>
      <c r="AL61" s="2066"/>
      <c r="AM61" s="2066"/>
      <c r="AN61" s="2066"/>
      <c r="AO61" s="2066"/>
      <c r="AP61" s="2066"/>
      <c r="AQ61" s="2066"/>
      <c r="AR61" s="2066"/>
      <c r="AS61" s="2066"/>
      <c r="AT61" s="2066"/>
      <c r="AU61" s="2066"/>
      <c r="AV61" s="2066"/>
      <c r="AW61" s="2067"/>
      <c r="AX61" s="1202"/>
      <c r="AY61" s="1202"/>
      <c r="AZ61" s="1202"/>
      <c r="BA61" s="1202"/>
      <c r="BB61" s="1202"/>
      <c r="BC61" s="1202"/>
      <c r="BD61" s="1202"/>
      <c r="BE61" s="1209"/>
    </row>
    <row r="62" spans="1:77" ht="15.75" customHeight="1">
      <c r="A62" s="1202"/>
      <c r="B62" s="2062" t="str">
        <f>IF(B54="", "", B54)</f>
        <v/>
      </c>
      <c r="C62" s="2063"/>
      <c r="D62" s="2063"/>
      <c r="E62" s="2063"/>
      <c r="F62" s="2063"/>
      <c r="G62" s="2063"/>
      <c r="H62" s="2063"/>
      <c r="I62" s="2064"/>
      <c r="J62" s="2065"/>
      <c r="K62" s="2066"/>
      <c r="L62" s="2066"/>
      <c r="M62" s="2066"/>
      <c r="N62" s="2066"/>
      <c r="O62" s="2066"/>
      <c r="P62" s="2066"/>
      <c r="Q62" s="2066"/>
      <c r="R62" s="2066"/>
      <c r="S62" s="2066"/>
      <c r="T62" s="2066"/>
      <c r="U62" s="2066"/>
      <c r="V62" s="2066"/>
      <c r="W62" s="2066"/>
      <c r="X62" s="2066"/>
      <c r="Y62" s="2066"/>
      <c r="Z62" s="2066"/>
      <c r="AA62" s="2066"/>
      <c r="AB62" s="2066"/>
      <c r="AC62" s="2066"/>
      <c r="AD62" s="2066"/>
      <c r="AE62" s="2066"/>
      <c r="AF62" s="2066"/>
      <c r="AG62" s="2066"/>
      <c r="AH62" s="2066"/>
      <c r="AI62" s="2066"/>
      <c r="AJ62" s="2066"/>
      <c r="AK62" s="2066"/>
      <c r="AL62" s="2066"/>
      <c r="AM62" s="2066"/>
      <c r="AN62" s="2066"/>
      <c r="AO62" s="2066"/>
      <c r="AP62" s="2066"/>
      <c r="AQ62" s="2066"/>
      <c r="AR62" s="2066"/>
      <c r="AS62" s="2066"/>
      <c r="AT62" s="2066"/>
      <c r="AU62" s="2066"/>
      <c r="AV62" s="2066"/>
      <c r="AW62" s="2067"/>
      <c r="AX62" s="1202"/>
      <c r="AY62" s="1202"/>
      <c r="AZ62" s="1202"/>
      <c r="BA62" s="1202"/>
      <c r="BB62" s="1202"/>
      <c r="BC62" s="1202"/>
      <c r="BD62" s="1202"/>
      <c r="BE62" s="1209"/>
    </row>
    <row r="63" spans="1:77" ht="15.75" customHeight="1">
      <c r="A63" s="1202"/>
      <c r="B63" s="2062" t="str">
        <f>IF(B55="", "", B55)</f>
        <v/>
      </c>
      <c r="C63" s="2063"/>
      <c r="D63" s="2063"/>
      <c r="E63" s="2063"/>
      <c r="F63" s="2063"/>
      <c r="G63" s="2063"/>
      <c r="H63" s="2063"/>
      <c r="I63" s="2064"/>
      <c r="J63" s="2065"/>
      <c r="K63" s="2066"/>
      <c r="L63" s="2066"/>
      <c r="M63" s="2066"/>
      <c r="N63" s="2066"/>
      <c r="O63" s="2066"/>
      <c r="P63" s="2066"/>
      <c r="Q63" s="2066"/>
      <c r="R63" s="2066"/>
      <c r="S63" s="2066"/>
      <c r="T63" s="2066"/>
      <c r="U63" s="2066"/>
      <c r="V63" s="2066"/>
      <c r="W63" s="2066"/>
      <c r="X63" s="2066"/>
      <c r="Y63" s="2066"/>
      <c r="Z63" s="2066"/>
      <c r="AA63" s="2066"/>
      <c r="AB63" s="2066"/>
      <c r="AC63" s="2066"/>
      <c r="AD63" s="2066"/>
      <c r="AE63" s="2066"/>
      <c r="AF63" s="2066"/>
      <c r="AG63" s="2066"/>
      <c r="AH63" s="2066"/>
      <c r="AI63" s="2066"/>
      <c r="AJ63" s="2066"/>
      <c r="AK63" s="2066"/>
      <c r="AL63" s="2066"/>
      <c r="AM63" s="2066"/>
      <c r="AN63" s="2066"/>
      <c r="AO63" s="2066"/>
      <c r="AP63" s="2066"/>
      <c r="AQ63" s="2066"/>
      <c r="AR63" s="2066"/>
      <c r="AS63" s="2066"/>
      <c r="AT63" s="2066"/>
      <c r="AU63" s="2066"/>
      <c r="AV63" s="2066"/>
      <c r="AW63" s="2067"/>
      <c r="AX63" s="1202"/>
      <c r="AY63" s="1202"/>
      <c r="AZ63" s="1202"/>
      <c r="BA63" s="1202"/>
      <c r="BB63" s="1202"/>
      <c r="BC63" s="1202"/>
      <c r="BD63" s="1202"/>
      <c r="BE63" s="1209"/>
    </row>
    <row r="64" spans="1:77" ht="15.75" customHeight="1" thickBot="1">
      <c r="A64" s="1202"/>
      <c r="B64" s="2082" t="str">
        <f>IF(B56="", "", B56)</f>
        <v/>
      </c>
      <c r="C64" s="2083"/>
      <c r="D64" s="2083"/>
      <c r="E64" s="2083"/>
      <c r="F64" s="2083"/>
      <c r="G64" s="2083"/>
      <c r="H64" s="2083"/>
      <c r="I64" s="2084"/>
      <c r="J64" s="2085"/>
      <c r="K64" s="2086"/>
      <c r="L64" s="2086"/>
      <c r="M64" s="2086"/>
      <c r="N64" s="2086"/>
      <c r="O64" s="2086"/>
      <c r="P64" s="2086"/>
      <c r="Q64" s="2086"/>
      <c r="R64" s="2086"/>
      <c r="S64" s="2086"/>
      <c r="T64" s="2086"/>
      <c r="U64" s="2086"/>
      <c r="V64" s="2086"/>
      <c r="W64" s="2086"/>
      <c r="X64" s="2086"/>
      <c r="Y64" s="2086"/>
      <c r="Z64" s="2086"/>
      <c r="AA64" s="2086"/>
      <c r="AB64" s="2086"/>
      <c r="AC64" s="2086"/>
      <c r="AD64" s="2086"/>
      <c r="AE64" s="2086"/>
      <c r="AF64" s="2086"/>
      <c r="AG64" s="2086"/>
      <c r="AH64" s="2086"/>
      <c r="AI64" s="2086"/>
      <c r="AJ64" s="2086"/>
      <c r="AK64" s="2086"/>
      <c r="AL64" s="2086"/>
      <c r="AM64" s="2086"/>
      <c r="AN64" s="2086"/>
      <c r="AO64" s="2086"/>
      <c r="AP64" s="2086"/>
      <c r="AQ64" s="2086"/>
      <c r="AR64" s="2086"/>
      <c r="AS64" s="2086"/>
      <c r="AT64" s="2086"/>
      <c r="AU64" s="2086"/>
      <c r="AV64" s="2086"/>
      <c r="AW64" s="2087"/>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2325</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1952" t="s">
        <v>2324</v>
      </c>
      <c r="C68" s="1953"/>
      <c r="D68" s="1953"/>
      <c r="E68" s="1953"/>
      <c r="F68" s="1953"/>
      <c r="G68" s="1953"/>
      <c r="H68" s="1953"/>
      <c r="I68" s="1953"/>
      <c r="J68" s="1953"/>
      <c r="K68" s="1953"/>
      <c r="L68" s="1953"/>
      <c r="M68" s="1953"/>
      <c r="N68" s="1953"/>
      <c r="O68" s="1953"/>
      <c r="P68" s="1953"/>
      <c r="Q68" s="1953"/>
      <c r="R68" s="1953"/>
      <c r="S68" s="1953"/>
      <c r="T68" s="1953"/>
      <c r="U68" s="1953"/>
      <c r="V68" s="1953"/>
      <c r="W68" s="1953"/>
      <c r="X68" s="1953"/>
      <c r="Y68" s="1953"/>
      <c r="Z68" s="1953"/>
      <c r="AA68" s="1954"/>
      <c r="AB68" s="1202"/>
      <c r="AC68" s="2094" t="s">
        <v>2323</v>
      </c>
      <c r="AD68" s="2095"/>
      <c r="AE68" s="2095"/>
      <c r="AF68" s="2095"/>
      <c r="AG68" s="2095"/>
      <c r="AH68" s="2095"/>
      <c r="AI68" s="2095"/>
      <c r="AJ68" s="2095"/>
      <c r="AK68" s="2095"/>
      <c r="AL68" s="2095"/>
      <c r="AM68" s="2095"/>
      <c r="AN68" s="2095"/>
      <c r="AO68" s="2095"/>
      <c r="AP68" s="2095"/>
      <c r="AQ68" s="2095"/>
      <c r="AR68" s="2095"/>
      <c r="AS68" s="2095"/>
      <c r="AT68" s="2095"/>
      <c r="AU68" s="2095"/>
      <c r="AV68" s="2074" t="s">
        <v>667</v>
      </c>
      <c r="AW68" s="2075"/>
      <c r="AX68" s="2075"/>
      <c r="AY68" s="2075"/>
      <c r="AZ68" s="2075"/>
      <c r="BA68" s="2075"/>
      <c r="BB68" s="2075"/>
      <c r="BC68" s="2076"/>
      <c r="BD68" s="1202"/>
      <c r="BE68" s="1209"/>
      <c r="BM68" s="1215" t="s">
        <v>2322</v>
      </c>
    </row>
    <row r="69" spans="1:94" ht="15.75" customHeight="1" thickTop="1" thickBot="1">
      <c r="A69" s="1202"/>
      <c r="B69" s="2077" t="s">
        <v>2321</v>
      </c>
      <c r="C69" s="2078"/>
      <c r="D69" s="2078"/>
      <c r="E69" s="2078"/>
      <c r="F69" s="2078"/>
      <c r="G69" s="2078"/>
      <c r="H69" s="2078"/>
      <c r="I69" s="2078"/>
      <c r="J69" s="2078"/>
      <c r="K69" s="2078"/>
      <c r="L69" s="2078"/>
      <c r="M69" s="2078"/>
      <c r="N69" s="2078"/>
      <c r="O69" s="1925" t="s">
        <v>2320</v>
      </c>
      <c r="P69" s="1926"/>
      <c r="Q69" s="1926"/>
      <c r="R69" s="1926"/>
      <c r="S69" s="1926"/>
      <c r="T69" s="1926"/>
      <c r="U69" s="1926"/>
      <c r="V69" s="1926"/>
      <c r="W69" s="1926"/>
      <c r="X69" s="1926"/>
      <c r="Y69" s="1926"/>
      <c r="Z69" s="1926"/>
      <c r="AA69" s="2079"/>
      <c r="AB69" s="1202"/>
      <c r="AC69" s="2080" t="s">
        <v>2319</v>
      </c>
      <c r="AD69" s="2081"/>
      <c r="AE69" s="2081"/>
      <c r="AF69" s="2081"/>
      <c r="AG69" s="2081"/>
      <c r="AH69" s="2081"/>
      <c r="AI69" s="2081"/>
      <c r="AJ69" s="2081"/>
      <c r="AK69" s="2081"/>
      <c r="AL69" s="2081"/>
      <c r="AM69" s="2081"/>
      <c r="AN69" s="2081"/>
      <c r="AO69" s="2081"/>
      <c r="AP69" s="2081"/>
      <c r="AQ69" s="2081"/>
      <c r="AR69" s="2081"/>
      <c r="AS69" s="2081"/>
      <c r="AT69" s="2081"/>
      <c r="AU69" s="2081"/>
      <c r="AV69" s="2074" t="s">
        <v>667</v>
      </c>
      <c r="AW69" s="2075"/>
      <c r="AX69" s="2075"/>
      <c r="AY69" s="2075"/>
      <c r="AZ69" s="2075"/>
      <c r="BA69" s="2075"/>
      <c r="BB69" s="2075"/>
      <c r="BC69" s="2076"/>
      <c r="BD69" s="1202"/>
      <c r="BE69" s="1209"/>
      <c r="BM69" s="1216" t="s">
        <v>543</v>
      </c>
    </row>
    <row r="70" spans="1:94" ht="15.75" customHeight="1">
      <c r="A70" s="1202"/>
      <c r="B70" s="2031" t="s">
        <v>2318</v>
      </c>
      <c r="C70" s="2032"/>
      <c r="D70" s="2032"/>
      <c r="E70" s="2032"/>
      <c r="F70" s="2032"/>
      <c r="G70" s="2032"/>
      <c r="H70" s="2032"/>
      <c r="I70" s="2032"/>
      <c r="J70" s="2032"/>
      <c r="K70" s="2032"/>
      <c r="L70" s="2032"/>
      <c r="M70" s="2032"/>
      <c r="N70" s="2032"/>
      <c r="O70" s="2088">
        <v>0</v>
      </c>
      <c r="P70" s="2088"/>
      <c r="Q70" s="2088"/>
      <c r="R70" s="2088"/>
      <c r="S70" s="2088"/>
      <c r="T70" s="2088"/>
      <c r="U70" s="2088"/>
      <c r="V70" s="2088"/>
      <c r="W70" s="2088"/>
      <c r="X70" s="2088"/>
      <c r="Y70" s="2088"/>
      <c r="Z70" s="2088"/>
      <c r="AA70" s="2089"/>
      <c r="AB70" s="1202"/>
      <c r="AC70" s="2047" t="s">
        <v>2317</v>
      </c>
      <c r="AD70" s="2048"/>
      <c r="AE70" s="2048"/>
      <c r="AF70" s="2090"/>
      <c r="AG70" s="2090"/>
      <c r="AH70" s="2090"/>
      <c r="AI70" s="2090"/>
      <c r="AJ70" s="2090"/>
      <c r="AK70" s="2090"/>
      <c r="AL70" s="2090"/>
      <c r="AM70" s="2090"/>
      <c r="AN70" s="2090"/>
      <c r="AO70" s="2090"/>
      <c r="AP70" s="2090"/>
      <c r="AQ70" s="2090"/>
      <c r="AR70" s="2090"/>
      <c r="AS70" s="2090"/>
      <c r="AT70" s="2090"/>
      <c r="AU70" s="2091"/>
      <c r="AV70" s="1202"/>
      <c r="AW70" s="1202"/>
      <c r="AX70" s="1202"/>
      <c r="AY70" s="1202"/>
      <c r="AZ70" s="1202"/>
      <c r="BA70" s="1202"/>
      <c r="BB70" s="1202"/>
      <c r="BC70" s="1202"/>
      <c r="BD70" s="1202"/>
      <c r="BE70" s="1209"/>
      <c r="BM70" s="1217" t="s">
        <v>667</v>
      </c>
    </row>
    <row r="71" spans="1:94" ht="15.75" customHeight="1" thickBot="1">
      <c r="A71" s="1202"/>
      <c r="B71" s="2031" t="s">
        <v>2316</v>
      </c>
      <c r="C71" s="2032"/>
      <c r="D71" s="2032"/>
      <c r="E71" s="2032"/>
      <c r="F71" s="2032"/>
      <c r="G71" s="2032"/>
      <c r="H71" s="2032"/>
      <c r="I71" s="2032"/>
      <c r="J71" s="2032"/>
      <c r="K71" s="2032"/>
      <c r="L71" s="2032"/>
      <c r="M71" s="2032"/>
      <c r="N71" s="2032"/>
      <c r="O71" s="2088">
        <v>0</v>
      </c>
      <c r="P71" s="2088"/>
      <c r="Q71" s="2088"/>
      <c r="R71" s="2088"/>
      <c r="S71" s="2088"/>
      <c r="T71" s="2088"/>
      <c r="U71" s="2088"/>
      <c r="V71" s="2088"/>
      <c r="W71" s="2088"/>
      <c r="X71" s="2088"/>
      <c r="Y71" s="2088"/>
      <c r="Z71" s="2088"/>
      <c r="AA71" s="2089"/>
      <c r="AB71" s="1202"/>
      <c r="AC71" s="2092" t="s">
        <v>2315</v>
      </c>
      <c r="AD71" s="2093"/>
      <c r="AE71" s="2093"/>
      <c r="AF71" s="2086"/>
      <c r="AG71" s="2086"/>
      <c r="AH71" s="2086"/>
      <c r="AI71" s="2086"/>
      <c r="AJ71" s="2086"/>
      <c r="AK71" s="2086"/>
      <c r="AL71" s="2086"/>
      <c r="AM71" s="2086"/>
      <c r="AN71" s="2086"/>
      <c r="AO71" s="2086"/>
      <c r="AP71" s="2086"/>
      <c r="AQ71" s="2086"/>
      <c r="AR71" s="2086"/>
      <c r="AS71" s="2086"/>
      <c r="AT71" s="2086"/>
      <c r="AU71" s="2087"/>
      <c r="AV71" s="1202"/>
      <c r="AW71" s="1202"/>
      <c r="AX71" s="1202"/>
      <c r="AY71" s="1202"/>
      <c r="AZ71" s="1202"/>
      <c r="BA71" s="1202"/>
      <c r="BB71" s="1202"/>
      <c r="BC71" s="1202"/>
      <c r="BD71" s="1202"/>
      <c r="BE71" s="1209"/>
      <c r="BM71" s="1198" t="s">
        <v>2314</v>
      </c>
    </row>
    <row r="72" spans="1:94" ht="15.75" customHeight="1">
      <c r="A72" s="1202"/>
      <c r="B72" s="2031" t="s">
        <v>2313</v>
      </c>
      <c r="C72" s="2032"/>
      <c r="D72" s="2032"/>
      <c r="E72" s="2032"/>
      <c r="F72" s="2032"/>
      <c r="G72" s="2032"/>
      <c r="H72" s="2032"/>
      <c r="I72" s="2032"/>
      <c r="J72" s="2032"/>
      <c r="K72" s="2032"/>
      <c r="L72" s="2032"/>
      <c r="M72" s="2032"/>
      <c r="N72" s="2032"/>
      <c r="O72" s="2088">
        <v>0</v>
      </c>
      <c r="P72" s="2088"/>
      <c r="Q72" s="2088"/>
      <c r="R72" s="2088"/>
      <c r="S72" s="2088"/>
      <c r="T72" s="2088"/>
      <c r="U72" s="2088"/>
      <c r="V72" s="2088"/>
      <c r="W72" s="2088"/>
      <c r="X72" s="2088"/>
      <c r="Y72" s="2088"/>
      <c r="Z72" s="2088"/>
      <c r="AA72" s="2089"/>
      <c r="AB72" s="1202"/>
      <c r="AC72" s="2096" t="s">
        <v>2312</v>
      </c>
      <c r="AD72" s="2097"/>
      <c r="AE72" s="2097"/>
      <c r="AF72" s="2097"/>
      <c r="AG72" s="2097"/>
      <c r="AH72" s="2097"/>
      <c r="AI72" s="2097"/>
      <c r="AJ72" s="2097"/>
      <c r="AK72" s="2097"/>
      <c r="AL72" s="2097"/>
      <c r="AM72" s="2097"/>
      <c r="AN72" s="2097"/>
      <c r="AO72" s="2097"/>
      <c r="AP72" s="2097"/>
      <c r="AQ72" s="2097"/>
      <c r="AR72" s="2097"/>
      <c r="AS72" s="2097"/>
      <c r="AT72" s="2097"/>
      <c r="AU72" s="2097"/>
      <c r="AV72" s="2048"/>
      <c r="AW72" s="2048"/>
      <c r="AX72" s="2048"/>
      <c r="AY72" s="2048"/>
      <c r="AZ72" s="2048"/>
      <c r="BA72" s="2048"/>
      <c r="BB72" s="2048"/>
      <c r="BC72" s="2049"/>
      <c r="BD72" s="1202"/>
      <c r="BE72" s="1209"/>
    </row>
    <row r="73" spans="1:94" ht="15.75" customHeight="1">
      <c r="A73" s="1202"/>
      <c r="B73" s="2035" t="s">
        <v>2311</v>
      </c>
      <c r="C73" s="2036"/>
      <c r="D73" s="2036"/>
      <c r="E73" s="2036"/>
      <c r="F73" s="2036"/>
      <c r="G73" s="2036"/>
      <c r="H73" s="2036"/>
      <c r="I73" s="2036"/>
      <c r="J73" s="2036"/>
      <c r="K73" s="2036"/>
      <c r="L73" s="2036"/>
      <c r="M73" s="2036"/>
      <c r="N73" s="2036"/>
      <c r="O73" s="2088">
        <v>0</v>
      </c>
      <c r="P73" s="2088"/>
      <c r="Q73" s="2088"/>
      <c r="R73" s="2088"/>
      <c r="S73" s="2088"/>
      <c r="T73" s="2088"/>
      <c r="U73" s="2088"/>
      <c r="V73" s="2088"/>
      <c r="W73" s="2088"/>
      <c r="X73" s="2088"/>
      <c r="Y73" s="2088"/>
      <c r="Z73" s="2088"/>
      <c r="AA73" s="2089"/>
      <c r="AB73" s="1202"/>
      <c r="AC73" s="2098" t="s">
        <v>2264</v>
      </c>
      <c r="AD73" s="2099"/>
      <c r="AE73" s="2099"/>
      <c r="AF73" s="2099"/>
      <c r="AG73" s="2099"/>
      <c r="AH73" s="2099"/>
      <c r="AI73" s="2099"/>
      <c r="AJ73" s="2099"/>
      <c r="AK73" s="2099"/>
      <c r="AL73" s="2099"/>
      <c r="AM73" s="2099"/>
      <c r="AN73" s="2099"/>
      <c r="AO73" s="2099"/>
      <c r="AP73" s="2099"/>
      <c r="AQ73" s="2099"/>
      <c r="AR73" s="2099"/>
      <c r="AS73" s="2099"/>
      <c r="AT73" s="2099"/>
      <c r="AU73" s="2099"/>
      <c r="AV73" s="2099"/>
      <c r="AW73" s="2099"/>
      <c r="AX73" s="2099"/>
      <c r="AY73" s="2099"/>
      <c r="AZ73" s="2099"/>
      <c r="BA73" s="2099"/>
      <c r="BB73" s="2099"/>
      <c r="BC73" s="2100"/>
      <c r="BD73" s="1202"/>
      <c r="BE73" s="1209"/>
      <c r="CK73" s="1200"/>
      <c r="CL73" s="1200"/>
      <c r="CM73" s="1200"/>
      <c r="CN73" s="1200"/>
      <c r="CO73" s="1200"/>
      <c r="CP73" s="1200"/>
    </row>
    <row r="74" spans="1:94" ht="15.75" customHeight="1">
      <c r="A74" s="1202"/>
      <c r="B74" s="2104"/>
      <c r="C74" s="2054"/>
      <c r="D74" s="2054"/>
      <c r="E74" s="2054"/>
      <c r="F74" s="2054"/>
      <c r="G74" s="2054"/>
      <c r="H74" s="2054"/>
      <c r="I74" s="2054"/>
      <c r="J74" s="2054"/>
      <c r="K74" s="2054"/>
      <c r="L74" s="2054"/>
      <c r="M74" s="2054"/>
      <c r="N74" s="2054"/>
      <c r="O74" s="2088"/>
      <c r="P74" s="2088"/>
      <c r="Q74" s="2088"/>
      <c r="R74" s="2088"/>
      <c r="S74" s="2088"/>
      <c r="T74" s="2088"/>
      <c r="U74" s="2088"/>
      <c r="V74" s="2088"/>
      <c r="W74" s="2088"/>
      <c r="X74" s="2088"/>
      <c r="Y74" s="2088"/>
      <c r="Z74" s="2088"/>
      <c r="AA74" s="2089"/>
      <c r="AB74" s="1202"/>
      <c r="AC74" s="2098"/>
      <c r="AD74" s="2099"/>
      <c r="AE74" s="2099"/>
      <c r="AF74" s="2099"/>
      <c r="AG74" s="2099"/>
      <c r="AH74" s="2099"/>
      <c r="AI74" s="2099"/>
      <c r="AJ74" s="2099"/>
      <c r="AK74" s="2099"/>
      <c r="AL74" s="2099"/>
      <c r="AM74" s="2099"/>
      <c r="AN74" s="2099"/>
      <c r="AO74" s="2099"/>
      <c r="AP74" s="2099"/>
      <c r="AQ74" s="2099"/>
      <c r="AR74" s="2099"/>
      <c r="AS74" s="2099"/>
      <c r="AT74" s="2099"/>
      <c r="AU74" s="2099"/>
      <c r="AV74" s="2099"/>
      <c r="AW74" s="2099"/>
      <c r="AX74" s="2099"/>
      <c r="AY74" s="2099"/>
      <c r="AZ74" s="2099"/>
      <c r="BA74" s="2099"/>
      <c r="BB74" s="2099"/>
      <c r="BC74" s="2100"/>
      <c r="BD74" s="1202"/>
      <c r="BE74" s="1209"/>
      <c r="CK74" s="1200"/>
      <c r="CL74" s="1200"/>
      <c r="CM74" s="1200"/>
      <c r="CN74" s="1200"/>
      <c r="CO74" s="1200"/>
      <c r="CP74" s="1200"/>
    </row>
    <row r="75" spans="1:94" ht="15.75" customHeight="1" thickBot="1">
      <c r="A75" s="1202"/>
      <c r="B75" s="2105" t="s">
        <v>124</v>
      </c>
      <c r="C75" s="2106"/>
      <c r="D75" s="2106"/>
      <c r="E75" s="2106"/>
      <c r="F75" s="2106"/>
      <c r="G75" s="2106"/>
      <c r="H75" s="2106"/>
      <c r="I75" s="2106"/>
      <c r="J75" s="2106"/>
      <c r="K75" s="2106"/>
      <c r="L75" s="2106"/>
      <c r="M75" s="2106"/>
      <c r="N75" s="2106"/>
      <c r="O75" s="2107">
        <f>SUM(O70:AA74)</f>
        <v>0</v>
      </c>
      <c r="P75" s="2107"/>
      <c r="Q75" s="2107"/>
      <c r="R75" s="2107"/>
      <c r="S75" s="2107"/>
      <c r="T75" s="2107"/>
      <c r="U75" s="2107"/>
      <c r="V75" s="2107"/>
      <c r="W75" s="2107"/>
      <c r="X75" s="2107"/>
      <c r="Y75" s="2107"/>
      <c r="Z75" s="2107"/>
      <c r="AA75" s="2108"/>
      <c r="AB75" s="1202"/>
      <c r="AC75" s="2098"/>
      <c r="AD75" s="2099"/>
      <c r="AE75" s="2099"/>
      <c r="AF75" s="2099"/>
      <c r="AG75" s="2099"/>
      <c r="AH75" s="2099"/>
      <c r="AI75" s="2099"/>
      <c r="AJ75" s="2099"/>
      <c r="AK75" s="2099"/>
      <c r="AL75" s="2099"/>
      <c r="AM75" s="2099"/>
      <c r="AN75" s="2099"/>
      <c r="AO75" s="2099"/>
      <c r="AP75" s="2099"/>
      <c r="AQ75" s="2099"/>
      <c r="AR75" s="2099"/>
      <c r="AS75" s="2099"/>
      <c r="AT75" s="2099"/>
      <c r="AU75" s="2099"/>
      <c r="AV75" s="2099"/>
      <c r="AW75" s="2099"/>
      <c r="AX75" s="2099"/>
      <c r="AY75" s="2099"/>
      <c r="AZ75" s="2099"/>
      <c r="BA75" s="2099"/>
      <c r="BB75" s="2099"/>
      <c r="BC75" s="2100"/>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98"/>
      <c r="AD76" s="2099"/>
      <c r="AE76" s="2099"/>
      <c r="AF76" s="2099"/>
      <c r="AG76" s="2099"/>
      <c r="AH76" s="2099"/>
      <c r="AI76" s="2099"/>
      <c r="AJ76" s="2099"/>
      <c r="AK76" s="2099"/>
      <c r="AL76" s="2099"/>
      <c r="AM76" s="2099"/>
      <c r="AN76" s="2099"/>
      <c r="AO76" s="2099"/>
      <c r="AP76" s="2099"/>
      <c r="AQ76" s="2099"/>
      <c r="AR76" s="2099"/>
      <c r="AS76" s="2099"/>
      <c r="AT76" s="2099"/>
      <c r="AU76" s="2099"/>
      <c r="AV76" s="2099"/>
      <c r="AW76" s="2099"/>
      <c r="AX76" s="2099"/>
      <c r="AY76" s="2099"/>
      <c r="AZ76" s="2099"/>
      <c r="BA76" s="2099"/>
      <c r="BB76" s="2099"/>
      <c r="BC76" s="2100"/>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101"/>
      <c r="AD77" s="2102"/>
      <c r="AE77" s="2102"/>
      <c r="AF77" s="2102"/>
      <c r="AG77" s="2102"/>
      <c r="AH77" s="2102"/>
      <c r="AI77" s="2102"/>
      <c r="AJ77" s="2102"/>
      <c r="AK77" s="2102"/>
      <c r="AL77" s="2102"/>
      <c r="AM77" s="2102"/>
      <c r="AN77" s="2102"/>
      <c r="AO77" s="2102"/>
      <c r="AP77" s="2102"/>
      <c r="AQ77" s="2102"/>
      <c r="AR77" s="2102"/>
      <c r="AS77" s="2102"/>
      <c r="AT77" s="2102"/>
      <c r="AU77" s="2102"/>
      <c r="AV77" s="2102"/>
      <c r="AW77" s="2102"/>
      <c r="AX77" s="2102"/>
      <c r="AY77" s="2102"/>
      <c r="AZ77" s="2102"/>
      <c r="BA77" s="2102"/>
      <c r="BB77" s="2102"/>
      <c r="BC77" s="2103"/>
      <c r="BD77" s="1202"/>
      <c r="BE77" s="1209"/>
      <c r="CK77" s="1200"/>
      <c r="CL77" s="1200"/>
      <c r="CM77" s="1200"/>
      <c r="CN77" s="1200"/>
      <c r="CO77" s="1200"/>
      <c r="CP77" s="1200"/>
    </row>
    <row r="78" spans="1:94" ht="15.75" customHeight="1" thickBot="1">
      <c r="A78" s="1202"/>
      <c r="B78" s="1218" t="s">
        <v>2310</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2217</v>
      </c>
      <c r="C79" s="1222"/>
      <c r="D79" s="1222"/>
      <c r="E79" s="1223"/>
      <c r="F79" s="2109"/>
      <c r="G79" s="2110"/>
      <c r="H79" s="2110"/>
      <c r="I79" s="2110"/>
      <c r="J79" s="2110"/>
      <c r="K79" s="2110"/>
      <c r="L79" s="2110"/>
      <c r="M79" s="2110"/>
      <c r="N79" s="2110"/>
      <c r="O79" s="2110"/>
      <c r="P79" s="2110"/>
      <c r="Q79" s="2110"/>
      <c r="R79" s="2110"/>
      <c r="S79" s="2110"/>
      <c r="T79" s="2111"/>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12" t="s">
        <v>2309</v>
      </c>
      <c r="C81" s="2113"/>
      <c r="D81" s="2113"/>
      <c r="E81" s="2113"/>
      <c r="F81" s="2113"/>
      <c r="G81" s="2113"/>
      <c r="H81" s="2113"/>
      <c r="I81" s="2113"/>
      <c r="J81" s="2113"/>
      <c r="K81" s="2113"/>
      <c r="L81" s="2113"/>
      <c r="M81" s="2113"/>
      <c r="N81" s="2113"/>
      <c r="O81" s="2113"/>
      <c r="P81" s="2113"/>
      <c r="Q81" s="2113"/>
      <c r="R81" s="2113"/>
      <c r="S81" s="2113"/>
      <c r="T81" s="2113"/>
      <c r="U81" s="2113"/>
      <c r="V81" s="2113"/>
      <c r="W81" s="2113"/>
      <c r="X81" s="2113"/>
      <c r="Y81" s="2113"/>
      <c r="Z81" s="2113"/>
      <c r="AA81" s="2113"/>
      <c r="AB81" s="2113"/>
      <c r="AC81" s="2113"/>
      <c r="AD81" s="2113"/>
      <c r="AE81" s="2113"/>
      <c r="AF81" s="2113"/>
      <c r="AG81" s="2113"/>
      <c r="AH81" s="2114"/>
      <c r="AI81" s="1202"/>
      <c r="AJ81" s="2115" t="s">
        <v>2611</v>
      </c>
      <c r="AK81" s="2116"/>
      <c r="AL81" s="2116"/>
      <c r="AM81" s="2116"/>
      <c r="AN81" s="2116"/>
      <c r="AO81" s="2116"/>
      <c r="AP81" s="2116"/>
      <c r="AQ81" s="2116"/>
      <c r="AR81" s="2116"/>
      <c r="AS81" s="2116"/>
      <c r="AT81" s="2116"/>
      <c r="AU81" s="2116"/>
      <c r="AV81" s="2116"/>
      <c r="AW81" s="2116"/>
      <c r="AX81" s="2116"/>
      <c r="AY81" s="2119" t="s">
        <v>543</v>
      </c>
      <c r="AZ81" s="2119"/>
      <c r="BA81" s="2119"/>
      <c r="BB81" s="2120"/>
      <c r="BC81" s="1202"/>
      <c r="BD81" s="1202"/>
      <c r="BE81" s="1209"/>
      <c r="CK81" s="1200"/>
      <c r="CL81" s="1200"/>
      <c r="CM81" s="1200"/>
      <c r="CN81" s="1200"/>
      <c r="CO81" s="1200"/>
      <c r="CP81" s="1200"/>
    </row>
    <row r="82" spans="1:94" ht="15.75" customHeight="1">
      <c r="A82" s="1202"/>
      <c r="B82" s="2050"/>
      <c r="C82" s="2051"/>
      <c r="D82" s="2051"/>
      <c r="E82" s="2051"/>
      <c r="F82" s="2051"/>
      <c r="G82" s="2051"/>
      <c r="H82" s="2051"/>
      <c r="I82" s="2051" t="s">
        <v>2303</v>
      </c>
      <c r="J82" s="2051"/>
      <c r="K82" s="2051"/>
      <c r="L82" s="2051"/>
      <c r="M82" s="2051"/>
      <c r="N82" s="2051"/>
      <c r="O82" s="2051" t="s">
        <v>2280</v>
      </c>
      <c r="P82" s="2051"/>
      <c r="Q82" s="2051"/>
      <c r="R82" s="2051"/>
      <c r="S82" s="2051"/>
      <c r="T82" s="2051"/>
      <c r="U82" s="2051"/>
      <c r="V82" s="2123" t="s">
        <v>2279</v>
      </c>
      <c r="W82" s="2123"/>
      <c r="X82" s="2123"/>
      <c r="Y82" s="2123"/>
      <c r="Z82" s="2123"/>
      <c r="AA82" s="2123"/>
      <c r="AB82" s="2124" t="s">
        <v>2302</v>
      </c>
      <c r="AC82" s="2124"/>
      <c r="AD82" s="2124"/>
      <c r="AE82" s="2124"/>
      <c r="AF82" s="2124"/>
      <c r="AG82" s="2124"/>
      <c r="AH82" s="2125"/>
      <c r="AI82" s="1202"/>
      <c r="AJ82" s="2117"/>
      <c r="AK82" s="2118"/>
      <c r="AL82" s="2118"/>
      <c r="AM82" s="2118"/>
      <c r="AN82" s="2118"/>
      <c r="AO82" s="2118"/>
      <c r="AP82" s="2118"/>
      <c r="AQ82" s="2118"/>
      <c r="AR82" s="2118"/>
      <c r="AS82" s="2118"/>
      <c r="AT82" s="2118"/>
      <c r="AU82" s="2118"/>
      <c r="AV82" s="2118"/>
      <c r="AW82" s="2118"/>
      <c r="AX82" s="2118"/>
      <c r="AY82" s="2121"/>
      <c r="AZ82" s="2121"/>
      <c r="BA82" s="2121"/>
      <c r="BB82" s="2122"/>
      <c r="BC82" s="1202"/>
      <c r="BD82" s="1202"/>
      <c r="BE82" s="1209"/>
      <c r="CK82" s="1200"/>
      <c r="CL82" s="1200"/>
      <c r="CM82" s="1200"/>
      <c r="CN82" s="1200"/>
      <c r="CO82" s="1200"/>
      <c r="CP82" s="1200"/>
    </row>
    <row r="83" spans="1:94" ht="15.75" customHeight="1">
      <c r="A83" s="1202"/>
      <c r="B83" s="2050"/>
      <c r="C83" s="2051"/>
      <c r="D83" s="2051"/>
      <c r="E83" s="2051"/>
      <c r="F83" s="2051"/>
      <c r="G83" s="2051"/>
      <c r="H83" s="2051"/>
      <c r="I83" s="2051"/>
      <c r="J83" s="2051"/>
      <c r="K83" s="2051"/>
      <c r="L83" s="2051"/>
      <c r="M83" s="2051"/>
      <c r="N83" s="2051"/>
      <c r="O83" s="2051"/>
      <c r="P83" s="2051"/>
      <c r="Q83" s="2051"/>
      <c r="R83" s="2051"/>
      <c r="S83" s="2051"/>
      <c r="T83" s="2051"/>
      <c r="U83" s="2051"/>
      <c r="V83" s="2123"/>
      <c r="W83" s="2123"/>
      <c r="X83" s="2123"/>
      <c r="Y83" s="2123"/>
      <c r="Z83" s="2123"/>
      <c r="AA83" s="2123"/>
      <c r="AB83" s="2124"/>
      <c r="AC83" s="2124"/>
      <c r="AD83" s="2124"/>
      <c r="AE83" s="2124"/>
      <c r="AF83" s="2124"/>
      <c r="AG83" s="2124"/>
      <c r="AH83" s="2125"/>
      <c r="AI83" s="1202"/>
      <c r="AJ83" s="2117"/>
      <c r="AK83" s="2118"/>
      <c r="AL83" s="2118"/>
      <c r="AM83" s="2118"/>
      <c r="AN83" s="2118"/>
      <c r="AO83" s="2118"/>
      <c r="AP83" s="2118"/>
      <c r="AQ83" s="2118"/>
      <c r="AR83" s="2118"/>
      <c r="AS83" s="2118"/>
      <c r="AT83" s="2118"/>
      <c r="AU83" s="2118"/>
      <c r="AV83" s="2118"/>
      <c r="AW83" s="2118"/>
      <c r="AX83" s="2118"/>
      <c r="AY83" s="2121"/>
      <c r="AZ83" s="2121"/>
      <c r="BA83" s="2121"/>
      <c r="BB83" s="2122"/>
      <c r="BC83" s="1202"/>
      <c r="BD83" s="1202"/>
      <c r="BE83" s="1209"/>
      <c r="CK83" s="1200"/>
      <c r="CL83" s="1200"/>
      <c r="CM83" s="1200"/>
      <c r="CN83" s="1200"/>
      <c r="CO83" s="1200"/>
      <c r="CP83" s="1200"/>
    </row>
    <row r="84" spans="1:94" ht="15.75" customHeight="1">
      <c r="A84" s="1202"/>
      <c r="B84" s="2050" t="s">
        <v>2301</v>
      </c>
      <c r="C84" s="2051"/>
      <c r="D84" s="2051"/>
      <c r="E84" s="2051"/>
      <c r="F84" s="2051"/>
      <c r="G84" s="2051"/>
      <c r="H84" s="2051"/>
      <c r="I84" s="2128">
        <v>0</v>
      </c>
      <c r="J84" s="2128"/>
      <c r="K84" s="2128"/>
      <c r="L84" s="2128"/>
      <c r="M84" s="2128"/>
      <c r="N84" s="2128"/>
      <c r="O84" s="2128">
        <v>0</v>
      </c>
      <c r="P84" s="2128"/>
      <c r="Q84" s="2128"/>
      <c r="R84" s="2128"/>
      <c r="S84" s="2128"/>
      <c r="T84" s="2128"/>
      <c r="U84" s="2128"/>
      <c r="V84" s="2128">
        <v>0</v>
      </c>
      <c r="W84" s="2128"/>
      <c r="X84" s="2128"/>
      <c r="Y84" s="2128"/>
      <c r="Z84" s="2128"/>
      <c r="AA84" s="2128"/>
      <c r="AB84" s="2128">
        <v>0</v>
      </c>
      <c r="AC84" s="2128"/>
      <c r="AD84" s="2128"/>
      <c r="AE84" s="2128"/>
      <c r="AF84" s="2128"/>
      <c r="AG84" s="2128"/>
      <c r="AH84" s="2129"/>
      <c r="AI84" s="1202"/>
      <c r="AJ84" s="2117"/>
      <c r="AK84" s="2118"/>
      <c r="AL84" s="2118"/>
      <c r="AM84" s="2118"/>
      <c r="AN84" s="2118"/>
      <c r="AO84" s="2118"/>
      <c r="AP84" s="2118"/>
      <c r="AQ84" s="2118"/>
      <c r="AR84" s="2118"/>
      <c r="AS84" s="2118"/>
      <c r="AT84" s="2118"/>
      <c r="AU84" s="2118"/>
      <c r="AV84" s="2118"/>
      <c r="AW84" s="2118"/>
      <c r="AX84" s="2118"/>
      <c r="AY84" s="2121"/>
      <c r="AZ84" s="2121"/>
      <c r="BA84" s="2121"/>
      <c r="BB84" s="2122"/>
      <c r="BC84" s="1202"/>
      <c r="BD84" s="1202"/>
      <c r="BE84" s="1209"/>
      <c r="CK84" s="1200"/>
      <c r="CL84" s="1200"/>
      <c r="CM84" s="1200"/>
      <c r="CN84" s="1200"/>
      <c r="CO84" s="1200"/>
      <c r="CP84" s="1200"/>
    </row>
    <row r="85" spans="1:94" ht="15.75" customHeight="1">
      <c r="A85" s="1202"/>
      <c r="B85" s="2050" t="s">
        <v>2300</v>
      </c>
      <c r="C85" s="2051"/>
      <c r="D85" s="2051"/>
      <c r="E85" s="2051"/>
      <c r="F85" s="2051"/>
      <c r="G85" s="2051"/>
      <c r="H85" s="2051"/>
      <c r="I85" s="2128">
        <v>0</v>
      </c>
      <c r="J85" s="2128"/>
      <c r="K85" s="2128"/>
      <c r="L85" s="2128"/>
      <c r="M85" s="2128"/>
      <c r="N85" s="2128"/>
      <c r="O85" s="2128">
        <v>0</v>
      </c>
      <c r="P85" s="2128"/>
      <c r="Q85" s="2128"/>
      <c r="R85" s="2128"/>
      <c r="S85" s="2128"/>
      <c r="T85" s="2128"/>
      <c r="U85" s="2128"/>
      <c r="V85" s="2128">
        <v>0</v>
      </c>
      <c r="W85" s="2128"/>
      <c r="X85" s="2128"/>
      <c r="Y85" s="2128"/>
      <c r="Z85" s="2128"/>
      <c r="AA85" s="2128"/>
      <c r="AB85" s="2128">
        <v>0</v>
      </c>
      <c r="AC85" s="2128"/>
      <c r="AD85" s="2128"/>
      <c r="AE85" s="2128"/>
      <c r="AF85" s="2128"/>
      <c r="AG85" s="2128"/>
      <c r="AH85" s="2129"/>
      <c r="AI85" s="1202"/>
      <c r="AJ85" s="2098" t="s">
        <v>2306</v>
      </c>
      <c r="AK85" s="2099"/>
      <c r="AL85" s="2099"/>
      <c r="AM85" s="2099"/>
      <c r="AN85" s="2099"/>
      <c r="AO85" s="2099"/>
      <c r="AP85" s="2099"/>
      <c r="AQ85" s="2099"/>
      <c r="AR85" s="2099"/>
      <c r="AS85" s="2099"/>
      <c r="AT85" s="2099"/>
      <c r="AU85" s="2099"/>
      <c r="AV85" s="2099"/>
      <c r="AW85" s="2099"/>
      <c r="AX85" s="2099"/>
      <c r="AY85" s="2099"/>
      <c r="AZ85" s="2099"/>
      <c r="BA85" s="2099"/>
      <c r="BB85" s="2100"/>
      <c r="BC85" s="1202"/>
      <c r="BD85" s="1202"/>
      <c r="BE85" s="1209"/>
      <c r="CK85" s="1200"/>
      <c r="CL85" s="1200"/>
      <c r="CM85" s="1200"/>
      <c r="CN85" s="1200"/>
      <c r="CO85" s="1200"/>
      <c r="CP85" s="1200"/>
    </row>
    <row r="86" spans="1:94" ht="15.75" customHeight="1" thickBot="1">
      <c r="A86" s="1202"/>
      <c r="B86" s="2068" t="s">
        <v>2299</v>
      </c>
      <c r="C86" s="2069"/>
      <c r="D86" s="2069"/>
      <c r="E86" s="2069"/>
      <c r="F86" s="2069"/>
      <c r="G86" s="2069"/>
      <c r="H86" s="2069"/>
      <c r="I86" s="2126">
        <v>0</v>
      </c>
      <c r="J86" s="2126"/>
      <c r="K86" s="2126"/>
      <c r="L86" s="2126"/>
      <c r="M86" s="2126"/>
      <c r="N86" s="2126"/>
      <c r="O86" s="2126">
        <v>0</v>
      </c>
      <c r="P86" s="2126"/>
      <c r="Q86" s="2126"/>
      <c r="R86" s="2126"/>
      <c r="S86" s="2126"/>
      <c r="T86" s="2126"/>
      <c r="U86" s="2126"/>
      <c r="V86" s="2126">
        <v>0</v>
      </c>
      <c r="W86" s="2126"/>
      <c r="X86" s="2126"/>
      <c r="Y86" s="2126"/>
      <c r="Z86" s="2126"/>
      <c r="AA86" s="2126"/>
      <c r="AB86" s="2126">
        <v>0</v>
      </c>
      <c r="AC86" s="2126"/>
      <c r="AD86" s="2126"/>
      <c r="AE86" s="2126"/>
      <c r="AF86" s="2126"/>
      <c r="AG86" s="2126"/>
      <c r="AH86" s="2127"/>
      <c r="AI86" s="1202"/>
      <c r="AJ86" s="2101"/>
      <c r="AK86" s="2102"/>
      <c r="AL86" s="2102"/>
      <c r="AM86" s="2102"/>
      <c r="AN86" s="2102"/>
      <c r="AO86" s="2102"/>
      <c r="AP86" s="2102"/>
      <c r="AQ86" s="2102"/>
      <c r="AR86" s="2102"/>
      <c r="AS86" s="2102"/>
      <c r="AT86" s="2102"/>
      <c r="AU86" s="2102"/>
      <c r="AV86" s="2102"/>
      <c r="AW86" s="2102"/>
      <c r="AX86" s="2102"/>
      <c r="AY86" s="2102"/>
      <c r="AZ86" s="2102"/>
      <c r="BA86" s="2102"/>
      <c r="BB86" s="2103"/>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2308</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2217</v>
      </c>
      <c r="C90" s="1228"/>
      <c r="D90" s="1229"/>
      <c r="E90" s="1230"/>
      <c r="F90" s="2109"/>
      <c r="G90" s="2110"/>
      <c r="H90" s="2110"/>
      <c r="I90" s="2110"/>
      <c r="J90" s="2110"/>
      <c r="K90" s="2110"/>
      <c r="L90" s="2110"/>
      <c r="M90" s="2110"/>
      <c r="N90" s="2110"/>
      <c r="O90" s="2110"/>
      <c r="P90" s="2110"/>
      <c r="Q90" s="2110"/>
      <c r="R90" s="2110"/>
      <c r="S90" s="2110"/>
      <c r="T90" s="2111"/>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12" t="s">
        <v>2307</v>
      </c>
      <c r="C92" s="2113"/>
      <c r="D92" s="2113"/>
      <c r="E92" s="2113"/>
      <c r="F92" s="2113"/>
      <c r="G92" s="2113"/>
      <c r="H92" s="2113"/>
      <c r="I92" s="2113"/>
      <c r="J92" s="2113"/>
      <c r="K92" s="2113"/>
      <c r="L92" s="2113"/>
      <c r="M92" s="2113"/>
      <c r="N92" s="2113"/>
      <c r="O92" s="2113"/>
      <c r="P92" s="2113"/>
      <c r="Q92" s="2113"/>
      <c r="R92" s="2113"/>
      <c r="S92" s="2113"/>
      <c r="T92" s="2113"/>
      <c r="U92" s="2113"/>
      <c r="V92" s="2113"/>
      <c r="W92" s="2113"/>
      <c r="X92" s="2113"/>
      <c r="Y92" s="2113"/>
      <c r="Z92" s="2113"/>
      <c r="AA92" s="2113"/>
      <c r="AB92" s="2113"/>
      <c r="AC92" s="2113"/>
      <c r="AD92" s="2113"/>
      <c r="AE92" s="2113"/>
      <c r="AF92" s="2113"/>
      <c r="AG92" s="2113"/>
      <c r="AH92" s="2114"/>
      <c r="AI92" s="1202"/>
      <c r="AJ92" s="2115" t="s">
        <v>2612</v>
      </c>
      <c r="AK92" s="2116"/>
      <c r="AL92" s="2116"/>
      <c r="AM92" s="2116"/>
      <c r="AN92" s="2116"/>
      <c r="AO92" s="2116"/>
      <c r="AP92" s="2116"/>
      <c r="AQ92" s="2116"/>
      <c r="AR92" s="2116"/>
      <c r="AS92" s="2116"/>
      <c r="AT92" s="2116"/>
      <c r="AU92" s="2116"/>
      <c r="AV92" s="2116"/>
      <c r="AW92" s="2116"/>
      <c r="AX92" s="2116"/>
      <c r="AY92" s="2119" t="s">
        <v>543</v>
      </c>
      <c r="AZ92" s="2119"/>
      <c r="BA92" s="2119"/>
      <c r="BB92" s="2120"/>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050"/>
      <c r="C93" s="2051"/>
      <c r="D93" s="2051"/>
      <c r="E93" s="2051"/>
      <c r="F93" s="2051"/>
      <c r="G93" s="2051"/>
      <c r="H93" s="2051"/>
      <c r="I93" s="2051" t="s">
        <v>2303</v>
      </c>
      <c r="J93" s="2051"/>
      <c r="K93" s="2051"/>
      <c r="L93" s="2051"/>
      <c r="M93" s="2051"/>
      <c r="N93" s="2051"/>
      <c r="O93" s="2051" t="s">
        <v>2280</v>
      </c>
      <c r="P93" s="2051"/>
      <c r="Q93" s="2051"/>
      <c r="R93" s="2051"/>
      <c r="S93" s="2051"/>
      <c r="T93" s="2051"/>
      <c r="U93" s="2051"/>
      <c r="V93" s="2123" t="s">
        <v>2279</v>
      </c>
      <c r="W93" s="2123"/>
      <c r="X93" s="2123"/>
      <c r="Y93" s="2123"/>
      <c r="Z93" s="2123"/>
      <c r="AA93" s="2123"/>
      <c r="AB93" s="2124" t="s">
        <v>2302</v>
      </c>
      <c r="AC93" s="2124"/>
      <c r="AD93" s="2124"/>
      <c r="AE93" s="2124"/>
      <c r="AF93" s="2124"/>
      <c r="AG93" s="2124"/>
      <c r="AH93" s="2125"/>
      <c r="AI93" s="1202"/>
      <c r="AJ93" s="2117"/>
      <c r="AK93" s="2118"/>
      <c r="AL93" s="2118"/>
      <c r="AM93" s="2118"/>
      <c r="AN93" s="2118"/>
      <c r="AO93" s="2118"/>
      <c r="AP93" s="2118"/>
      <c r="AQ93" s="2118"/>
      <c r="AR93" s="2118"/>
      <c r="AS93" s="2118"/>
      <c r="AT93" s="2118"/>
      <c r="AU93" s="2118"/>
      <c r="AV93" s="2118"/>
      <c r="AW93" s="2118"/>
      <c r="AX93" s="2118"/>
      <c r="AY93" s="2121"/>
      <c r="AZ93" s="2121"/>
      <c r="BA93" s="2121"/>
      <c r="BB93" s="2122"/>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050"/>
      <c r="C94" s="2051"/>
      <c r="D94" s="2051"/>
      <c r="E94" s="2051"/>
      <c r="F94" s="2051"/>
      <c r="G94" s="2051"/>
      <c r="H94" s="2051"/>
      <c r="I94" s="2051"/>
      <c r="J94" s="2051"/>
      <c r="K94" s="2051"/>
      <c r="L94" s="2051"/>
      <c r="M94" s="2051"/>
      <c r="N94" s="2051"/>
      <c r="O94" s="2051"/>
      <c r="P94" s="2051"/>
      <c r="Q94" s="2051"/>
      <c r="R94" s="2051"/>
      <c r="S94" s="2051"/>
      <c r="T94" s="2051"/>
      <c r="U94" s="2051"/>
      <c r="V94" s="2123"/>
      <c r="W94" s="2123"/>
      <c r="X94" s="2123"/>
      <c r="Y94" s="2123"/>
      <c r="Z94" s="2123"/>
      <c r="AA94" s="2123"/>
      <c r="AB94" s="2124"/>
      <c r="AC94" s="2124"/>
      <c r="AD94" s="2124"/>
      <c r="AE94" s="2124"/>
      <c r="AF94" s="2124"/>
      <c r="AG94" s="2124"/>
      <c r="AH94" s="2125"/>
      <c r="AI94" s="1202"/>
      <c r="AJ94" s="2117"/>
      <c r="AK94" s="2118"/>
      <c r="AL94" s="2118"/>
      <c r="AM94" s="2118"/>
      <c r="AN94" s="2118"/>
      <c r="AO94" s="2118"/>
      <c r="AP94" s="2118"/>
      <c r="AQ94" s="2118"/>
      <c r="AR94" s="2118"/>
      <c r="AS94" s="2118"/>
      <c r="AT94" s="2118"/>
      <c r="AU94" s="2118"/>
      <c r="AV94" s="2118"/>
      <c r="AW94" s="2118"/>
      <c r="AX94" s="2118"/>
      <c r="AY94" s="2121"/>
      <c r="AZ94" s="2121"/>
      <c r="BA94" s="2121"/>
      <c r="BB94" s="2122"/>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050" t="s">
        <v>2301</v>
      </c>
      <c r="C95" s="2051"/>
      <c r="D95" s="2051"/>
      <c r="E95" s="2051"/>
      <c r="F95" s="2051"/>
      <c r="G95" s="2051"/>
      <c r="H95" s="2051"/>
      <c r="I95" s="2128">
        <v>0</v>
      </c>
      <c r="J95" s="2128"/>
      <c r="K95" s="2128"/>
      <c r="L95" s="2128"/>
      <c r="M95" s="2128"/>
      <c r="N95" s="2128"/>
      <c r="O95" s="2128">
        <v>0</v>
      </c>
      <c r="P95" s="2128"/>
      <c r="Q95" s="2128"/>
      <c r="R95" s="2128"/>
      <c r="S95" s="2128"/>
      <c r="T95" s="2128"/>
      <c r="U95" s="2128"/>
      <c r="V95" s="2128">
        <v>0</v>
      </c>
      <c r="W95" s="2128"/>
      <c r="X95" s="2128"/>
      <c r="Y95" s="2128"/>
      <c r="Z95" s="2128"/>
      <c r="AA95" s="2128"/>
      <c r="AB95" s="2128">
        <v>0</v>
      </c>
      <c r="AC95" s="2128"/>
      <c r="AD95" s="2128"/>
      <c r="AE95" s="2128"/>
      <c r="AF95" s="2128"/>
      <c r="AG95" s="2128"/>
      <c r="AH95" s="2129"/>
      <c r="AI95" s="1202"/>
      <c r="AJ95" s="2117"/>
      <c r="AK95" s="2118"/>
      <c r="AL95" s="2118"/>
      <c r="AM95" s="2118"/>
      <c r="AN95" s="2118"/>
      <c r="AO95" s="2118"/>
      <c r="AP95" s="2118"/>
      <c r="AQ95" s="2118"/>
      <c r="AR95" s="2118"/>
      <c r="AS95" s="2118"/>
      <c r="AT95" s="2118"/>
      <c r="AU95" s="2118"/>
      <c r="AV95" s="2118"/>
      <c r="AW95" s="2118"/>
      <c r="AX95" s="2118"/>
      <c r="AY95" s="2121"/>
      <c r="AZ95" s="2121"/>
      <c r="BA95" s="2121"/>
      <c r="BB95" s="2122"/>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050" t="s">
        <v>2300</v>
      </c>
      <c r="C96" s="2051"/>
      <c r="D96" s="2051"/>
      <c r="E96" s="2051"/>
      <c r="F96" s="2051"/>
      <c r="G96" s="2051"/>
      <c r="H96" s="2051"/>
      <c r="I96" s="2128">
        <v>0</v>
      </c>
      <c r="J96" s="2128"/>
      <c r="K96" s="2128"/>
      <c r="L96" s="2128"/>
      <c r="M96" s="2128"/>
      <c r="N96" s="2128"/>
      <c r="O96" s="2128">
        <v>0</v>
      </c>
      <c r="P96" s="2128"/>
      <c r="Q96" s="2128"/>
      <c r="R96" s="2128"/>
      <c r="S96" s="2128"/>
      <c r="T96" s="2128"/>
      <c r="U96" s="2128"/>
      <c r="V96" s="2128">
        <v>0</v>
      </c>
      <c r="W96" s="2128"/>
      <c r="X96" s="2128"/>
      <c r="Y96" s="2128"/>
      <c r="Z96" s="2128"/>
      <c r="AA96" s="2128"/>
      <c r="AB96" s="2128">
        <v>0</v>
      </c>
      <c r="AC96" s="2128"/>
      <c r="AD96" s="2128"/>
      <c r="AE96" s="2128"/>
      <c r="AF96" s="2128"/>
      <c r="AG96" s="2128"/>
      <c r="AH96" s="2129"/>
      <c r="AI96" s="1202"/>
      <c r="AJ96" s="2098" t="s">
        <v>2306</v>
      </c>
      <c r="AK96" s="2099"/>
      <c r="AL96" s="2099"/>
      <c r="AM96" s="2099"/>
      <c r="AN96" s="2099"/>
      <c r="AO96" s="2099"/>
      <c r="AP96" s="2099"/>
      <c r="AQ96" s="2099"/>
      <c r="AR96" s="2099"/>
      <c r="AS96" s="2099"/>
      <c r="AT96" s="2099"/>
      <c r="AU96" s="2099"/>
      <c r="AV96" s="2099"/>
      <c r="AW96" s="2099"/>
      <c r="AX96" s="2099"/>
      <c r="AY96" s="2099"/>
      <c r="AZ96" s="2099"/>
      <c r="BA96" s="2099"/>
      <c r="BB96" s="2100"/>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068" t="s">
        <v>2299</v>
      </c>
      <c r="C97" s="2069"/>
      <c r="D97" s="2069"/>
      <c r="E97" s="2069"/>
      <c r="F97" s="2069"/>
      <c r="G97" s="2069"/>
      <c r="H97" s="2069"/>
      <c r="I97" s="2126">
        <v>0</v>
      </c>
      <c r="J97" s="2126"/>
      <c r="K97" s="2126"/>
      <c r="L97" s="2126"/>
      <c r="M97" s="2126"/>
      <c r="N97" s="2126"/>
      <c r="O97" s="2126">
        <v>0</v>
      </c>
      <c r="P97" s="2126"/>
      <c r="Q97" s="2126"/>
      <c r="R97" s="2126"/>
      <c r="S97" s="2126"/>
      <c r="T97" s="2126"/>
      <c r="U97" s="2126"/>
      <c r="V97" s="2126">
        <v>0</v>
      </c>
      <c r="W97" s="2126"/>
      <c r="X97" s="2126"/>
      <c r="Y97" s="2126"/>
      <c r="Z97" s="2126"/>
      <c r="AA97" s="2126"/>
      <c r="AB97" s="2126">
        <v>0</v>
      </c>
      <c r="AC97" s="2126"/>
      <c r="AD97" s="2126"/>
      <c r="AE97" s="2126"/>
      <c r="AF97" s="2126"/>
      <c r="AG97" s="2126"/>
      <c r="AH97" s="2127"/>
      <c r="AI97" s="1202"/>
      <c r="AJ97" s="2101"/>
      <c r="AK97" s="2102"/>
      <c r="AL97" s="2102"/>
      <c r="AM97" s="2102"/>
      <c r="AN97" s="2102"/>
      <c r="AO97" s="2102"/>
      <c r="AP97" s="2102"/>
      <c r="AQ97" s="2102"/>
      <c r="AR97" s="2102"/>
      <c r="AS97" s="2102"/>
      <c r="AT97" s="2102"/>
      <c r="AU97" s="2102"/>
      <c r="AV97" s="2102"/>
      <c r="AW97" s="2102"/>
      <c r="AX97" s="2102"/>
      <c r="AY97" s="2102"/>
      <c r="AZ97" s="2102"/>
      <c r="BA97" s="2102"/>
      <c r="BB97" s="2103"/>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2305</v>
      </c>
      <c r="C99" s="1219"/>
      <c r="D99" s="1220"/>
      <c r="E99" s="1220"/>
      <c r="F99" s="1233"/>
      <c r="G99" s="1233"/>
      <c r="H99" s="1233"/>
      <c r="I99" s="1233"/>
      <c r="J99" s="1233"/>
      <c r="K99" s="1233"/>
      <c r="L99" s="1233"/>
      <c r="M99" s="1233"/>
      <c r="N99" s="1233"/>
      <c r="O99" s="1234"/>
      <c r="P99" s="1233"/>
      <c r="Q99" s="1233"/>
      <c r="R99" s="1234"/>
      <c r="S99" s="1202" t="s">
        <v>249</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2217</v>
      </c>
      <c r="C100" s="1228"/>
      <c r="D100" s="1235"/>
      <c r="E100" s="1236"/>
      <c r="F100" s="2130"/>
      <c r="G100" s="2131"/>
      <c r="H100" s="2131"/>
      <c r="I100" s="2131"/>
      <c r="J100" s="2131"/>
      <c r="K100" s="2131"/>
      <c r="L100" s="2131"/>
      <c r="M100" s="2131"/>
      <c r="N100" s="2131"/>
      <c r="O100" s="2131"/>
      <c r="P100" s="2131"/>
      <c r="Q100" s="2131"/>
      <c r="R100" s="2132"/>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94" t="s">
        <v>2304</v>
      </c>
      <c r="C102" s="2095"/>
      <c r="D102" s="2095"/>
      <c r="E102" s="2095"/>
      <c r="F102" s="2095"/>
      <c r="G102" s="2095"/>
      <c r="H102" s="2095"/>
      <c r="I102" s="2095"/>
      <c r="J102" s="2095"/>
      <c r="K102" s="2095"/>
      <c r="L102" s="2095"/>
      <c r="M102" s="2095"/>
      <c r="N102" s="2095"/>
      <c r="O102" s="2095"/>
      <c r="P102" s="2095"/>
      <c r="Q102" s="2095"/>
      <c r="R102" s="2095"/>
      <c r="S102" s="2095"/>
      <c r="T102" s="2095"/>
      <c r="U102" s="2095"/>
      <c r="V102" s="2095"/>
      <c r="W102" s="2095"/>
      <c r="X102" s="2095"/>
      <c r="Y102" s="2095"/>
      <c r="Z102" s="2095"/>
      <c r="AA102" s="2095"/>
      <c r="AB102" s="2095"/>
      <c r="AC102" s="2095"/>
      <c r="AD102" s="2095"/>
      <c r="AE102" s="2095"/>
      <c r="AF102" s="2095"/>
      <c r="AG102" s="2095"/>
      <c r="AH102" s="2133"/>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050"/>
      <c r="C103" s="2051"/>
      <c r="D103" s="2051"/>
      <c r="E103" s="2051"/>
      <c r="F103" s="2051"/>
      <c r="G103" s="2051"/>
      <c r="H103" s="2051"/>
      <c r="I103" s="2051" t="s">
        <v>2303</v>
      </c>
      <c r="J103" s="2051"/>
      <c r="K103" s="2051"/>
      <c r="L103" s="2051"/>
      <c r="M103" s="2051"/>
      <c r="N103" s="2051"/>
      <c r="O103" s="2051" t="s">
        <v>2280</v>
      </c>
      <c r="P103" s="2051"/>
      <c r="Q103" s="2051"/>
      <c r="R103" s="2051"/>
      <c r="S103" s="2051"/>
      <c r="T103" s="2051"/>
      <c r="U103" s="2051"/>
      <c r="V103" s="2123" t="s">
        <v>2279</v>
      </c>
      <c r="W103" s="2123"/>
      <c r="X103" s="2123"/>
      <c r="Y103" s="2123"/>
      <c r="Z103" s="2123"/>
      <c r="AA103" s="2123"/>
      <c r="AB103" s="2124" t="s">
        <v>2302</v>
      </c>
      <c r="AC103" s="2124"/>
      <c r="AD103" s="2124"/>
      <c r="AE103" s="2124"/>
      <c r="AF103" s="2124"/>
      <c r="AG103" s="2124"/>
      <c r="AH103" s="2125"/>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050"/>
      <c r="C104" s="2051"/>
      <c r="D104" s="2051"/>
      <c r="E104" s="2051"/>
      <c r="F104" s="2051"/>
      <c r="G104" s="2051"/>
      <c r="H104" s="2051"/>
      <c r="I104" s="2051"/>
      <c r="J104" s="2051"/>
      <c r="K104" s="2051"/>
      <c r="L104" s="2051"/>
      <c r="M104" s="2051"/>
      <c r="N104" s="2051"/>
      <c r="O104" s="2051"/>
      <c r="P104" s="2051"/>
      <c r="Q104" s="2051"/>
      <c r="R104" s="2051"/>
      <c r="S104" s="2051"/>
      <c r="T104" s="2051"/>
      <c r="U104" s="2051"/>
      <c r="V104" s="2123"/>
      <c r="W104" s="2123"/>
      <c r="X104" s="2123"/>
      <c r="Y104" s="2123"/>
      <c r="Z104" s="2123"/>
      <c r="AA104" s="2123"/>
      <c r="AB104" s="2124"/>
      <c r="AC104" s="2124"/>
      <c r="AD104" s="2124"/>
      <c r="AE104" s="2124"/>
      <c r="AF104" s="2124"/>
      <c r="AG104" s="2124"/>
      <c r="AH104" s="2125"/>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050" t="s">
        <v>2301</v>
      </c>
      <c r="C105" s="2051"/>
      <c r="D105" s="2051"/>
      <c r="E105" s="2051"/>
      <c r="F105" s="2051"/>
      <c r="G105" s="2051"/>
      <c r="H105" s="2051"/>
      <c r="I105" s="2128">
        <v>0</v>
      </c>
      <c r="J105" s="2128"/>
      <c r="K105" s="2128"/>
      <c r="L105" s="2128"/>
      <c r="M105" s="2128"/>
      <c r="N105" s="2128"/>
      <c r="O105" s="2128">
        <v>0</v>
      </c>
      <c r="P105" s="2128"/>
      <c r="Q105" s="2128"/>
      <c r="R105" s="2128"/>
      <c r="S105" s="2128"/>
      <c r="T105" s="2128"/>
      <c r="U105" s="2128"/>
      <c r="V105" s="2128">
        <v>0</v>
      </c>
      <c r="W105" s="2128"/>
      <c r="X105" s="2128"/>
      <c r="Y105" s="2128"/>
      <c r="Z105" s="2128"/>
      <c r="AA105" s="2128"/>
      <c r="AB105" s="2128">
        <v>0</v>
      </c>
      <c r="AC105" s="2128"/>
      <c r="AD105" s="2128"/>
      <c r="AE105" s="2128"/>
      <c r="AF105" s="2128"/>
      <c r="AG105" s="2128"/>
      <c r="AH105" s="2129"/>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050" t="s">
        <v>2300</v>
      </c>
      <c r="C106" s="2051"/>
      <c r="D106" s="2051"/>
      <c r="E106" s="2051"/>
      <c r="F106" s="2051"/>
      <c r="G106" s="2051"/>
      <c r="H106" s="2051"/>
      <c r="I106" s="2128">
        <v>0</v>
      </c>
      <c r="J106" s="2128"/>
      <c r="K106" s="2128"/>
      <c r="L106" s="2128"/>
      <c r="M106" s="2128"/>
      <c r="N106" s="2128"/>
      <c r="O106" s="2128">
        <v>0</v>
      </c>
      <c r="P106" s="2128"/>
      <c r="Q106" s="2128"/>
      <c r="R106" s="2128"/>
      <c r="S106" s="2128"/>
      <c r="T106" s="2128"/>
      <c r="U106" s="2128"/>
      <c r="V106" s="2128">
        <v>0</v>
      </c>
      <c r="W106" s="2128"/>
      <c r="X106" s="2128"/>
      <c r="Y106" s="2128"/>
      <c r="Z106" s="2128"/>
      <c r="AA106" s="2128"/>
      <c r="AB106" s="2128">
        <v>0</v>
      </c>
      <c r="AC106" s="2128"/>
      <c r="AD106" s="2128"/>
      <c r="AE106" s="2128"/>
      <c r="AF106" s="2128"/>
      <c r="AG106" s="2128"/>
      <c r="AH106" s="2129"/>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068" t="s">
        <v>2299</v>
      </c>
      <c r="C107" s="2069"/>
      <c r="D107" s="2069"/>
      <c r="E107" s="2069"/>
      <c r="F107" s="2069"/>
      <c r="G107" s="2069"/>
      <c r="H107" s="2069"/>
      <c r="I107" s="2126">
        <v>0</v>
      </c>
      <c r="J107" s="2126"/>
      <c r="K107" s="2126"/>
      <c r="L107" s="2126"/>
      <c r="M107" s="2126"/>
      <c r="N107" s="2126"/>
      <c r="O107" s="2126">
        <v>0</v>
      </c>
      <c r="P107" s="2126"/>
      <c r="Q107" s="2126"/>
      <c r="R107" s="2126"/>
      <c r="S107" s="2126"/>
      <c r="T107" s="2126"/>
      <c r="U107" s="2126"/>
      <c r="V107" s="2126">
        <v>0</v>
      </c>
      <c r="W107" s="2126"/>
      <c r="X107" s="2126"/>
      <c r="Y107" s="2126"/>
      <c r="Z107" s="2126"/>
      <c r="AA107" s="2126"/>
      <c r="AB107" s="2126">
        <v>0</v>
      </c>
      <c r="AC107" s="2126"/>
      <c r="AD107" s="2126"/>
      <c r="AE107" s="2126"/>
      <c r="AF107" s="2126"/>
      <c r="AG107" s="2126"/>
      <c r="AH107" s="2127"/>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249</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2298</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2217</v>
      </c>
      <c r="C110" s="1228"/>
      <c r="D110" s="1235"/>
      <c r="E110" s="1236"/>
      <c r="F110" s="2130"/>
      <c r="G110" s="2131"/>
      <c r="H110" s="2131"/>
      <c r="I110" s="2131"/>
      <c r="J110" s="2131"/>
      <c r="K110" s="2131"/>
      <c r="L110" s="2131"/>
      <c r="M110" s="2131"/>
      <c r="N110" s="2131"/>
      <c r="O110" s="2131"/>
      <c r="P110" s="2131"/>
      <c r="Q110" s="2131"/>
      <c r="R110" s="2132"/>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34" t="s">
        <v>2613</v>
      </c>
      <c r="C112" s="2135"/>
      <c r="D112" s="2135"/>
      <c r="E112" s="2135"/>
      <c r="F112" s="2135"/>
      <c r="G112" s="2135"/>
      <c r="H112" s="2135"/>
      <c r="I112" s="2135"/>
      <c r="J112" s="2135"/>
      <c r="K112" s="2135"/>
      <c r="L112" s="2135"/>
      <c r="M112" s="2135"/>
      <c r="N112" s="2135"/>
      <c r="O112" s="2135"/>
      <c r="P112" s="2135"/>
      <c r="Q112" s="2135"/>
      <c r="R112" s="2135"/>
      <c r="S112" s="2135"/>
      <c r="T112" s="2135"/>
      <c r="U112" s="2138" t="s">
        <v>543</v>
      </c>
      <c r="V112" s="2138"/>
      <c r="W112" s="2138"/>
      <c r="X112" s="2139"/>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36"/>
      <c r="C113" s="2137"/>
      <c r="D113" s="2137"/>
      <c r="E113" s="2137"/>
      <c r="F113" s="2137"/>
      <c r="G113" s="2137"/>
      <c r="H113" s="2137"/>
      <c r="I113" s="2137"/>
      <c r="J113" s="2137"/>
      <c r="K113" s="2137"/>
      <c r="L113" s="2137"/>
      <c r="M113" s="2137"/>
      <c r="N113" s="2137"/>
      <c r="O113" s="2137"/>
      <c r="P113" s="2137"/>
      <c r="Q113" s="2137"/>
      <c r="R113" s="2137"/>
      <c r="S113" s="2137"/>
      <c r="T113" s="2137"/>
      <c r="U113" s="2140"/>
      <c r="V113" s="2140"/>
      <c r="W113" s="2140"/>
      <c r="X113" s="2141"/>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36"/>
      <c r="C114" s="2137"/>
      <c r="D114" s="2137"/>
      <c r="E114" s="2137"/>
      <c r="F114" s="2137"/>
      <c r="G114" s="2137"/>
      <c r="H114" s="2137"/>
      <c r="I114" s="2137"/>
      <c r="J114" s="2137"/>
      <c r="K114" s="2137"/>
      <c r="L114" s="2137"/>
      <c r="M114" s="2137"/>
      <c r="N114" s="2137"/>
      <c r="O114" s="2137"/>
      <c r="P114" s="2137"/>
      <c r="Q114" s="2137"/>
      <c r="R114" s="2137"/>
      <c r="S114" s="2137"/>
      <c r="T114" s="2137"/>
      <c r="U114" s="2140"/>
      <c r="V114" s="2140"/>
      <c r="W114" s="2140"/>
      <c r="X114" s="2141"/>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36"/>
      <c r="C115" s="2137"/>
      <c r="D115" s="2137"/>
      <c r="E115" s="2137"/>
      <c r="F115" s="2137"/>
      <c r="G115" s="2137"/>
      <c r="H115" s="2137"/>
      <c r="I115" s="2137"/>
      <c r="J115" s="2137"/>
      <c r="K115" s="2137"/>
      <c r="L115" s="2137"/>
      <c r="M115" s="2137"/>
      <c r="N115" s="2137"/>
      <c r="O115" s="2137"/>
      <c r="P115" s="2137"/>
      <c r="Q115" s="2137"/>
      <c r="R115" s="2137"/>
      <c r="S115" s="2137"/>
      <c r="T115" s="2137"/>
      <c r="U115" s="2140"/>
      <c r="V115" s="2140"/>
      <c r="W115" s="2140"/>
      <c r="X115" s="2141"/>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42" t="s">
        <v>2613</v>
      </c>
      <c r="C116" s="2143"/>
      <c r="D116" s="2143"/>
      <c r="E116" s="2143"/>
      <c r="F116" s="2143"/>
      <c r="G116" s="2143"/>
      <c r="H116" s="2143"/>
      <c r="I116" s="2143"/>
      <c r="J116" s="2143"/>
      <c r="K116" s="2143"/>
      <c r="L116" s="2143"/>
      <c r="M116" s="2143"/>
      <c r="N116" s="2143"/>
      <c r="O116" s="2143"/>
      <c r="P116" s="2143"/>
      <c r="Q116" s="2143"/>
      <c r="R116" s="2143"/>
      <c r="S116" s="2143"/>
      <c r="T116" s="2143"/>
      <c r="U116" s="2146" t="s">
        <v>543</v>
      </c>
      <c r="V116" s="2146"/>
      <c r="W116" s="2146"/>
      <c r="X116" s="2147"/>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44"/>
      <c r="C117" s="2145"/>
      <c r="D117" s="2145"/>
      <c r="E117" s="2145"/>
      <c r="F117" s="2145"/>
      <c r="G117" s="2145"/>
      <c r="H117" s="2145"/>
      <c r="I117" s="2145"/>
      <c r="J117" s="2145"/>
      <c r="K117" s="2145"/>
      <c r="L117" s="2145"/>
      <c r="M117" s="2145"/>
      <c r="N117" s="2145"/>
      <c r="O117" s="2145"/>
      <c r="P117" s="2145"/>
      <c r="Q117" s="2145"/>
      <c r="R117" s="2145"/>
      <c r="S117" s="2145"/>
      <c r="T117" s="2145"/>
      <c r="U117" s="2148"/>
      <c r="V117" s="2148"/>
      <c r="W117" s="2148"/>
      <c r="X117" s="2149"/>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2297</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15" t="s">
        <v>2296</v>
      </c>
      <c r="Y120" s="2116"/>
      <c r="Z120" s="2116"/>
      <c r="AA120" s="2116"/>
      <c r="AB120" s="2116"/>
      <c r="AC120" s="2116"/>
      <c r="AD120" s="2116"/>
      <c r="AE120" s="2116"/>
      <c r="AF120" s="2116"/>
      <c r="AG120" s="2116"/>
      <c r="AH120" s="2116"/>
      <c r="AI120" s="2116"/>
      <c r="AJ120" s="2116"/>
      <c r="AK120" s="2116"/>
      <c r="AL120" s="2116"/>
      <c r="AM120" s="2116"/>
      <c r="AN120" s="2116"/>
      <c r="AO120" s="2116"/>
      <c r="AP120" s="2116"/>
      <c r="AQ120" s="2116"/>
      <c r="AR120" s="2116"/>
      <c r="AS120" s="2116"/>
      <c r="AT120" s="2116"/>
      <c r="AU120" s="2116"/>
      <c r="AV120" s="2116"/>
      <c r="AW120" s="2116"/>
      <c r="AX120" s="2116"/>
      <c r="AY120" s="2116"/>
      <c r="AZ120" s="2116"/>
      <c r="BA120" s="2116"/>
      <c r="BB120" s="2116"/>
      <c r="BC120" s="2116"/>
      <c r="BD120" s="2156"/>
      <c r="BE120" s="1209"/>
    </row>
    <row r="121" spans="1:57" ht="15.75" customHeight="1">
      <c r="A121" s="1202"/>
      <c r="B121" s="2158" t="s">
        <v>1563</v>
      </c>
      <c r="C121" s="2159"/>
      <c r="D121" s="2159"/>
      <c r="E121" s="2159"/>
      <c r="F121" s="2159"/>
      <c r="G121" s="2159"/>
      <c r="H121" s="2159"/>
      <c r="I121" s="2159"/>
      <c r="J121" s="2159"/>
      <c r="K121" s="2159"/>
      <c r="L121" s="2159"/>
      <c r="M121" s="2159"/>
      <c r="N121" s="2159"/>
      <c r="O121" s="2159"/>
      <c r="P121" s="2159"/>
      <c r="Q121" s="2159"/>
      <c r="R121" s="2159"/>
      <c r="S121" s="2159"/>
      <c r="T121" s="2159"/>
      <c r="U121" s="2160"/>
      <c r="V121" s="1202"/>
      <c r="W121" s="1202"/>
      <c r="X121" s="2117"/>
      <c r="Y121" s="2118"/>
      <c r="Z121" s="2118"/>
      <c r="AA121" s="2118"/>
      <c r="AB121" s="2118"/>
      <c r="AC121" s="2118"/>
      <c r="AD121" s="2118"/>
      <c r="AE121" s="2118"/>
      <c r="AF121" s="2118"/>
      <c r="AG121" s="2118"/>
      <c r="AH121" s="2118"/>
      <c r="AI121" s="2118"/>
      <c r="AJ121" s="2118"/>
      <c r="AK121" s="2118"/>
      <c r="AL121" s="2118"/>
      <c r="AM121" s="2118"/>
      <c r="AN121" s="2118"/>
      <c r="AO121" s="2118"/>
      <c r="AP121" s="2118"/>
      <c r="AQ121" s="2118"/>
      <c r="AR121" s="2118"/>
      <c r="AS121" s="2118"/>
      <c r="AT121" s="2118"/>
      <c r="AU121" s="2118"/>
      <c r="AV121" s="2118"/>
      <c r="AW121" s="2118"/>
      <c r="AX121" s="2118"/>
      <c r="AY121" s="2118"/>
      <c r="AZ121" s="2118"/>
      <c r="BA121" s="2118"/>
      <c r="BB121" s="2118"/>
      <c r="BC121" s="2118"/>
      <c r="BD121" s="2157"/>
      <c r="BE121" s="1209"/>
    </row>
    <row r="122" spans="1:57" ht="15.75" customHeight="1">
      <c r="A122" s="1202"/>
      <c r="B122" s="2176"/>
      <c r="C122" s="2177"/>
      <c r="D122" s="2177"/>
      <c r="E122" s="2177"/>
      <c r="F122" s="2177"/>
      <c r="G122" s="2177"/>
      <c r="H122" s="2177"/>
      <c r="I122" s="2051" t="s">
        <v>2295</v>
      </c>
      <c r="J122" s="2051"/>
      <c r="K122" s="2051"/>
      <c r="L122" s="2051"/>
      <c r="M122" s="2051"/>
      <c r="N122" s="2051"/>
      <c r="O122" s="2180" t="s">
        <v>2294</v>
      </c>
      <c r="P122" s="2180"/>
      <c r="Q122" s="2180"/>
      <c r="R122" s="2180"/>
      <c r="S122" s="2180"/>
      <c r="T122" s="2180"/>
      <c r="U122" s="2181"/>
      <c r="V122" s="1202"/>
      <c r="W122" s="1202"/>
      <c r="X122" s="2098" t="s">
        <v>2264</v>
      </c>
      <c r="Y122" s="2099"/>
      <c r="Z122" s="2099"/>
      <c r="AA122" s="2099"/>
      <c r="AB122" s="2099"/>
      <c r="AC122" s="2099"/>
      <c r="AD122" s="2099"/>
      <c r="AE122" s="2099"/>
      <c r="AF122" s="2099"/>
      <c r="AG122" s="2099"/>
      <c r="AH122" s="2099"/>
      <c r="AI122" s="2099"/>
      <c r="AJ122" s="2099"/>
      <c r="AK122" s="2099"/>
      <c r="AL122" s="2099"/>
      <c r="AM122" s="2099"/>
      <c r="AN122" s="2099"/>
      <c r="AO122" s="2099"/>
      <c r="AP122" s="2099"/>
      <c r="AQ122" s="2099"/>
      <c r="AR122" s="2099"/>
      <c r="AS122" s="2099"/>
      <c r="AT122" s="2099"/>
      <c r="AU122" s="2099"/>
      <c r="AV122" s="2099"/>
      <c r="AW122" s="2099"/>
      <c r="AX122" s="2099"/>
      <c r="AY122" s="2099"/>
      <c r="AZ122" s="2099"/>
      <c r="BA122" s="2099"/>
      <c r="BB122" s="2099"/>
      <c r="BC122" s="2099"/>
      <c r="BD122" s="2100"/>
      <c r="BE122" s="1209"/>
    </row>
    <row r="123" spans="1:57" ht="15.75" customHeight="1">
      <c r="A123" s="1202"/>
      <c r="B123" s="2150" t="s">
        <v>2278</v>
      </c>
      <c r="C123" s="2151"/>
      <c r="D123" s="2151"/>
      <c r="E123" s="2151"/>
      <c r="F123" s="2151"/>
      <c r="G123" s="2151"/>
      <c r="H123" s="2151"/>
      <c r="I123" s="2128">
        <v>0</v>
      </c>
      <c r="J123" s="2128"/>
      <c r="K123" s="2128"/>
      <c r="L123" s="2128"/>
      <c r="M123" s="2128"/>
      <c r="N123" s="2128"/>
      <c r="O123" s="2128">
        <v>0</v>
      </c>
      <c r="P123" s="2128"/>
      <c r="Q123" s="2128"/>
      <c r="R123" s="2128"/>
      <c r="S123" s="2128"/>
      <c r="T123" s="2128"/>
      <c r="U123" s="2129"/>
      <c r="V123" s="1202"/>
      <c r="W123" s="1202"/>
      <c r="X123" s="2098"/>
      <c r="Y123" s="2099"/>
      <c r="Z123" s="2099"/>
      <c r="AA123" s="2099"/>
      <c r="AB123" s="2099"/>
      <c r="AC123" s="2099"/>
      <c r="AD123" s="2099"/>
      <c r="AE123" s="2099"/>
      <c r="AF123" s="2099"/>
      <c r="AG123" s="2099"/>
      <c r="AH123" s="2099"/>
      <c r="AI123" s="2099"/>
      <c r="AJ123" s="2099"/>
      <c r="AK123" s="2099"/>
      <c r="AL123" s="2099"/>
      <c r="AM123" s="2099"/>
      <c r="AN123" s="2099"/>
      <c r="AO123" s="2099"/>
      <c r="AP123" s="2099"/>
      <c r="AQ123" s="2099"/>
      <c r="AR123" s="2099"/>
      <c r="AS123" s="2099"/>
      <c r="AT123" s="2099"/>
      <c r="AU123" s="2099"/>
      <c r="AV123" s="2099"/>
      <c r="AW123" s="2099"/>
      <c r="AX123" s="2099"/>
      <c r="AY123" s="2099"/>
      <c r="AZ123" s="2099"/>
      <c r="BA123" s="2099"/>
      <c r="BB123" s="2099"/>
      <c r="BC123" s="2099"/>
      <c r="BD123" s="2100"/>
      <c r="BE123" s="1209"/>
    </row>
    <row r="124" spans="1:57" ht="15.75" customHeight="1" thickBot="1">
      <c r="A124" s="1202"/>
      <c r="B124" s="2152" t="s">
        <v>2277</v>
      </c>
      <c r="C124" s="2153"/>
      <c r="D124" s="2153"/>
      <c r="E124" s="2153"/>
      <c r="F124" s="2153"/>
      <c r="G124" s="2153"/>
      <c r="H124" s="2153"/>
      <c r="I124" s="2126">
        <v>0</v>
      </c>
      <c r="J124" s="2126"/>
      <c r="K124" s="2126"/>
      <c r="L124" s="2126"/>
      <c r="M124" s="2126"/>
      <c r="N124" s="2126"/>
      <c r="O124" s="2154"/>
      <c r="P124" s="2154"/>
      <c r="Q124" s="2154"/>
      <c r="R124" s="2154"/>
      <c r="S124" s="2154"/>
      <c r="T124" s="2154"/>
      <c r="U124" s="2155"/>
      <c r="V124" s="1202"/>
      <c r="W124" s="1202"/>
      <c r="X124" s="2098"/>
      <c r="Y124" s="2099"/>
      <c r="Z124" s="2099"/>
      <c r="AA124" s="2099"/>
      <c r="AB124" s="2099"/>
      <c r="AC124" s="2099"/>
      <c r="AD124" s="2099"/>
      <c r="AE124" s="2099"/>
      <c r="AF124" s="2099"/>
      <c r="AG124" s="2099"/>
      <c r="AH124" s="2099"/>
      <c r="AI124" s="2099"/>
      <c r="AJ124" s="2099"/>
      <c r="AK124" s="2099"/>
      <c r="AL124" s="2099"/>
      <c r="AM124" s="2099"/>
      <c r="AN124" s="2099"/>
      <c r="AO124" s="2099"/>
      <c r="AP124" s="2099"/>
      <c r="AQ124" s="2099"/>
      <c r="AR124" s="2099"/>
      <c r="AS124" s="2099"/>
      <c r="AT124" s="2099"/>
      <c r="AU124" s="2099"/>
      <c r="AV124" s="2099"/>
      <c r="AW124" s="2099"/>
      <c r="AX124" s="2099"/>
      <c r="AY124" s="2099"/>
      <c r="AZ124" s="2099"/>
      <c r="BA124" s="2099"/>
      <c r="BB124" s="2099"/>
      <c r="BC124" s="2099"/>
      <c r="BD124" s="2100"/>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98"/>
      <c r="Y125" s="2099"/>
      <c r="Z125" s="2099"/>
      <c r="AA125" s="2099"/>
      <c r="AB125" s="2099"/>
      <c r="AC125" s="2099"/>
      <c r="AD125" s="2099"/>
      <c r="AE125" s="2099"/>
      <c r="AF125" s="2099"/>
      <c r="AG125" s="2099"/>
      <c r="AH125" s="2099"/>
      <c r="AI125" s="2099"/>
      <c r="AJ125" s="2099"/>
      <c r="AK125" s="2099"/>
      <c r="AL125" s="2099"/>
      <c r="AM125" s="2099"/>
      <c r="AN125" s="2099"/>
      <c r="AO125" s="2099"/>
      <c r="AP125" s="2099"/>
      <c r="AQ125" s="2099"/>
      <c r="AR125" s="2099"/>
      <c r="AS125" s="2099"/>
      <c r="AT125" s="2099"/>
      <c r="AU125" s="2099"/>
      <c r="AV125" s="2099"/>
      <c r="AW125" s="2099"/>
      <c r="AX125" s="2099"/>
      <c r="AY125" s="2099"/>
      <c r="AZ125" s="2099"/>
      <c r="BA125" s="2099"/>
      <c r="BB125" s="2099"/>
      <c r="BC125" s="2099"/>
      <c r="BD125" s="2100"/>
      <c r="BE125" s="1209"/>
    </row>
    <row r="126" spans="1:57" ht="15.75" customHeight="1" thickBot="1">
      <c r="A126" s="1202"/>
      <c r="B126" s="1225" t="s">
        <v>2293</v>
      </c>
      <c r="C126" s="1226"/>
      <c r="D126" s="1226"/>
      <c r="E126" s="1226"/>
      <c r="F126" s="1226"/>
      <c r="G126" s="1226"/>
      <c r="H126" s="1226"/>
      <c r="I126" s="1226"/>
      <c r="J126" s="1226"/>
      <c r="K126" s="1226"/>
      <c r="L126" s="1226"/>
      <c r="M126" s="1226"/>
      <c r="N126" s="1226"/>
      <c r="O126" s="1226"/>
      <c r="P126" s="1227"/>
      <c r="Q126" s="1210" t="s">
        <v>249</v>
      </c>
      <c r="R126" s="1210" t="s">
        <v>249</v>
      </c>
      <c r="S126" s="1202"/>
      <c r="T126" s="1202"/>
      <c r="U126" s="1202"/>
      <c r="V126" s="1202" t="s">
        <v>249</v>
      </c>
      <c r="W126" s="1202"/>
      <c r="X126" s="2098"/>
      <c r="Y126" s="2099"/>
      <c r="Z126" s="2099"/>
      <c r="AA126" s="2099"/>
      <c r="AB126" s="2099"/>
      <c r="AC126" s="2099"/>
      <c r="AD126" s="2099"/>
      <c r="AE126" s="2099"/>
      <c r="AF126" s="2099"/>
      <c r="AG126" s="2099"/>
      <c r="AH126" s="2099"/>
      <c r="AI126" s="2099"/>
      <c r="AJ126" s="2099"/>
      <c r="AK126" s="2099"/>
      <c r="AL126" s="2099"/>
      <c r="AM126" s="2099"/>
      <c r="AN126" s="2099"/>
      <c r="AO126" s="2099"/>
      <c r="AP126" s="2099"/>
      <c r="AQ126" s="2099"/>
      <c r="AR126" s="2099"/>
      <c r="AS126" s="2099"/>
      <c r="AT126" s="2099"/>
      <c r="AU126" s="2099"/>
      <c r="AV126" s="2099"/>
      <c r="AW126" s="2099"/>
      <c r="AX126" s="2099"/>
      <c r="AY126" s="2099"/>
      <c r="AZ126" s="2099"/>
      <c r="BA126" s="2099"/>
      <c r="BB126" s="2099"/>
      <c r="BC126" s="2099"/>
      <c r="BD126" s="2100"/>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98"/>
      <c r="Y127" s="2099"/>
      <c r="Z127" s="2099"/>
      <c r="AA127" s="2099"/>
      <c r="AB127" s="2099"/>
      <c r="AC127" s="2099"/>
      <c r="AD127" s="2099"/>
      <c r="AE127" s="2099"/>
      <c r="AF127" s="2099"/>
      <c r="AG127" s="2099"/>
      <c r="AH127" s="2099"/>
      <c r="AI127" s="2099"/>
      <c r="AJ127" s="2099"/>
      <c r="AK127" s="2099"/>
      <c r="AL127" s="2099"/>
      <c r="AM127" s="2099"/>
      <c r="AN127" s="2099"/>
      <c r="AO127" s="2099"/>
      <c r="AP127" s="2099"/>
      <c r="AQ127" s="2099"/>
      <c r="AR127" s="2099"/>
      <c r="AS127" s="2099"/>
      <c r="AT127" s="2099"/>
      <c r="AU127" s="2099"/>
      <c r="AV127" s="2099"/>
      <c r="AW127" s="2099"/>
      <c r="AX127" s="2099"/>
      <c r="AY127" s="2099"/>
      <c r="AZ127" s="2099"/>
      <c r="BA127" s="2099"/>
      <c r="BB127" s="2099"/>
      <c r="BC127" s="2099"/>
      <c r="BD127" s="2100"/>
      <c r="BE127" s="1209"/>
    </row>
    <row r="128" spans="1:57" ht="15.75" customHeight="1">
      <c r="A128" s="1202"/>
      <c r="B128" s="1952" t="s">
        <v>2292</v>
      </c>
      <c r="C128" s="1953"/>
      <c r="D128" s="1953"/>
      <c r="E128" s="1953"/>
      <c r="F128" s="1953"/>
      <c r="G128" s="1953"/>
      <c r="H128" s="1953"/>
      <c r="I128" s="1953"/>
      <c r="J128" s="1953"/>
      <c r="K128" s="1953"/>
      <c r="L128" s="1953"/>
      <c r="M128" s="1953"/>
      <c r="N128" s="1953"/>
      <c r="O128" s="1953"/>
      <c r="P128" s="1953"/>
      <c r="Q128" s="1953"/>
      <c r="R128" s="1953"/>
      <c r="S128" s="1953"/>
      <c r="T128" s="1953"/>
      <c r="U128" s="1954"/>
      <c r="V128" s="1202"/>
      <c r="W128" s="1202"/>
      <c r="X128" s="2098"/>
      <c r="Y128" s="2099"/>
      <c r="Z128" s="2099"/>
      <c r="AA128" s="2099"/>
      <c r="AB128" s="2099"/>
      <c r="AC128" s="2099"/>
      <c r="AD128" s="2099"/>
      <c r="AE128" s="2099"/>
      <c r="AF128" s="2099"/>
      <c r="AG128" s="2099"/>
      <c r="AH128" s="2099"/>
      <c r="AI128" s="2099"/>
      <c r="AJ128" s="2099"/>
      <c r="AK128" s="2099"/>
      <c r="AL128" s="2099"/>
      <c r="AM128" s="2099"/>
      <c r="AN128" s="2099"/>
      <c r="AO128" s="2099"/>
      <c r="AP128" s="2099"/>
      <c r="AQ128" s="2099"/>
      <c r="AR128" s="2099"/>
      <c r="AS128" s="2099"/>
      <c r="AT128" s="2099"/>
      <c r="AU128" s="2099"/>
      <c r="AV128" s="2099"/>
      <c r="AW128" s="2099"/>
      <c r="AX128" s="2099"/>
      <c r="AY128" s="2099"/>
      <c r="AZ128" s="2099"/>
      <c r="BA128" s="2099"/>
      <c r="BB128" s="2099"/>
      <c r="BC128" s="2099"/>
      <c r="BD128" s="2100"/>
      <c r="BE128" s="1209"/>
    </row>
    <row r="129" spans="1:57" ht="15.75" customHeight="1">
      <c r="A129" s="1202"/>
      <c r="B129" s="2176"/>
      <c r="C129" s="2177"/>
      <c r="D129" s="2177"/>
      <c r="E129" s="2177"/>
      <c r="F129" s="2177"/>
      <c r="G129" s="2177"/>
      <c r="H129" s="2177"/>
      <c r="I129" s="2178" t="s">
        <v>2280</v>
      </c>
      <c r="J129" s="2178"/>
      <c r="K129" s="2178"/>
      <c r="L129" s="2178"/>
      <c r="M129" s="2178"/>
      <c r="N129" s="2178"/>
      <c r="O129" s="2178"/>
      <c r="P129" s="2178" t="s">
        <v>2279</v>
      </c>
      <c r="Q129" s="2178"/>
      <c r="R129" s="2178"/>
      <c r="S129" s="2178"/>
      <c r="T129" s="2178"/>
      <c r="U129" s="2179"/>
      <c r="V129" s="1202"/>
      <c r="W129" s="1202"/>
      <c r="X129" s="2098"/>
      <c r="Y129" s="2099"/>
      <c r="Z129" s="2099"/>
      <c r="AA129" s="2099"/>
      <c r="AB129" s="2099"/>
      <c r="AC129" s="2099"/>
      <c r="AD129" s="2099"/>
      <c r="AE129" s="2099"/>
      <c r="AF129" s="2099"/>
      <c r="AG129" s="2099"/>
      <c r="AH129" s="2099"/>
      <c r="AI129" s="2099"/>
      <c r="AJ129" s="2099"/>
      <c r="AK129" s="2099"/>
      <c r="AL129" s="2099"/>
      <c r="AM129" s="2099"/>
      <c r="AN129" s="2099"/>
      <c r="AO129" s="2099"/>
      <c r="AP129" s="2099"/>
      <c r="AQ129" s="2099"/>
      <c r="AR129" s="2099"/>
      <c r="AS129" s="2099"/>
      <c r="AT129" s="2099"/>
      <c r="AU129" s="2099"/>
      <c r="AV129" s="2099"/>
      <c r="AW129" s="2099"/>
      <c r="AX129" s="2099"/>
      <c r="AY129" s="2099"/>
      <c r="AZ129" s="2099"/>
      <c r="BA129" s="2099"/>
      <c r="BB129" s="2099"/>
      <c r="BC129" s="2099"/>
      <c r="BD129" s="2100"/>
      <c r="BE129" s="1209"/>
    </row>
    <row r="130" spans="1:57" ht="15.75" customHeight="1">
      <c r="A130" s="1202"/>
      <c r="B130" s="2176"/>
      <c r="C130" s="2177"/>
      <c r="D130" s="2177"/>
      <c r="E130" s="2177"/>
      <c r="F130" s="2177"/>
      <c r="G130" s="2177"/>
      <c r="H130" s="2177"/>
      <c r="I130" s="2178"/>
      <c r="J130" s="2178"/>
      <c r="K130" s="2178"/>
      <c r="L130" s="2178"/>
      <c r="M130" s="2178"/>
      <c r="N130" s="2178"/>
      <c r="O130" s="2178"/>
      <c r="P130" s="2178"/>
      <c r="Q130" s="2178"/>
      <c r="R130" s="2178"/>
      <c r="S130" s="2178"/>
      <c r="T130" s="2178"/>
      <c r="U130" s="2179"/>
      <c r="V130" s="1202"/>
      <c r="W130" s="1202"/>
      <c r="X130" s="2098"/>
      <c r="Y130" s="2099"/>
      <c r="Z130" s="2099"/>
      <c r="AA130" s="2099"/>
      <c r="AB130" s="2099"/>
      <c r="AC130" s="2099"/>
      <c r="AD130" s="2099"/>
      <c r="AE130" s="2099"/>
      <c r="AF130" s="2099"/>
      <c r="AG130" s="2099"/>
      <c r="AH130" s="2099"/>
      <c r="AI130" s="2099"/>
      <c r="AJ130" s="2099"/>
      <c r="AK130" s="2099"/>
      <c r="AL130" s="2099"/>
      <c r="AM130" s="2099"/>
      <c r="AN130" s="2099"/>
      <c r="AO130" s="2099"/>
      <c r="AP130" s="2099"/>
      <c r="AQ130" s="2099"/>
      <c r="AR130" s="2099"/>
      <c r="AS130" s="2099"/>
      <c r="AT130" s="2099"/>
      <c r="AU130" s="2099"/>
      <c r="AV130" s="2099"/>
      <c r="AW130" s="2099"/>
      <c r="AX130" s="2099"/>
      <c r="AY130" s="2099"/>
      <c r="AZ130" s="2099"/>
      <c r="BA130" s="2099"/>
      <c r="BB130" s="2099"/>
      <c r="BC130" s="2099"/>
      <c r="BD130" s="2100"/>
      <c r="BE130" s="1209"/>
    </row>
    <row r="131" spans="1:57" ht="15.75" customHeight="1">
      <c r="A131" s="1202"/>
      <c r="B131" s="2150" t="s">
        <v>2278</v>
      </c>
      <c r="C131" s="2151"/>
      <c r="D131" s="2151"/>
      <c r="E131" s="2151"/>
      <c r="F131" s="2151"/>
      <c r="G131" s="2151"/>
      <c r="H131" s="2151"/>
      <c r="I131" s="2128">
        <v>0</v>
      </c>
      <c r="J131" s="2128"/>
      <c r="K131" s="2128"/>
      <c r="L131" s="2128"/>
      <c r="M131" s="2128"/>
      <c r="N131" s="2128"/>
      <c r="O131" s="2128"/>
      <c r="P131" s="2128">
        <v>0</v>
      </c>
      <c r="Q131" s="2128"/>
      <c r="R131" s="2128"/>
      <c r="S131" s="2128"/>
      <c r="T131" s="2128"/>
      <c r="U131" s="2129"/>
      <c r="V131" s="1202"/>
      <c r="W131" s="1202"/>
      <c r="X131" s="2098"/>
      <c r="Y131" s="2099"/>
      <c r="Z131" s="2099"/>
      <c r="AA131" s="2099"/>
      <c r="AB131" s="2099"/>
      <c r="AC131" s="2099"/>
      <c r="AD131" s="2099"/>
      <c r="AE131" s="2099"/>
      <c r="AF131" s="2099"/>
      <c r="AG131" s="2099"/>
      <c r="AH131" s="2099"/>
      <c r="AI131" s="2099"/>
      <c r="AJ131" s="2099"/>
      <c r="AK131" s="2099"/>
      <c r="AL131" s="2099"/>
      <c r="AM131" s="2099"/>
      <c r="AN131" s="2099"/>
      <c r="AO131" s="2099"/>
      <c r="AP131" s="2099"/>
      <c r="AQ131" s="2099"/>
      <c r="AR131" s="2099"/>
      <c r="AS131" s="2099"/>
      <c r="AT131" s="2099"/>
      <c r="AU131" s="2099"/>
      <c r="AV131" s="2099"/>
      <c r="AW131" s="2099"/>
      <c r="AX131" s="2099"/>
      <c r="AY131" s="2099"/>
      <c r="AZ131" s="2099"/>
      <c r="BA131" s="2099"/>
      <c r="BB131" s="2099"/>
      <c r="BC131" s="2099"/>
      <c r="BD131" s="2100"/>
      <c r="BE131" s="1209"/>
    </row>
    <row r="132" spans="1:57" ht="15.75" customHeight="1" thickBot="1">
      <c r="A132" s="1202"/>
      <c r="B132" s="2152" t="s">
        <v>2277</v>
      </c>
      <c r="C132" s="2153"/>
      <c r="D132" s="2153"/>
      <c r="E132" s="2153"/>
      <c r="F132" s="2153"/>
      <c r="G132" s="2153"/>
      <c r="H132" s="2153"/>
      <c r="I132" s="2126">
        <v>0</v>
      </c>
      <c r="J132" s="2126"/>
      <c r="K132" s="2126"/>
      <c r="L132" s="2126"/>
      <c r="M132" s="2126"/>
      <c r="N132" s="2126"/>
      <c r="O132" s="2126"/>
      <c r="P132" s="2126">
        <v>0</v>
      </c>
      <c r="Q132" s="2126"/>
      <c r="R132" s="2126"/>
      <c r="S132" s="2126"/>
      <c r="T132" s="2126"/>
      <c r="U132" s="2127"/>
      <c r="V132" s="1202"/>
      <c r="W132" s="1202"/>
      <c r="X132" s="2101"/>
      <c r="Y132" s="2102"/>
      <c r="Z132" s="2102"/>
      <c r="AA132" s="2102"/>
      <c r="AB132" s="2102"/>
      <c r="AC132" s="2102"/>
      <c r="AD132" s="2102"/>
      <c r="AE132" s="2102"/>
      <c r="AF132" s="2102"/>
      <c r="AG132" s="2102"/>
      <c r="AH132" s="2102"/>
      <c r="AI132" s="2102"/>
      <c r="AJ132" s="2102"/>
      <c r="AK132" s="2102"/>
      <c r="AL132" s="2102"/>
      <c r="AM132" s="2102"/>
      <c r="AN132" s="2102"/>
      <c r="AO132" s="2102"/>
      <c r="AP132" s="2102"/>
      <c r="AQ132" s="2102"/>
      <c r="AR132" s="2102"/>
      <c r="AS132" s="2102"/>
      <c r="AT132" s="2102"/>
      <c r="AU132" s="2102"/>
      <c r="AV132" s="2102"/>
      <c r="AW132" s="2102"/>
      <c r="AX132" s="2102"/>
      <c r="AY132" s="2102"/>
      <c r="AZ132" s="2102"/>
      <c r="BA132" s="2102"/>
      <c r="BB132" s="2102"/>
      <c r="BC132" s="2102"/>
      <c r="BD132" s="2103"/>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74" t="s">
        <v>2291</v>
      </c>
      <c r="C134" s="2175"/>
      <c r="D134" s="2175"/>
      <c r="E134" s="2175"/>
      <c r="F134" s="2175"/>
      <c r="G134" s="2175"/>
      <c r="H134" s="2175"/>
      <c r="I134" s="2175"/>
      <c r="J134" s="2175"/>
      <c r="K134" s="2175"/>
      <c r="L134" s="2175"/>
      <c r="M134" s="2175"/>
      <c r="N134" s="2175"/>
      <c r="O134" s="2175"/>
      <c r="P134" s="2175"/>
      <c r="Q134" s="2175"/>
      <c r="R134" s="2175"/>
      <c r="S134" s="2175"/>
      <c r="T134" s="2175"/>
      <c r="U134" s="2175"/>
      <c r="V134" s="2175"/>
      <c r="W134" s="2175"/>
      <c r="X134" s="2175"/>
      <c r="Y134" s="2175"/>
      <c r="Z134" s="2175"/>
      <c r="AA134" s="2175"/>
      <c r="AB134" s="2175"/>
      <c r="AC134" s="2175"/>
      <c r="AD134" s="2175"/>
      <c r="AE134" s="2175"/>
      <c r="AF134" s="2175"/>
      <c r="AG134" s="2175"/>
      <c r="AH134" s="2075" t="s">
        <v>543</v>
      </c>
      <c r="AI134" s="2075"/>
      <c r="AJ134" s="2075"/>
      <c r="AK134" s="2075"/>
      <c r="AL134" s="2075"/>
      <c r="AM134" s="2075"/>
      <c r="AN134" s="2075"/>
      <c r="AO134" s="2075"/>
      <c r="AP134" s="2075"/>
      <c r="AQ134" s="2075"/>
      <c r="AR134" s="2075"/>
      <c r="AS134" s="2075"/>
      <c r="AT134" s="2075"/>
      <c r="AU134" s="2075"/>
      <c r="AV134" s="2075"/>
      <c r="AW134" s="2075"/>
      <c r="AX134" s="2076"/>
      <c r="AY134" s="1202"/>
      <c r="AZ134" s="1202"/>
      <c r="BA134" s="1202"/>
      <c r="BB134" s="1202"/>
      <c r="BC134" s="1202"/>
      <c r="BD134" s="1202"/>
      <c r="BE134" s="1209"/>
    </row>
    <row r="135" spans="1:57" ht="15.75" customHeight="1" thickBot="1">
      <c r="A135" s="1202"/>
      <c r="B135" s="2161" t="s">
        <v>2290</v>
      </c>
      <c r="C135" s="2162"/>
      <c r="D135" s="2162"/>
      <c r="E135" s="2162"/>
      <c r="F135" s="2162"/>
      <c r="G135" s="2162"/>
      <c r="H135" s="2162"/>
      <c r="I135" s="2162"/>
      <c r="J135" s="2162"/>
      <c r="K135" s="2162"/>
      <c r="L135" s="2162"/>
      <c r="M135" s="2162"/>
      <c r="N135" s="2162"/>
      <c r="O135" s="2162"/>
      <c r="P135" s="2162"/>
      <c r="Q135" s="2162"/>
      <c r="R135" s="2162"/>
      <c r="S135" s="2162"/>
      <c r="T135" s="2162"/>
      <c r="U135" s="2162"/>
      <c r="V135" s="2162"/>
      <c r="W135" s="2162"/>
      <c r="X135" s="2162"/>
      <c r="Y135" s="2162"/>
      <c r="Z135" s="2162"/>
      <c r="AA135" s="2162"/>
      <c r="AB135" s="2162"/>
      <c r="AC135" s="2162"/>
      <c r="AD135" s="2162"/>
      <c r="AE135" s="2162"/>
      <c r="AF135" s="2162"/>
      <c r="AG135" s="2163"/>
      <c r="AH135" s="2130"/>
      <c r="AI135" s="2131"/>
      <c r="AJ135" s="2131"/>
      <c r="AK135" s="2131"/>
      <c r="AL135" s="2131"/>
      <c r="AM135" s="2131"/>
      <c r="AN135" s="2131"/>
      <c r="AO135" s="2131"/>
      <c r="AP135" s="2131"/>
      <c r="AQ135" s="2131"/>
      <c r="AR135" s="2131"/>
      <c r="AS135" s="2131"/>
      <c r="AT135" s="2131"/>
      <c r="AU135" s="2131"/>
      <c r="AV135" s="2131"/>
      <c r="AW135" s="2131"/>
      <c r="AX135" s="2132"/>
      <c r="AY135" s="1202"/>
      <c r="AZ135" s="1202"/>
      <c r="BA135" s="1202"/>
      <c r="BB135" s="1202"/>
      <c r="BC135" s="1202"/>
      <c r="BD135" s="1202"/>
      <c r="BE135" s="1209"/>
    </row>
    <row r="136" spans="1:57" ht="15.75" customHeight="1">
      <c r="A136" s="1202"/>
      <c r="B136" s="2161" t="s">
        <v>2289</v>
      </c>
      <c r="C136" s="2162"/>
      <c r="D136" s="2162"/>
      <c r="E136" s="2162"/>
      <c r="F136" s="2162"/>
      <c r="G136" s="2162"/>
      <c r="H136" s="2162"/>
      <c r="I136" s="2162"/>
      <c r="J136" s="2162"/>
      <c r="K136" s="2162"/>
      <c r="L136" s="2162"/>
      <c r="M136" s="2162"/>
      <c r="N136" s="2162"/>
      <c r="O136" s="2162"/>
      <c r="P136" s="2162"/>
      <c r="Q136" s="2162"/>
      <c r="R136" s="2162"/>
      <c r="S136" s="2162"/>
      <c r="T136" s="2162"/>
      <c r="U136" s="2162"/>
      <c r="V136" s="2162"/>
      <c r="W136" s="2162"/>
      <c r="X136" s="2162"/>
      <c r="Y136" s="2162"/>
      <c r="Z136" s="2162"/>
      <c r="AA136" s="2162"/>
      <c r="AB136" s="2162"/>
      <c r="AC136" s="2162"/>
      <c r="AD136" s="2162"/>
      <c r="AE136" s="2162"/>
      <c r="AF136" s="2162"/>
      <c r="AG136" s="2163"/>
      <c r="AH136" s="2075" t="s">
        <v>543</v>
      </c>
      <c r="AI136" s="2075"/>
      <c r="AJ136" s="2075"/>
      <c r="AK136" s="2075"/>
      <c r="AL136" s="2075"/>
      <c r="AM136" s="2075"/>
      <c r="AN136" s="2075"/>
      <c r="AO136" s="2075"/>
      <c r="AP136" s="2075"/>
      <c r="AQ136" s="2075"/>
      <c r="AR136" s="2075"/>
      <c r="AS136" s="2075"/>
      <c r="AT136" s="2075"/>
      <c r="AU136" s="2075"/>
      <c r="AV136" s="2075"/>
      <c r="AW136" s="2075"/>
      <c r="AX136" s="2076"/>
      <c r="AY136" s="1202"/>
      <c r="AZ136" s="1202"/>
      <c r="BA136" s="1202"/>
      <c r="BB136" s="1202"/>
      <c r="BC136" s="1202"/>
      <c r="BD136" s="1202"/>
      <c r="BE136" s="1209"/>
    </row>
    <row r="137" spans="1:57" ht="15.75" customHeight="1">
      <c r="A137" s="1202"/>
      <c r="B137" s="2164" t="s">
        <v>2288</v>
      </c>
      <c r="C137" s="2165"/>
      <c r="D137" s="2165"/>
      <c r="E137" s="2165"/>
      <c r="F137" s="2165"/>
      <c r="G137" s="2165"/>
      <c r="H137" s="2165"/>
      <c r="I137" s="2165"/>
      <c r="J137" s="2165"/>
      <c r="K137" s="2165"/>
      <c r="L137" s="2165"/>
      <c r="M137" s="2165"/>
      <c r="N137" s="2165"/>
      <c r="O137" s="2165"/>
      <c r="P137" s="2165"/>
      <c r="Q137" s="2165"/>
      <c r="R137" s="2166" t="s">
        <v>2287</v>
      </c>
      <c r="S137" s="2166"/>
      <c r="T137" s="2166"/>
      <c r="U137" s="2166"/>
      <c r="V137" s="2166"/>
      <c r="W137" s="2166"/>
      <c r="X137" s="2166"/>
      <c r="Y137" s="2166"/>
      <c r="Z137" s="2166"/>
      <c r="AA137" s="2166"/>
      <c r="AB137" s="2166"/>
      <c r="AC137" s="2166"/>
      <c r="AD137" s="2166"/>
      <c r="AE137" s="2166"/>
      <c r="AF137" s="2166"/>
      <c r="AG137" s="2166"/>
      <c r="AH137" s="2166"/>
      <c r="AI137" s="2166"/>
      <c r="AJ137" s="2166"/>
      <c r="AK137" s="2166"/>
      <c r="AL137" s="2166"/>
      <c r="AM137" s="2166"/>
      <c r="AN137" s="2166"/>
      <c r="AO137" s="2166"/>
      <c r="AP137" s="2166"/>
      <c r="AQ137" s="2166"/>
      <c r="AR137" s="2166"/>
      <c r="AS137" s="2166"/>
      <c r="AT137" s="2166"/>
      <c r="AU137" s="2166"/>
      <c r="AV137" s="2166"/>
      <c r="AW137" s="2166"/>
      <c r="AX137" s="2167"/>
      <c r="AY137" s="1202"/>
      <c r="AZ137" s="1202"/>
      <c r="BA137" s="1202"/>
      <c r="BB137" s="1202"/>
      <c r="BC137" s="1202" t="s">
        <v>249</v>
      </c>
      <c r="BD137" s="1202"/>
      <c r="BE137" s="1209"/>
    </row>
    <row r="138" spans="1:57" ht="15.75" customHeight="1">
      <c r="A138" s="1202"/>
      <c r="B138" s="2168" t="s">
        <v>2286</v>
      </c>
      <c r="C138" s="2169"/>
      <c r="D138" s="2169"/>
      <c r="E138" s="2169"/>
      <c r="F138" s="2169"/>
      <c r="G138" s="2169"/>
      <c r="H138" s="2169"/>
      <c r="I138" s="2169"/>
      <c r="J138" s="2169"/>
      <c r="K138" s="2169"/>
      <c r="L138" s="2169"/>
      <c r="M138" s="2169"/>
      <c r="N138" s="2169"/>
      <c r="O138" s="2169"/>
      <c r="P138" s="2169"/>
      <c r="Q138" s="2169"/>
      <c r="R138" s="2169"/>
      <c r="S138" s="2169"/>
      <c r="T138" s="2169"/>
      <c r="U138" s="2169"/>
      <c r="V138" s="2169"/>
      <c r="W138" s="2169"/>
      <c r="X138" s="2169"/>
      <c r="Y138" s="2169"/>
      <c r="Z138" s="2169"/>
      <c r="AA138" s="2169"/>
      <c r="AB138" s="2169"/>
      <c r="AC138" s="2169"/>
      <c r="AD138" s="2169"/>
      <c r="AE138" s="2169"/>
      <c r="AF138" s="2169"/>
      <c r="AG138" s="2169"/>
      <c r="AH138" s="2169"/>
      <c r="AI138" s="2169"/>
      <c r="AJ138" s="2169"/>
      <c r="AK138" s="2169"/>
      <c r="AL138" s="2169"/>
      <c r="AM138" s="2169"/>
      <c r="AN138" s="2169"/>
      <c r="AO138" s="2169"/>
      <c r="AP138" s="2169"/>
      <c r="AQ138" s="2169"/>
      <c r="AR138" s="2169"/>
      <c r="AS138" s="2169"/>
      <c r="AT138" s="2169"/>
      <c r="AU138" s="2169"/>
      <c r="AV138" s="2169"/>
      <c r="AW138" s="2169"/>
      <c r="AX138" s="2170"/>
      <c r="AY138" s="1202"/>
      <c r="AZ138" s="1202"/>
      <c r="BA138" s="1202"/>
      <c r="BB138" s="1202"/>
      <c r="BC138" s="1202"/>
      <c r="BD138" s="1202"/>
      <c r="BE138" s="1209"/>
    </row>
    <row r="139" spans="1:57" ht="15.75" customHeight="1">
      <c r="A139" s="1202"/>
      <c r="B139" s="2168"/>
      <c r="C139" s="2169"/>
      <c r="D139" s="2169"/>
      <c r="E139" s="2169"/>
      <c r="F139" s="2169"/>
      <c r="G139" s="2169"/>
      <c r="H139" s="2169"/>
      <c r="I139" s="2169"/>
      <c r="J139" s="2169"/>
      <c r="K139" s="2169"/>
      <c r="L139" s="2169"/>
      <c r="M139" s="2169"/>
      <c r="N139" s="2169"/>
      <c r="O139" s="2169"/>
      <c r="P139" s="2169"/>
      <c r="Q139" s="2169"/>
      <c r="R139" s="2169"/>
      <c r="S139" s="2169"/>
      <c r="T139" s="2169"/>
      <c r="U139" s="2169"/>
      <c r="V139" s="2169"/>
      <c r="W139" s="2169"/>
      <c r="X139" s="2169"/>
      <c r="Y139" s="2169"/>
      <c r="Z139" s="2169"/>
      <c r="AA139" s="2169"/>
      <c r="AB139" s="2169"/>
      <c r="AC139" s="2169"/>
      <c r="AD139" s="2169"/>
      <c r="AE139" s="2169"/>
      <c r="AF139" s="2169"/>
      <c r="AG139" s="2169"/>
      <c r="AH139" s="2169"/>
      <c r="AI139" s="2169"/>
      <c r="AJ139" s="2169"/>
      <c r="AK139" s="2169"/>
      <c r="AL139" s="2169"/>
      <c r="AM139" s="2169"/>
      <c r="AN139" s="2169"/>
      <c r="AO139" s="2169"/>
      <c r="AP139" s="2169"/>
      <c r="AQ139" s="2169"/>
      <c r="AR139" s="2169"/>
      <c r="AS139" s="2169"/>
      <c r="AT139" s="2169"/>
      <c r="AU139" s="2169"/>
      <c r="AV139" s="2169"/>
      <c r="AW139" s="2169"/>
      <c r="AX139" s="2170"/>
      <c r="AY139" s="1202"/>
      <c r="AZ139" s="1202"/>
      <c r="BA139" s="1202"/>
      <c r="BB139" s="1202"/>
      <c r="BC139" s="1202"/>
      <c r="BD139" s="1202"/>
      <c r="BE139" s="1209"/>
    </row>
    <row r="140" spans="1:57" ht="15.75" customHeight="1">
      <c r="A140" s="1202"/>
      <c r="B140" s="2168"/>
      <c r="C140" s="2169"/>
      <c r="D140" s="2169"/>
      <c r="E140" s="2169"/>
      <c r="F140" s="2169"/>
      <c r="G140" s="2169"/>
      <c r="H140" s="2169"/>
      <c r="I140" s="2169"/>
      <c r="J140" s="2169"/>
      <c r="K140" s="2169"/>
      <c r="L140" s="2169"/>
      <c r="M140" s="2169"/>
      <c r="N140" s="2169"/>
      <c r="O140" s="2169"/>
      <c r="P140" s="2169"/>
      <c r="Q140" s="2169"/>
      <c r="R140" s="2169"/>
      <c r="S140" s="2169"/>
      <c r="T140" s="2169"/>
      <c r="U140" s="2169"/>
      <c r="V140" s="2169"/>
      <c r="W140" s="2169"/>
      <c r="X140" s="2169"/>
      <c r="Y140" s="2169"/>
      <c r="Z140" s="2169"/>
      <c r="AA140" s="2169"/>
      <c r="AB140" s="2169"/>
      <c r="AC140" s="2169"/>
      <c r="AD140" s="2169"/>
      <c r="AE140" s="2169"/>
      <c r="AF140" s="2169"/>
      <c r="AG140" s="2169"/>
      <c r="AH140" s="2169"/>
      <c r="AI140" s="2169"/>
      <c r="AJ140" s="2169"/>
      <c r="AK140" s="2169"/>
      <c r="AL140" s="2169"/>
      <c r="AM140" s="2169"/>
      <c r="AN140" s="2169"/>
      <c r="AO140" s="2169"/>
      <c r="AP140" s="2169"/>
      <c r="AQ140" s="2169"/>
      <c r="AR140" s="2169"/>
      <c r="AS140" s="2169"/>
      <c r="AT140" s="2169"/>
      <c r="AU140" s="2169"/>
      <c r="AV140" s="2169"/>
      <c r="AW140" s="2169"/>
      <c r="AX140" s="2170"/>
      <c r="AY140" s="1202"/>
      <c r="AZ140" s="1202"/>
      <c r="BA140" s="1202"/>
      <c r="BB140" s="1202"/>
      <c r="BC140" s="1202"/>
      <c r="BD140" s="1202"/>
      <c r="BE140" s="1209"/>
    </row>
    <row r="141" spans="1:57" ht="15.75" customHeight="1">
      <c r="A141" s="1202"/>
      <c r="B141" s="2168"/>
      <c r="C141" s="2169"/>
      <c r="D141" s="2169"/>
      <c r="E141" s="2169"/>
      <c r="F141" s="2169"/>
      <c r="G141" s="2169"/>
      <c r="H141" s="2169"/>
      <c r="I141" s="2169"/>
      <c r="J141" s="2169"/>
      <c r="K141" s="2169"/>
      <c r="L141" s="2169"/>
      <c r="M141" s="2169"/>
      <c r="N141" s="2169"/>
      <c r="O141" s="2169"/>
      <c r="P141" s="2169"/>
      <c r="Q141" s="2169"/>
      <c r="R141" s="2169"/>
      <c r="S141" s="2169"/>
      <c r="T141" s="2169"/>
      <c r="U141" s="2169"/>
      <c r="V141" s="2169"/>
      <c r="W141" s="2169"/>
      <c r="X141" s="2169"/>
      <c r="Y141" s="2169"/>
      <c r="Z141" s="2169"/>
      <c r="AA141" s="2169"/>
      <c r="AB141" s="2169"/>
      <c r="AC141" s="2169"/>
      <c r="AD141" s="2169"/>
      <c r="AE141" s="2169"/>
      <c r="AF141" s="2169"/>
      <c r="AG141" s="2169"/>
      <c r="AH141" s="2169"/>
      <c r="AI141" s="2169"/>
      <c r="AJ141" s="2169"/>
      <c r="AK141" s="2169"/>
      <c r="AL141" s="2169"/>
      <c r="AM141" s="2169"/>
      <c r="AN141" s="2169"/>
      <c r="AO141" s="2169"/>
      <c r="AP141" s="2169"/>
      <c r="AQ141" s="2169"/>
      <c r="AR141" s="2169"/>
      <c r="AS141" s="2169"/>
      <c r="AT141" s="2169"/>
      <c r="AU141" s="2169"/>
      <c r="AV141" s="2169"/>
      <c r="AW141" s="2169"/>
      <c r="AX141" s="2170"/>
      <c r="AY141" s="1202"/>
      <c r="AZ141" s="1202"/>
      <c r="BA141" s="1202"/>
      <c r="BB141" s="1202"/>
      <c r="BC141" s="1202"/>
      <c r="BD141" s="1202"/>
      <c r="BE141" s="1209"/>
    </row>
    <row r="142" spans="1:57" ht="15.75" customHeight="1">
      <c r="A142" s="1202"/>
      <c r="B142" s="2168"/>
      <c r="C142" s="2169"/>
      <c r="D142" s="2169"/>
      <c r="E142" s="2169"/>
      <c r="F142" s="2169"/>
      <c r="G142" s="2169"/>
      <c r="H142" s="2169"/>
      <c r="I142" s="2169"/>
      <c r="J142" s="2169"/>
      <c r="K142" s="2169"/>
      <c r="L142" s="2169"/>
      <c r="M142" s="2169"/>
      <c r="N142" s="2169"/>
      <c r="O142" s="2169"/>
      <c r="P142" s="2169"/>
      <c r="Q142" s="2169"/>
      <c r="R142" s="2169"/>
      <c r="S142" s="2169"/>
      <c r="T142" s="2169"/>
      <c r="U142" s="2169"/>
      <c r="V142" s="2169"/>
      <c r="W142" s="2169"/>
      <c r="X142" s="2169"/>
      <c r="Y142" s="2169"/>
      <c r="Z142" s="2169"/>
      <c r="AA142" s="2169"/>
      <c r="AB142" s="2169"/>
      <c r="AC142" s="2169"/>
      <c r="AD142" s="2169"/>
      <c r="AE142" s="2169"/>
      <c r="AF142" s="2169"/>
      <c r="AG142" s="2169"/>
      <c r="AH142" s="2169"/>
      <c r="AI142" s="2169"/>
      <c r="AJ142" s="2169"/>
      <c r="AK142" s="2169"/>
      <c r="AL142" s="2169"/>
      <c r="AM142" s="2169"/>
      <c r="AN142" s="2169"/>
      <c r="AO142" s="2169"/>
      <c r="AP142" s="2169"/>
      <c r="AQ142" s="2169"/>
      <c r="AR142" s="2169"/>
      <c r="AS142" s="2169"/>
      <c r="AT142" s="2169"/>
      <c r="AU142" s="2169"/>
      <c r="AV142" s="2169"/>
      <c r="AW142" s="2169"/>
      <c r="AX142" s="2170"/>
      <c r="AY142" s="1202"/>
      <c r="AZ142" s="1202"/>
      <c r="BA142" s="1202"/>
      <c r="BB142" s="1202"/>
      <c r="BC142" s="1202"/>
      <c r="BD142" s="1202"/>
      <c r="BE142" s="1209"/>
    </row>
    <row r="143" spans="1:57" ht="15.75" customHeight="1">
      <c r="A143" s="1202"/>
      <c r="B143" s="2168"/>
      <c r="C143" s="2169"/>
      <c r="D143" s="2169"/>
      <c r="E143" s="2169"/>
      <c r="F143" s="2169"/>
      <c r="G143" s="2169"/>
      <c r="H143" s="2169"/>
      <c r="I143" s="2169"/>
      <c r="J143" s="2169"/>
      <c r="K143" s="2169"/>
      <c r="L143" s="2169"/>
      <c r="M143" s="2169"/>
      <c r="N143" s="2169"/>
      <c r="O143" s="2169"/>
      <c r="P143" s="2169"/>
      <c r="Q143" s="2169"/>
      <c r="R143" s="2169"/>
      <c r="S143" s="2169"/>
      <c r="T143" s="2169"/>
      <c r="U143" s="2169"/>
      <c r="V143" s="2169"/>
      <c r="W143" s="2169"/>
      <c r="X143" s="2169"/>
      <c r="Y143" s="2169"/>
      <c r="Z143" s="2169"/>
      <c r="AA143" s="2169"/>
      <c r="AB143" s="2169"/>
      <c r="AC143" s="2169"/>
      <c r="AD143" s="2169"/>
      <c r="AE143" s="2169"/>
      <c r="AF143" s="2169"/>
      <c r="AG143" s="2169"/>
      <c r="AH143" s="2169"/>
      <c r="AI143" s="2169"/>
      <c r="AJ143" s="2169"/>
      <c r="AK143" s="2169"/>
      <c r="AL143" s="2169"/>
      <c r="AM143" s="2169"/>
      <c r="AN143" s="2169"/>
      <c r="AO143" s="2169"/>
      <c r="AP143" s="2169"/>
      <c r="AQ143" s="2169"/>
      <c r="AR143" s="2169"/>
      <c r="AS143" s="2169"/>
      <c r="AT143" s="2169"/>
      <c r="AU143" s="2169"/>
      <c r="AV143" s="2169"/>
      <c r="AW143" s="2169"/>
      <c r="AX143" s="2170"/>
      <c r="AY143" s="1202"/>
      <c r="AZ143" s="1202"/>
      <c r="BA143" s="1202"/>
      <c r="BB143" s="1202"/>
      <c r="BC143" s="1202"/>
      <c r="BD143" s="1202"/>
      <c r="BE143" s="1209"/>
    </row>
    <row r="144" spans="1:57" ht="15.75" customHeight="1">
      <c r="A144" s="1202"/>
      <c r="B144" s="2168"/>
      <c r="C144" s="2169"/>
      <c r="D144" s="2169"/>
      <c r="E144" s="2169"/>
      <c r="F144" s="2169"/>
      <c r="G144" s="2169"/>
      <c r="H144" s="2169"/>
      <c r="I144" s="2169"/>
      <c r="J144" s="2169"/>
      <c r="K144" s="2169"/>
      <c r="L144" s="2169"/>
      <c r="M144" s="2169"/>
      <c r="N144" s="2169"/>
      <c r="O144" s="2169"/>
      <c r="P144" s="2169"/>
      <c r="Q144" s="2169"/>
      <c r="R144" s="2169"/>
      <c r="S144" s="2169"/>
      <c r="T144" s="2169"/>
      <c r="U144" s="2169"/>
      <c r="V144" s="2169"/>
      <c r="W144" s="2169"/>
      <c r="X144" s="2169"/>
      <c r="Y144" s="2169"/>
      <c r="Z144" s="2169"/>
      <c r="AA144" s="2169"/>
      <c r="AB144" s="2169"/>
      <c r="AC144" s="2169"/>
      <c r="AD144" s="2169"/>
      <c r="AE144" s="2169"/>
      <c r="AF144" s="2169"/>
      <c r="AG144" s="2169"/>
      <c r="AH144" s="2169"/>
      <c r="AI144" s="2169"/>
      <c r="AJ144" s="2169"/>
      <c r="AK144" s="2169"/>
      <c r="AL144" s="2169"/>
      <c r="AM144" s="2169"/>
      <c r="AN144" s="2169"/>
      <c r="AO144" s="2169"/>
      <c r="AP144" s="2169"/>
      <c r="AQ144" s="2169"/>
      <c r="AR144" s="2169"/>
      <c r="AS144" s="2169"/>
      <c r="AT144" s="2169"/>
      <c r="AU144" s="2169"/>
      <c r="AV144" s="2169"/>
      <c r="AW144" s="2169"/>
      <c r="AX144" s="2170"/>
      <c r="AY144" s="1202"/>
      <c r="AZ144" s="1202"/>
      <c r="BA144" s="1202"/>
      <c r="BB144" s="1202"/>
      <c r="BC144" s="1202"/>
      <c r="BD144" s="1202"/>
      <c r="BE144" s="1209"/>
    </row>
    <row r="145" spans="1:57" ht="15.75" customHeight="1">
      <c r="A145" s="1202"/>
      <c r="B145" s="2168"/>
      <c r="C145" s="2169"/>
      <c r="D145" s="2169"/>
      <c r="E145" s="2169"/>
      <c r="F145" s="2169"/>
      <c r="G145" s="2169"/>
      <c r="H145" s="2169"/>
      <c r="I145" s="2169"/>
      <c r="J145" s="2169"/>
      <c r="K145" s="2169"/>
      <c r="L145" s="2169"/>
      <c r="M145" s="2169"/>
      <c r="N145" s="2169"/>
      <c r="O145" s="2169"/>
      <c r="P145" s="2169"/>
      <c r="Q145" s="2169"/>
      <c r="R145" s="2169"/>
      <c r="S145" s="2169"/>
      <c r="T145" s="2169"/>
      <c r="U145" s="2169"/>
      <c r="V145" s="2169"/>
      <c r="W145" s="2169"/>
      <c r="X145" s="2169"/>
      <c r="Y145" s="2169"/>
      <c r="Z145" s="2169"/>
      <c r="AA145" s="2169"/>
      <c r="AB145" s="2169"/>
      <c r="AC145" s="2169"/>
      <c r="AD145" s="2169"/>
      <c r="AE145" s="2169"/>
      <c r="AF145" s="2169"/>
      <c r="AG145" s="2169"/>
      <c r="AH145" s="2169"/>
      <c r="AI145" s="2169"/>
      <c r="AJ145" s="2169"/>
      <c r="AK145" s="2169"/>
      <c r="AL145" s="2169"/>
      <c r="AM145" s="2169"/>
      <c r="AN145" s="2169"/>
      <c r="AO145" s="2169"/>
      <c r="AP145" s="2169"/>
      <c r="AQ145" s="2169"/>
      <c r="AR145" s="2169"/>
      <c r="AS145" s="2169"/>
      <c r="AT145" s="2169"/>
      <c r="AU145" s="2169"/>
      <c r="AV145" s="2169"/>
      <c r="AW145" s="2169"/>
      <c r="AX145" s="2170"/>
      <c r="AY145" s="1202"/>
      <c r="AZ145" s="1202"/>
      <c r="BA145" s="1202"/>
      <c r="BB145" s="1202"/>
      <c r="BC145" s="1202"/>
      <c r="BD145" s="1202"/>
      <c r="BE145" s="1209"/>
    </row>
    <row r="146" spans="1:57" ht="15.75" customHeight="1">
      <c r="A146" s="1202"/>
      <c r="B146" s="2168"/>
      <c r="C146" s="2169"/>
      <c r="D146" s="2169"/>
      <c r="E146" s="2169"/>
      <c r="F146" s="2169"/>
      <c r="G146" s="2169"/>
      <c r="H146" s="2169"/>
      <c r="I146" s="2169"/>
      <c r="J146" s="2169"/>
      <c r="K146" s="2169"/>
      <c r="L146" s="2169"/>
      <c r="M146" s="2169"/>
      <c r="N146" s="2169"/>
      <c r="O146" s="2169"/>
      <c r="P146" s="2169"/>
      <c r="Q146" s="2169"/>
      <c r="R146" s="2169"/>
      <c r="S146" s="2169"/>
      <c r="T146" s="2169"/>
      <c r="U146" s="2169"/>
      <c r="V146" s="2169"/>
      <c r="W146" s="2169"/>
      <c r="X146" s="2169"/>
      <c r="Y146" s="2169"/>
      <c r="Z146" s="2169"/>
      <c r="AA146" s="2169"/>
      <c r="AB146" s="2169"/>
      <c r="AC146" s="2169"/>
      <c r="AD146" s="2169"/>
      <c r="AE146" s="2169"/>
      <c r="AF146" s="2169"/>
      <c r="AG146" s="2169"/>
      <c r="AH146" s="2169"/>
      <c r="AI146" s="2169"/>
      <c r="AJ146" s="2169"/>
      <c r="AK146" s="2169"/>
      <c r="AL146" s="2169"/>
      <c r="AM146" s="2169"/>
      <c r="AN146" s="2169"/>
      <c r="AO146" s="2169"/>
      <c r="AP146" s="2169"/>
      <c r="AQ146" s="2169"/>
      <c r="AR146" s="2169"/>
      <c r="AS146" s="2169"/>
      <c r="AT146" s="2169"/>
      <c r="AU146" s="2169"/>
      <c r="AV146" s="2169"/>
      <c r="AW146" s="2169"/>
      <c r="AX146" s="2170"/>
      <c r="AY146" s="1202"/>
      <c r="AZ146" s="1202"/>
      <c r="BA146" s="1202"/>
      <c r="BB146" s="1202"/>
      <c r="BC146" s="1202"/>
      <c r="BD146" s="1202"/>
      <c r="BE146" s="1209"/>
    </row>
    <row r="147" spans="1:57" ht="15.75" customHeight="1" thickBot="1">
      <c r="A147" s="1202"/>
      <c r="B147" s="2171"/>
      <c r="C147" s="2172"/>
      <c r="D147" s="2172"/>
      <c r="E147" s="2172"/>
      <c r="F147" s="2172"/>
      <c r="G147" s="2172"/>
      <c r="H147" s="2172"/>
      <c r="I147" s="2172"/>
      <c r="J147" s="2172"/>
      <c r="K147" s="2172"/>
      <c r="L147" s="2172"/>
      <c r="M147" s="2172"/>
      <c r="N147" s="2172"/>
      <c r="O147" s="2172"/>
      <c r="P147" s="2172"/>
      <c r="Q147" s="2172"/>
      <c r="R147" s="2172"/>
      <c r="S147" s="2172"/>
      <c r="T147" s="2172"/>
      <c r="U147" s="2172"/>
      <c r="V147" s="2172"/>
      <c r="W147" s="2172"/>
      <c r="X147" s="2172"/>
      <c r="Y147" s="2172"/>
      <c r="Z147" s="2172"/>
      <c r="AA147" s="2172"/>
      <c r="AB147" s="2172"/>
      <c r="AC147" s="2172"/>
      <c r="AD147" s="2172"/>
      <c r="AE147" s="2172"/>
      <c r="AF147" s="2172"/>
      <c r="AG147" s="2172"/>
      <c r="AH147" s="2172"/>
      <c r="AI147" s="2172"/>
      <c r="AJ147" s="2172"/>
      <c r="AK147" s="2172"/>
      <c r="AL147" s="2172"/>
      <c r="AM147" s="2172"/>
      <c r="AN147" s="2172"/>
      <c r="AO147" s="2172"/>
      <c r="AP147" s="2172"/>
      <c r="AQ147" s="2172"/>
      <c r="AR147" s="2172"/>
      <c r="AS147" s="2172"/>
      <c r="AT147" s="2172"/>
      <c r="AU147" s="2172"/>
      <c r="AV147" s="2172"/>
      <c r="AW147" s="2172"/>
      <c r="AX147" s="2173"/>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2285</v>
      </c>
      <c r="C149" s="1226"/>
      <c r="D149" s="1226"/>
      <c r="E149" s="1226"/>
      <c r="F149" s="1226"/>
      <c r="G149" s="1226"/>
      <c r="H149" s="1226"/>
      <c r="I149" s="1226"/>
      <c r="J149" s="1226"/>
      <c r="K149" s="1226"/>
      <c r="L149" s="1226"/>
      <c r="M149" s="1227"/>
      <c r="N149" s="1210"/>
      <c r="O149" s="1210"/>
      <c r="P149" s="1202"/>
      <c r="Q149" s="1202"/>
      <c r="R149" s="1202"/>
      <c r="S149" s="1202"/>
      <c r="T149" s="1202"/>
      <c r="U149" s="1202" t="s">
        <v>249</v>
      </c>
      <c r="V149" s="1202"/>
      <c r="W149" s="1202"/>
      <c r="X149" s="1225" t="s">
        <v>2284</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47" t="s">
        <v>2283</v>
      </c>
      <c r="C151" s="2048"/>
      <c r="D151" s="2048"/>
      <c r="E151" s="2048"/>
      <c r="F151" s="2048"/>
      <c r="G151" s="2048"/>
      <c r="H151" s="2048"/>
      <c r="I151" s="2048"/>
      <c r="J151" s="2048"/>
      <c r="K151" s="2048"/>
      <c r="L151" s="2048"/>
      <c r="M151" s="2048"/>
      <c r="N151" s="2048"/>
      <c r="O151" s="2048"/>
      <c r="P151" s="2048"/>
      <c r="Q151" s="2048"/>
      <c r="R151" s="2048"/>
      <c r="S151" s="2048"/>
      <c r="T151" s="2048"/>
      <c r="U151" s="2049"/>
      <c r="V151" s="1202"/>
      <c r="W151" s="1203"/>
      <c r="X151" s="2047" t="s">
        <v>2282</v>
      </c>
      <c r="Y151" s="2048"/>
      <c r="Z151" s="2048"/>
      <c r="AA151" s="2048"/>
      <c r="AB151" s="2048"/>
      <c r="AC151" s="2048"/>
      <c r="AD151" s="2048"/>
      <c r="AE151" s="2048"/>
      <c r="AF151" s="2048"/>
      <c r="AG151" s="2048"/>
      <c r="AH151" s="2048"/>
      <c r="AI151" s="2048"/>
      <c r="AJ151" s="2048"/>
      <c r="AK151" s="2048"/>
      <c r="AL151" s="2048"/>
      <c r="AM151" s="2048"/>
      <c r="AN151" s="2048"/>
      <c r="AO151" s="2048"/>
      <c r="AP151" s="2048"/>
      <c r="AQ151" s="2049"/>
      <c r="AR151" s="1202"/>
      <c r="AS151" s="1202"/>
      <c r="AT151" s="1202"/>
      <c r="AU151" s="1202"/>
      <c r="AV151" s="1202"/>
      <c r="AW151" s="1202"/>
      <c r="AX151" s="1202"/>
      <c r="AY151" s="1202"/>
      <c r="AZ151" s="1202"/>
      <c r="BA151" s="1202"/>
      <c r="BB151" s="1202"/>
      <c r="BC151" s="1202"/>
      <c r="BD151" s="1202"/>
      <c r="BE151" s="1209"/>
    </row>
    <row r="152" spans="1:57" ht="15.75" customHeight="1">
      <c r="A152" s="1202"/>
      <c r="B152" s="2176"/>
      <c r="C152" s="2177"/>
      <c r="D152" s="2177"/>
      <c r="E152" s="2177"/>
      <c r="F152" s="2177"/>
      <c r="G152" s="2177"/>
      <c r="H152" s="2177"/>
      <c r="I152" s="2178" t="s">
        <v>2280</v>
      </c>
      <c r="J152" s="2178"/>
      <c r="K152" s="2178"/>
      <c r="L152" s="2178"/>
      <c r="M152" s="2178"/>
      <c r="N152" s="2178"/>
      <c r="O152" s="2178"/>
      <c r="P152" s="2178" t="s">
        <v>2281</v>
      </c>
      <c r="Q152" s="2178"/>
      <c r="R152" s="2178"/>
      <c r="S152" s="2178"/>
      <c r="T152" s="2178"/>
      <c r="U152" s="2179"/>
      <c r="V152" s="1202"/>
      <c r="W152" s="1202"/>
      <c r="X152" s="2176"/>
      <c r="Y152" s="2177"/>
      <c r="Z152" s="2177"/>
      <c r="AA152" s="2177"/>
      <c r="AB152" s="2177"/>
      <c r="AC152" s="2177"/>
      <c r="AD152" s="2177"/>
      <c r="AE152" s="2178" t="s">
        <v>2280</v>
      </c>
      <c r="AF152" s="2178"/>
      <c r="AG152" s="2178"/>
      <c r="AH152" s="2178"/>
      <c r="AI152" s="2178"/>
      <c r="AJ152" s="2178"/>
      <c r="AK152" s="2178"/>
      <c r="AL152" s="2178" t="s">
        <v>2279</v>
      </c>
      <c r="AM152" s="2178"/>
      <c r="AN152" s="2178"/>
      <c r="AO152" s="2178"/>
      <c r="AP152" s="2178"/>
      <c r="AQ152" s="2179"/>
      <c r="AR152" s="1202"/>
      <c r="AS152" s="1202"/>
      <c r="AT152" s="1202"/>
      <c r="AU152" s="1202"/>
      <c r="AV152" s="1202"/>
      <c r="AW152" s="1202"/>
      <c r="AX152" s="1202"/>
      <c r="AY152" s="1202"/>
      <c r="AZ152" s="1202"/>
      <c r="BA152" s="1202"/>
      <c r="BB152" s="1202"/>
      <c r="BC152" s="1202"/>
      <c r="BD152" s="1202"/>
      <c r="BE152" s="1209"/>
    </row>
    <row r="153" spans="1:57" ht="15.75" customHeight="1">
      <c r="A153" s="1202"/>
      <c r="B153" s="2176"/>
      <c r="C153" s="2177"/>
      <c r="D153" s="2177"/>
      <c r="E153" s="2177"/>
      <c r="F153" s="2177"/>
      <c r="G153" s="2177"/>
      <c r="H153" s="2177"/>
      <c r="I153" s="2178"/>
      <c r="J153" s="2178"/>
      <c r="K153" s="2178"/>
      <c r="L153" s="2178"/>
      <c r="M153" s="2178"/>
      <c r="N153" s="2178"/>
      <c r="O153" s="2178"/>
      <c r="P153" s="2178"/>
      <c r="Q153" s="2178"/>
      <c r="R153" s="2178"/>
      <c r="S153" s="2178"/>
      <c r="T153" s="2178"/>
      <c r="U153" s="2179"/>
      <c r="V153" s="1202"/>
      <c r="W153" s="1202"/>
      <c r="X153" s="2176"/>
      <c r="Y153" s="2177"/>
      <c r="Z153" s="2177"/>
      <c r="AA153" s="2177"/>
      <c r="AB153" s="2177"/>
      <c r="AC153" s="2177"/>
      <c r="AD153" s="2177"/>
      <c r="AE153" s="2178"/>
      <c r="AF153" s="2178"/>
      <c r="AG153" s="2178"/>
      <c r="AH153" s="2178"/>
      <c r="AI153" s="2178"/>
      <c r="AJ153" s="2178"/>
      <c r="AK153" s="2178"/>
      <c r="AL153" s="2178"/>
      <c r="AM153" s="2178"/>
      <c r="AN153" s="2178"/>
      <c r="AO153" s="2178"/>
      <c r="AP153" s="2178"/>
      <c r="AQ153" s="2179"/>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150" t="s">
        <v>2278</v>
      </c>
      <c r="C154" s="2151"/>
      <c r="D154" s="2151"/>
      <c r="E154" s="2151"/>
      <c r="F154" s="2151"/>
      <c r="G154" s="2151"/>
      <c r="H154" s="2151"/>
      <c r="I154" s="2128">
        <v>0</v>
      </c>
      <c r="J154" s="2128"/>
      <c r="K154" s="2128"/>
      <c r="L154" s="2128"/>
      <c r="M154" s="2128"/>
      <c r="N154" s="2128"/>
      <c r="O154" s="2128"/>
      <c r="P154" s="2128">
        <v>0</v>
      </c>
      <c r="Q154" s="2128"/>
      <c r="R154" s="2128"/>
      <c r="S154" s="2128"/>
      <c r="T154" s="2128"/>
      <c r="U154" s="2129"/>
      <c r="V154" s="1202"/>
      <c r="W154" s="1202"/>
      <c r="X154" s="2152" t="s">
        <v>2278</v>
      </c>
      <c r="Y154" s="2153"/>
      <c r="Z154" s="2153"/>
      <c r="AA154" s="2153"/>
      <c r="AB154" s="2153"/>
      <c r="AC154" s="2153"/>
      <c r="AD154" s="2153"/>
      <c r="AE154" s="2126">
        <v>0</v>
      </c>
      <c r="AF154" s="2126"/>
      <c r="AG154" s="2126"/>
      <c r="AH154" s="2126"/>
      <c r="AI154" s="2126"/>
      <c r="AJ154" s="2126"/>
      <c r="AK154" s="2126"/>
      <c r="AL154" s="2126">
        <v>0</v>
      </c>
      <c r="AM154" s="2126"/>
      <c r="AN154" s="2126"/>
      <c r="AO154" s="2126"/>
      <c r="AP154" s="2126"/>
      <c r="AQ154" s="2127"/>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152" t="s">
        <v>2277</v>
      </c>
      <c r="C155" s="2153"/>
      <c r="D155" s="2153"/>
      <c r="E155" s="2153"/>
      <c r="F155" s="2153"/>
      <c r="G155" s="2153"/>
      <c r="H155" s="2153"/>
      <c r="I155" s="2126">
        <v>0</v>
      </c>
      <c r="J155" s="2126"/>
      <c r="K155" s="2126"/>
      <c r="L155" s="2126"/>
      <c r="M155" s="2126"/>
      <c r="N155" s="2126"/>
      <c r="O155" s="2126"/>
      <c r="P155" s="2126">
        <v>0</v>
      </c>
      <c r="Q155" s="2126"/>
      <c r="R155" s="2126"/>
      <c r="S155" s="2126"/>
      <c r="T155" s="2126"/>
      <c r="U155" s="2127"/>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47" t="s">
        <v>2276</v>
      </c>
      <c r="D157" s="2048"/>
      <c r="E157" s="2048"/>
      <c r="F157" s="2048"/>
      <c r="G157" s="2048"/>
      <c r="H157" s="2048"/>
      <c r="I157" s="2048"/>
      <c r="J157" s="2048"/>
      <c r="K157" s="2048"/>
      <c r="L157" s="2048"/>
      <c r="M157" s="2048"/>
      <c r="N157" s="2048"/>
      <c r="O157" s="2048"/>
      <c r="P157" s="2048"/>
      <c r="Q157" s="2048"/>
      <c r="R157" s="2048"/>
      <c r="S157" s="2048"/>
      <c r="T157" s="2048"/>
      <c r="U157" s="2048"/>
      <c r="V157" s="2048"/>
      <c r="W157" s="2048"/>
      <c r="X157" s="2048"/>
      <c r="Y157" s="2048"/>
      <c r="Z157" s="2048"/>
      <c r="AA157" s="2048"/>
      <c r="AB157" s="2048"/>
      <c r="AC157" s="2048"/>
      <c r="AD157" s="2048"/>
      <c r="AE157" s="2048"/>
      <c r="AF157" s="2048"/>
      <c r="AG157" s="2049"/>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176" t="s">
        <v>2261</v>
      </c>
      <c r="D158" s="2177"/>
      <c r="E158" s="2177"/>
      <c r="F158" s="2177"/>
      <c r="G158" s="2177"/>
      <c r="H158" s="2177"/>
      <c r="I158" s="2177"/>
      <c r="J158" s="2177"/>
      <c r="K158" s="2177"/>
      <c r="L158" s="2177"/>
      <c r="M158" s="2177"/>
      <c r="N158" s="2177"/>
      <c r="O158" s="2177"/>
      <c r="P158" s="2177"/>
      <c r="Q158" s="2177" t="s">
        <v>2275</v>
      </c>
      <c r="R158" s="2177"/>
      <c r="S158" s="2177"/>
      <c r="T158" s="2124" t="s">
        <v>2274</v>
      </c>
      <c r="U158" s="2124"/>
      <c r="V158" s="2124"/>
      <c r="W158" s="2124"/>
      <c r="X158" s="2124"/>
      <c r="Y158" s="2124"/>
      <c r="Z158" s="2124"/>
      <c r="AA158" s="2124"/>
      <c r="AB158" s="2177" t="s">
        <v>2273</v>
      </c>
      <c r="AC158" s="2177"/>
      <c r="AD158" s="2177"/>
      <c r="AE158" s="2177"/>
      <c r="AF158" s="2177"/>
      <c r="AG158" s="2187"/>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182" t="s">
        <v>2272</v>
      </c>
      <c r="D159" s="2183"/>
      <c r="E159" s="2183"/>
      <c r="F159" s="2183"/>
      <c r="G159" s="2183"/>
      <c r="H159" s="2183"/>
      <c r="I159" s="2183"/>
      <c r="J159" s="2183"/>
      <c r="K159" s="2183"/>
      <c r="L159" s="2183"/>
      <c r="M159" s="2183"/>
      <c r="N159" s="2183"/>
      <c r="O159" s="2183"/>
      <c r="P159" s="2183"/>
      <c r="Q159" s="2184">
        <v>55</v>
      </c>
      <c r="R159" s="2184"/>
      <c r="S159" s="2184"/>
      <c r="T159" s="2185"/>
      <c r="U159" s="2185"/>
      <c r="V159" s="2185"/>
      <c r="W159" s="2185"/>
      <c r="X159" s="2185"/>
      <c r="Y159" s="2185"/>
      <c r="Z159" s="2185"/>
      <c r="AA159" s="2185"/>
      <c r="AB159" s="1240"/>
      <c r="AC159" s="1240"/>
      <c r="AD159" s="1240"/>
      <c r="AE159" s="1240"/>
      <c r="AF159" s="1240"/>
      <c r="AG159" s="1241"/>
      <c r="AH159" s="1202"/>
      <c r="AI159" s="1202"/>
      <c r="AJ159" s="1202"/>
      <c r="AK159" s="1202"/>
      <c r="AL159" s="1202"/>
      <c r="AM159" s="1202"/>
      <c r="AN159" s="1202"/>
      <c r="AO159" s="1202"/>
      <c r="AP159" s="1202" t="s">
        <v>249</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182" t="s">
        <v>2271</v>
      </c>
      <c r="D160" s="2183"/>
      <c r="E160" s="2183"/>
      <c r="F160" s="2183"/>
      <c r="G160" s="2183"/>
      <c r="H160" s="2183"/>
      <c r="I160" s="2183"/>
      <c r="J160" s="2183"/>
      <c r="K160" s="2183"/>
      <c r="L160" s="2183"/>
      <c r="M160" s="2183"/>
      <c r="N160" s="2183"/>
      <c r="O160" s="2183"/>
      <c r="P160" s="2183"/>
      <c r="Q160" s="2184">
        <v>55</v>
      </c>
      <c r="R160" s="2184"/>
      <c r="S160" s="2184"/>
      <c r="T160" s="2186"/>
      <c r="U160" s="2186"/>
      <c r="V160" s="2186"/>
      <c r="W160" s="2186"/>
      <c r="X160" s="2186"/>
      <c r="Y160" s="2186"/>
      <c r="Z160" s="2186"/>
      <c r="AA160" s="2186"/>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182" t="s">
        <v>2270</v>
      </c>
      <c r="D161" s="2183"/>
      <c r="E161" s="2183"/>
      <c r="F161" s="2183"/>
      <c r="G161" s="2183"/>
      <c r="H161" s="2183"/>
      <c r="I161" s="2183"/>
      <c r="J161" s="2183"/>
      <c r="K161" s="2183"/>
      <c r="L161" s="2183"/>
      <c r="M161" s="2183"/>
      <c r="N161" s="2183"/>
      <c r="O161" s="2183"/>
      <c r="P161" s="2183"/>
      <c r="Q161" s="2184">
        <v>55</v>
      </c>
      <c r="R161" s="2184"/>
      <c r="S161" s="2184"/>
      <c r="T161" s="2185"/>
      <c r="U161" s="2185"/>
      <c r="V161" s="2185"/>
      <c r="W161" s="2185"/>
      <c r="X161" s="2185"/>
      <c r="Y161" s="2185"/>
      <c r="Z161" s="2185"/>
      <c r="AA161" s="2185"/>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182" t="s">
        <v>2269</v>
      </c>
      <c r="D162" s="2183"/>
      <c r="E162" s="2183"/>
      <c r="F162" s="2183"/>
      <c r="G162" s="2183"/>
      <c r="H162" s="2183"/>
      <c r="I162" s="2183"/>
      <c r="J162" s="2183"/>
      <c r="K162" s="2183"/>
      <c r="L162" s="2183"/>
      <c r="M162" s="2183"/>
      <c r="N162" s="2183"/>
      <c r="O162" s="2183"/>
      <c r="P162" s="2183"/>
      <c r="Q162" s="2184">
        <v>55</v>
      </c>
      <c r="R162" s="2184"/>
      <c r="S162" s="2184"/>
      <c r="T162" s="2185"/>
      <c r="U162" s="2185"/>
      <c r="V162" s="2185"/>
      <c r="W162" s="2185"/>
      <c r="X162" s="2185"/>
      <c r="Y162" s="2185"/>
      <c r="Z162" s="2185"/>
      <c r="AA162" s="2185"/>
      <c r="AB162" s="2188">
        <v>0</v>
      </c>
      <c r="AC162" s="2188"/>
      <c r="AD162" s="2188"/>
      <c r="AE162" s="2188"/>
      <c r="AF162" s="2188"/>
      <c r="AG162" s="2189"/>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182" t="s">
        <v>169</v>
      </c>
      <c r="D163" s="2183"/>
      <c r="E163" s="2183"/>
      <c r="F163" s="2190" t="s">
        <v>2250</v>
      </c>
      <c r="G163" s="2190"/>
      <c r="H163" s="2190"/>
      <c r="I163" s="2190"/>
      <c r="J163" s="2190"/>
      <c r="K163" s="2190"/>
      <c r="L163" s="2190"/>
      <c r="M163" s="2190"/>
      <c r="N163" s="2190"/>
      <c r="O163" s="2190"/>
      <c r="P163" s="2190"/>
      <c r="Q163" s="2184">
        <v>55</v>
      </c>
      <c r="R163" s="2184"/>
      <c r="S163" s="2184"/>
      <c r="T163" s="2186"/>
      <c r="U163" s="2186"/>
      <c r="V163" s="2186"/>
      <c r="W163" s="2186"/>
      <c r="X163" s="2186"/>
      <c r="Y163" s="2186"/>
      <c r="Z163" s="2186"/>
      <c r="AA163" s="2186"/>
      <c r="AB163" s="2188">
        <v>0</v>
      </c>
      <c r="AC163" s="2188"/>
      <c r="AD163" s="2188"/>
      <c r="AE163" s="2188"/>
      <c r="AF163" s="2188"/>
      <c r="AG163" s="2189"/>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182" t="s">
        <v>169</v>
      </c>
      <c r="D164" s="2183"/>
      <c r="E164" s="2183"/>
      <c r="F164" s="2190" t="s">
        <v>2250</v>
      </c>
      <c r="G164" s="2190"/>
      <c r="H164" s="2190"/>
      <c r="I164" s="2190"/>
      <c r="J164" s="2190"/>
      <c r="K164" s="2190"/>
      <c r="L164" s="2190"/>
      <c r="M164" s="2190"/>
      <c r="N164" s="2190"/>
      <c r="O164" s="2190"/>
      <c r="P164" s="2190"/>
      <c r="Q164" s="2184">
        <v>55</v>
      </c>
      <c r="R164" s="2184"/>
      <c r="S164" s="2184"/>
      <c r="T164" s="2186"/>
      <c r="U164" s="2186"/>
      <c r="V164" s="2186"/>
      <c r="W164" s="2186"/>
      <c r="X164" s="2186"/>
      <c r="Y164" s="2186"/>
      <c r="Z164" s="2186"/>
      <c r="AA164" s="2186"/>
      <c r="AB164" s="2188">
        <v>0</v>
      </c>
      <c r="AC164" s="2188"/>
      <c r="AD164" s="2188"/>
      <c r="AE164" s="2188"/>
      <c r="AF164" s="2188"/>
      <c r="AG164" s="2189"/>
      <c r="AH164" s="1202"/>
      <c r="AI164" s="1202"/>
      <c r="AJ164" s="1202"/>
      <c r="AK164" s="1202" t="s">
        <v>249</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191" t="s">
        <v>169</v>
      </c>
      <c r="D165" s="2192"/>
      <c r="E165" s="2192"/>
      <c r="F165" s="2193" t="s">
        <v>2250</v>
      </c>
      <c r="G165" s="2193"/>
      <c r="H165" s="2193"/>
      <c r="I165" s="2193"/>
      <c r="J165" s="2193"/>
      <c r="K165" s="2193"/>
      <c r="L165" s="2193"/>
      <c r="M165" s="2193"/>
      <c r="N165" s="2193"/>
      <c r="O165" s="2193"/>
      <c r="P165" s="2193"/>
      <c r="Q165" s="2194">
        <v>55</v>
      </c>
      <c r="R165" s="2194"/>
      <c r="S165" s="2194"/>
      <c r="T165" s="2195"/>
      <c r="U165" s="2195"/>
      <c r="V165" s="2195"/>
      <c r="W165" s="2195"/>
      <c r="X165" s="2195"/>
      <c r="Y165" s="2195"/>
      <c r="Z165" s="2195"/>
      <c r="AA165" s="2195"/>
      <c r="AB165" s="2196">
        <v>0</v>
      </c>
      <c r="AC165" s="2196"/>
      <c r="AD165" s="2196"/>
      <c r="AE165" s="2196"/>
      <c r="AF165" s="2196"/>
      <c r="AG165" s="2197"/>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94" t="s">
        <v>2268</v>
      </c>
      <c r="D167" s="2095"/>
      <c r="E167" s="2095"/>
      <c r="F167" s="2095"/>
      <c r="G167" s="2095"/>
      <c r="H167" s="2095"/>
      <c r="I167" s="2095"/>
      <c r="J167" s="2095"/>
      <c r="K167" s="2095"/>
      <c r="L167" s="2095"/>
      <c r="M167" s="2095"/>
      <c r="N167" s="2133"/>
      <c r="O167" s="1202"/>
      <c r="P167" s="2198" t="s">
        <v>2267</v>
      </c>
      <c r="Q167" s="2199"/>
      <c r="R167" s="2199"/>
      <c r="S167" s="2199"/>
      <c r="T167" s="2199"/>
      <c r="U167" s="2199"/>
      <c r="V167" s="2199"/>
      <c r="W167" s="2199"/>
      <c r="X167" s="2199"/>
      <c r="Y167" s="2199"/>
      <c r="Z167" s="2199"/>
      <c r="AA167" s="2199"/>
      <c r="AB167" s="2199"/>
      <c r="AC167" s="2199"/>
      <c r="AD167" s="2199"/>
      <c r="AE167" s="2199"/>
      <c r="AF167" s="2199"/>
      <c r="AG167" s="2199"/>
      <c r="AH167" s="2199"/>
      <c r="AI167" s="2199"/>
      <c r="AJ167" s="2199"/>
      <c r="AK167" s="2199"/>
      <c r="AL167" s="2199"/>
      <c r="AM167" s="2199"/>
      <c r="AN167" s="2199"/>
      <c r="AO167" s="2200"/>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176" t="s">
        <v>2266</v>
      </c>
      <c r="D168" s="2177"/>
      <c r="E168" s="2177"/>
      <c r="F168" s="2177"/>
      <c r="G168" s="2177"/>
      <c r="H168" s="2177"/>
      <c r="I168" s="2177" t="s">
        <v>2265</v>
      </c>
      <c r="J168" s="2177"/>
      <c r="K168" s="2177"/>
      <c r="L168" s="2177"/>
      <c r="M168" s="2177"/>
      <c r="N168" s="2187"/>
      <c r="O168" s="1202"/>
      <c r="P168" s="2098" t="s">
        <v>2264</v>
      </c>
      <c r="Q168" s="2099"/>
      <c r="R168" s="2099"/>
      <c r="S168" s="2099"/>
      <c r="T168" s="2099"/>
      <c r="U168" s="2099"/>
      <c r="V168" s="2099"/>
      <c r="W168" s="2099"/>
      <c r="X168" s="2099"/>
      <c r="Y168" s="2099"/>
      <c r="Z168" s="2099"/>
      <c r="AA168" s="2099"/>
      <c r="AB168" s="2099"/>
      <c r="AC168" s="2099"/>
      <c r="AD168" s="2099"/>
      <c r="AE168" s="2099"/>
      <c r="AF168" s="2099"/>
      <c r="AG168" s="2099"/>
      <c r="AH168" s="2099"/>
      <c r="AI168" s="2099"/>
      <c r="AJ168" s="2099"/>
      <c r="AK168" s="2099"/>
      <c r="AL168" s="2099"/>
      <c r="AM168" s="2099"/>
      <c r="AN168" s="2099"/>
      <c r="AO168" s="2100"/>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104"/>
      <c r="D169" s="2054"/>
      <c r="E169" s="2054"/>
      <c r="F169" s="2054"/>
      <c r="G169" s="2054"/>
      <c r="H169" s="2054"/>
      <c r="I169" s="2185"/>
      <c r="J169" s="2185"/>
      <c r="K169" s="2185"/>
      <c r="L169" s="2185"/>
      <c r="M169" s="2185"/>
      <c r="N169" s="2201"/>
      <c r="O169" s="1202"/>
      <c r="P169" s="2098"/>
      <c r="Q169" s="2099"/>
      <c r="R169" s="2099"/>
      <c r="S169" s="2099"/>
      <c r="T169" s="2099"/>
      <c r="U169" s="2099"/>
      <c r="V169" s="2099"/>
      <c r="W169" s="2099"/>
      <c r="X169" s="2099"/>
      <c r="Y169" s="2099"/>
      <c r="Z169" s="2099"/>
      <c r="AA169" s="2099"/>
      <c r="AB169" s="2099"/>
      <c r="AC169" s="2099"/>
      <c r="AD169" s="2099"/>
      <c r="AE169" s="2099"/>
      <c r="AF169" s="2099"/>
      <c r="AG169" s="2099"/>
      <c r="AH169" s="2099"/>
      <c r="AI169" s="2099"/>
      <c r="AJ169" s="2099"/>
      <c r="AK169" s="2099"/>
      <c r="AL169" s="2099"/>
      <c r="AM169" s="2099"/>
      <c r="AN169" s="2099"/>
      <c r="AO169" s="2100"/>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104"/>
      <c r="D170" s="2054"/>
      <c r="E170" s="2054"/>
      <c r="F170" s="2054"/>
      <c r="G170" s="2054"/>
      <c r="H170" s="2054"/>
      <c r="I170" s="2185"/>
      <c r="J170" s="2185"/>
      <c r="K170" s="2185"/>
      <c r="L170" s="2185"/>
      <c r="M170" s="2185"/>
      <c r="N170" s="2201"/>
      <c r="O170" s="1202"/>
      <c r="P170" s="2098"/>
      <c r="Q170" s="2099"/>
      <c r="R170" s="2099"/>
      <c r="S170" s="2099"/>
      <c r="T170" s="2099"/>
      <c r="U170" s="2099"/>
      <c r="V170" s="2099"/>
      <c r="W170" s="2099"/>
      <c r="X170" s="2099"/>
      <c r="Y170" s="2099"/>
      <c r="Z170" s="2099"/>
      <c r="AA170" s="2099"/>
      <c r="AB170" s="2099"/>
      <c r="AC170" s="2099"/>
      <c r="AD170" s="2099"/>
      <c r="AE170" s="2099"/>
      <c r="AF170" s="2099"/>
      <c r="AG170" s="2099"/>
      <c r="AH170" s="2099"/>
      <c r="AI170" s="2099"/>
      <c r="AJ170" s="2099"/>
      <c r="AK170" s="2099"/>
      <c r="AL170" s="2099"/>
      <c r="AM170" s="2099"/>
      <c r="AN170" s="2099"/>
      <c r="AO170" s="2100"/>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104"/>
      <c r="D171" s="2054"/>
      <c r="E171" s="2054"/>
      <c r="F171" s="2054"/>
      <c r="G171" s="2054"/>
      <c r="H171" s="2054"/>
      <c r="I171" s="2185"/>
      <c r="J171" s="2185"/>
      <c r="K171" s="2185"/>
      <c r="L171" s="2185"/>
      <c r="M171" s="2185"/>
      <c r="N171" s="2201"/>
      <c r="O171" s="1202"/>
      <c r="P171" s="2098"/>
      <c r="Q171" s="2099"/>
      <c r="R171" s="2099"/>
      <c r="S171" s="2099"/>
      <c r="T171" s="2099"/>
      <c r="U171" s="2099"/>
      <c r="V171" s="2099"/>
      <c r="W171" s="2099"/>
      <c r="X171" s="2099"/>
      <c r="Y171" s="2099"/>
      <c r="Z171" s="2099"/>
      <c r="AA171" s="2099"/>
      <c r="AB171" s="2099"/>
      <c r="AC171" s="2099"/>
      <c r="AD171" s="2099"/>
      <c r="AE171" s="2099"/>
      <c r="AF171" s="2099"/>
      <c r="AG171" s="2099"/>
      <c r="AH171" s="2099"/>
      <c r="AI171" s="2099"/>
      <c r="AJ171" s="2099"/>
      <c r="AK171" s="2099"/>
      <c r="AL171" s="2099"/>
      <c r="AM171" s="2099"/>
      <c r="AN171" s="2099"/>
      <c r="AO171" s="2100"/>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104"/>
      <c r="D172" s="2054"/>
      <c r="E172" s="2054"/>
      <c r="F172" s="2054"/>
      <c r="G172" s="2054"/>
      <c r="H172" s="2054"/>
      <c r="I172" s="2185"/>
      <c r="J172" s="2185"/>
      <c r="K172" s="2185"/>
      <c r="L172" s="2185"/>
      <c r="M172" s="2185"/>
      <c r="N172" s="2201"/>
      <c r="O172" s="1202"/>
      <c r="P172" s="2098"/>
      <c r="Q172" s="2099"/>
      <c r="R172" s="2099"/>
      <c r="S172" s="2099"/>
      <c r="T172" s="2099"/>
      <c r="U172" s="2099"/>
      <c r="V172" s="2099"/>
      <c r="W172" s="2099"/>
      <c r="X172" s="2099"/>
      <c r="Y172" s="2099"/>
      <c r="Z172" s="2099"/>
      <c r="AA172" s="2099"/>
      <c r="AB172" s="2099"/>
      <c r="AC172" s="2099"/>
      <c r="AD172" s="2099"/>
      <c r="AE172" s="2099"/>
      <c r="AF172" s="2099"/>
      <c r="AG172" s="2099"/>
      <c r="AH172" s="2099"/>
      <c r="AI172" s="2099"/>
      <c r="AJ172" s="2099"/>
      <c r="AK172" s="2099"/>
      <c r="AL172" s="2099"/>
      <c r="AM172" s="2099"/>
      <c r="AN172" s="2099"/>
      <c r="AO172" s="2100"/>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104"/>
      <c r="D173" s="2054"/>
      <c r="E173" s="2054"/>
      <c r="F173" s="2054"/>
      <c r="G173" s="2054"/>
      <c r="H173" s="2054"/>
      <c r="I173" s="2185"/>
      <c r="J173" s="2185"/>
      <c r="K173" s="2185"/>
      <c r="L173" s="2185"/>
      <c r="M173" s="2185"/>
      <c r="N173" s="2201"/>
      <c r="O173" s="1202"/>
      <c r="P173" s="2098"/>
      <c r="Q173" s="2099"/>
      <c r="R173" s="2099"/>
      <c r="S173" s="2099"/>
      <c r="T173" s="2099"/>
      <c r="U173" s="2099"/>
      <c r="V173" s="2099"/>
      <c r="W173" s="2099"/>
      <c r="X173" s="2099"/>
      <c r="Y173" s="2099"/>
      <c r="Z173" s="2099"/>
      <c r="AA173" s="2099"/>
      <c r="AB173" s="2099"/>
      <c r="AC173" s="2099"/>
      <c r="AD173" s="2099"/>
      <c r="AE173" s="2099"/>
      <c r="AF173" s="2099"/>
      <c r="AG173" s="2099"/>
      <c r="AH173" s="2099"/>
      <c r="AI173" s="2099"/>
      <c r="AJ173" s="2099"/>
      <c r="AK173" s="2099"/>
      <c r="AL173" s="2099"/>
      <c r="AM173" s="2099"/>
      <c r="AN173" s="2099"/>
      <c r="AO173" s="2100"/>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104"/>
      <c r="D174" s="2054"/>
      <c r="E174" s="2054"/>
      <c r="F174" s="2054"/>
      <c r="G174" s="2054"/>
      <c r="H174" s="2054"/>
      <c r="I174" s="2185"/>
      <c r="J174" s="2185"/>
      <c r="K174" s="2185"/>
      <c r="L174" s="2185"/>
      <c r="M174" s="2185"/>
      <c r="N174" s="2201"/>
      <c r="O174" s="1202"/>
      <c r="P174" s="2098"/>
      <c r="Q174" s="2099"/>
      <c r="R174" s="2099"/>
      <c r="S174" s="2099"/>
      <c r="T174" s="2099"/>
      <c r="U174" s="2099"/>
      <c r="V174" s="2099"/>
      <c r="W174" s="2099"/>
      <c r="X174" s="2099"/>
      <c r="Y174" s="2099"/>
      <c r="Z174" s="2099"/>
      <c r="AA174" s="2099"/>
      <c r="AB174" s="2099"/>
      <c r="AC174" s="2099"/>
      <c r="AD174" s="2099"/>
      <c r="AE174" s="2099"/>
      <c r="AF174" s="2099"/>
      <c r="AG174" s="2099"/>
      <c r="AH174" s="2099"/>
      <c r="AI174" s="2099"/>
      <c r="AJ174" s="2099"/>
      <c r="AK174" s="2099"/>
      <c r="AL174" s="2099"/>
      <c r="AM174" s="2099"/>
      <c r="AN174" s="2099"/>
      <c r="AO174" s="2100"/>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202"/>
      <c r="D175" s="2203"/>
      <c r="E175" s="2203"/>
      <c r="F175" s="2203"/>
      <c r="G175" s="2203"/>
      <c r="H175" s="2203"/>
      <c r="I175" s="2204"/>
      <c r="J175" s="2204"/>
      <c r="K175" s="2204"/>
      <c r="L175" s="2204"/>
      <c r="M175" s="2204"/>
      <c r="N175" s="2205"/>
      <c r="O175" s="1202"/>
      <c r="P175" s="2101"/>
      <c r="Q175" s="2102"/>
      <c r="R175" s="2102"/>
      <c r="S175" s="2102"/>
      <c r="T175" s="2102"/>
      <c r="U175" s="2102"/>
      <c r="V175" s="2102"/>
      <c r="W175" s="2102"/>
      <c r="X175" s="2102"/>
      <c r="Y175" s="2102"/>
      <c r="Z175" s="2102"/>
      <c r="AA175" s="2102"/>
      <c r="AB175" s="2102"/>
      <c r="AC175" s="2102"/>
      <c r="AD175" s="2102"/>
      <c r="AE175" s="2102"/>
      <c r="AF175" s="2102"/>
      <c r="AG175" s="2102"/>
      <c r="AH175" s="2102"/>
      <c r="AI175" s="2102"/>
      <c r="AJ175" s="2102"/>
      <c r="AK175" s="2102"/>
      <c r="AL175" s="2102"/>
      <c r="AM175" s="2102"/>
      <c r="AN175" s="2102"/>
      <c r="AO175" s="2103"/>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209" t="s">
        <v>2263</v>
      </c>
      <c r="D177" s="2210"/>
      <c r="E177" s="2210"/>
      <c r="F177" s="2210"/>
      <c r="G177" s="2210"/>
      <c r="H177" s="2210"/>
      <c r="I177" s="2210"/>
      <c r="J177" s="2210"/>
      <c r="K177" s="2210"/>
      <c r="L177" s="2210"/>
      <c r="M177" s="2210"/>
      <c r="N177" s="2210"/>
      <c r="O177" s="2210"/>
      <c r="P177" s="2210"/>
      <c r="Q177" s="2210"/>
      <c r="R177" s="2210"/>
      <c r="S177" s="2210"/>
      <c r="T177" s="2210"/>
      <c r="U177" s="2210"/>
      <c r="V177" s="2210"/>
      <c r="W177" s="2210"/>
      <c r="X177" s="2210"/>
      <c r="Y177" s="2210"/>
      <c r="Z177" s="2210"/>
      <c r="AA177" s="2210"/>
      <c r="AB177" s="2210"/>
      <c r="AC177" s="2210"/>
      <c r="AD177" s="2210"/>
      <c r="AE177" s="2211"/>
      <c r="AF177" s="1202"/>
      <c r="AG177" s="1202"/>
      <c r="AH177" s="2219"/>
      <c r="AI177" s="2219"/>
      <c r="AJ177" s="2219"/>
      <c r="AK177" s="2219"/>
      <c r="AL177" s="2219"/>
      <c r="AM177" s="2219"/>
      <c r="AN177" s="2219"/>
      <c r="AO177" s="2219"/>
      <c r="AP177" s="2219"/>
      <c r="AQ177" s="2219"/>
      <c r="AR177" s="2219"/>
      <c r="AS177" s="2219"/>
      <c r="AT177" s="2219"/>
      <c r="AU177" s="2219"/>
      <c r="AV177" s="2219"/>
      <c r="AW177" s="2219"/>
      <c r="AX177" s="2219"/>
      <c r="AY177" s="2219"/>
      <c r="AZ177" s="2219"/>
      <c r="BA177" s="2219"/>
      <c r="BB177" s="2219"/>
      <c r="BC177" s="2219"/>
      <c r="BD177" s="2219"/>
      <c r="BE177" s="2219"/>
    </row>
    <row r="178" spans="1:57" ht="15.75" customHeight="1" thickBot="1">
      <c r="A178" s="1202"/>
      <c r="B178" s="1202"/>
      <c r="C178" s="2212"/>
      <c r="D178" s="2213"/>
      <c r="E178" s="2213"/>
      <c r="F178" s="2213"/>
      <c r="G178" s="2213"/>
      <c r="H178" s="2213"/>
      <c r="I178" s="2213"/>
      <c r="J178" s="2213"/>
      <c r="K178" s="2213"/>
      <c r="L178" s="2213"/>
      <c r="M178" s="2213"/>
      <c r="N178" s="2213"/>
      <c r="O178" s="2213"/>
      <c r="P178" s="2213"/>
      <c r="Q178" s="2213"/>
      <c r="R178" s="2213"/>
      <c r="S178" s="2213"/>
      <c r="T178" s="2213"/>
      <c r="U178" s="2213"/>
      <c r="V178" s="2213"/>
      <c r="W178" s="2213"/>
      <c r="X178" s="2213"/>
      <c r="Y178" s="2213"/>
      <c r="Z178" s="2213"/>
      <c r="AA178" s="2213"/>
      <c r="AB178" s="2213"/>
      <c r="AC178" s="2213"/>
      <c r="AD178" s="2213"/>
      <c r="AE178" s="2214"/>
      <c r="AF178" s="1202"/>
      <c r="AG178" s="1202"/>
      <c r="AH178" s="2219"/>
      <c r="AI178" s="2219"/>
      <c r="AJ178" s="2219"/>
      <c r="AK178" s="2219"/>
      <c r="AL178" s="2219"/>
      <c r="AM178" s="2219"/>
      <c r="AN178" s="2219"/>
      <c r="AO178" s="2219"/>
      <c r="AP178" s="2219"/>
      <c r="AQ178" s="2219"/>
      <c r="AR178" s="2219"/>
      <c r="AS178" s="2219"/>
      <c r="AT178" s="2219"/>
      <c r="AU178" s="2219"/>
      <c r="AV178" s="2219"/>
      <c r="AW178" s="2219"/>
      <c r="AX178" s="2219"/>
      <c r="AY178" s="2219"/>
      <c r="AZ178" s="2219"/>
      <c r="BA178" s="2219"/>
      <c r="BB178" s="2219"/>
      <c r="BC178" s="2219"/>
      <c r="BD178" s="2219"/>
      <c r="BE178" s="2219"/>
    </row>
    <row r="179" spans="1:57" ht="15.75" customHeight="1">
      <c r="A179" s="1202"/>
      <c r="B179" s="1202"/>
      <c r="C179" s="2094" t="s">
        <v>2261</v>
      </c>
      <c r="D179" s="2095"/>
      <c r="E179" s="2095"/>
      <c r="F179" s="2095"/>
      <c r="G179" s="2095"/>
      <c r="H179" s="2095"/>
      <c r="I179" s="2095"/>
      <c r="J179" s="2095"/>
      <c r="K179" s="2095"/>
      <c r="L179" s="2095"/>
      <c r="M179" s="2095"/>
      <c r="N179" s="2095" t="s">
        <v>2262</v>
      </c>
      <c r="O179" s="2095"/>
      <c r="P179" s="2095"/>
      <c r="Q179" s="2095"/>
      <c r="R179" s="2095"/>
      <c r="S179" s="2095"/>
      <c r="T179" s="2095"/>
      <c r="U179" s="2048" t="s">
        <v>2261</v>
      </c>
      <c r="V179" s="2048"/>
      <c r="W179" s="2048"/>
      <c r="X179" s="2048"/>
      <c r="Y179" s="2048"/>
      <c r="Z179" s="2048"/>
      <c r="AA179" s="2048"/>
      <c r="AB179" s="2048"/>
      <c r="AC179" s="2048"/>
      <c r="AD179" s="2048"/>
      <c r="AE179" s="2049"/>
      <c r="AF179" s="1202"/>
      <c r="AG179" s="1202"/>
      <c r="AH179" s="2219"/>
      <c r="AI179" s="2219"/>
      <c r="AJ179" s="2219"/>
      <c r="AK179" s="2219"/>
      <c r="AL179" s="2219"/>
      <c r="AM179" s="2219"/>
      <c r="AN179" s="2219"/>
      <c r="AO179" s="2219"/>
      <c r="AP179" s="2219"/>
      <c r="AQ179" s="2219"/>
      <c r="AR179" s="2219"/>
      <c r="AS179" s="2219"/>
      <c r="AT179" s="2219"/>
      <c r="AU179" s="2219"/>
      <c r="AV179" s="2219"/>
      <c r="AW179" s="2219"/>
      <c r="AX179" s="2219"/>
      <c r="AY179" s="2219"/>
      <c r="AZ179" s="2219"/>
      <c r="BA179" s="2219"/>
      <c r="BB179" s="2219"/>
      <c r="BC179" s="2219"/>
      <c r="BD179" s="2219"/>
      <c r="BE179" s="2219"/>
    </row>
    <row r="180" spans="1:57" ht="15.75" customHeight="1">
      <c r="A180" s="1202"/>
      <c r="B180" s="1202"/>
      <c r="C180" s="2206" t="s">
        <v>2260</v>
      </c>
      <c r="D180" s="2207"/>
      <c r="E180" s="2207"/>
      <c r="F180" s="2207"/>
      <c r="G180" s="2207"/>
      <c r="H180" s="2207"/>
      <c r="I180" s="2207"/>
      <c r="J180" s="2207"/>
      <c r="K180" s="2207"/>
      <c r="L180" s="2207"/>
      <c r="M180" s="2207"/>
      <c r="N180" s="2208">
        <f>'Sources and Uses Budget'!B105</f>
        <v>85202321</v>
      </c>
      <c r="O180" s="2208"/>
      <c r="P180" s="2208"/>
      <c r="Q180" s="2208"/>
      <c r="R180" s="2208"/>
      <c r="S180" s="2208"/>
      <c r="T180" s="2208"/>
      <c r="U180" s="2220"/>
      <c r="V180" s="2220"/>
      <c r="W180" s="2220"/>
      <c r="X180" s="2220"/>
      <c r="Y180" s="2220"/>
      <c r="Z180" s="2220"/>
      <c r="AA180" s="2220"/>
      <c r="AB180" s="2220"/>
      <c r="AC180" s="2220"/>
      <c r="AD180" s="2220"/>
      <c r="AE180" s="2221"/>
      <c r="AF180" s="1202"/>
      <c r="AG180" s="1202"/>
      <c r="AH180" s="2219"/>
      <c r="AI180" s="2219"/>
      <c r="AJ180" s="2219"/>
      <c r="AK180" s="2219"/>
      <c r="AL180" s="2219"/>
      <c r="AM180" s="2219"/>
      <c r="AN180" s="2219"/>
      <c r="AO180" s="2219"/>
      <c r="AP180" s="2219"/>
      <c r="AQ180" s="2219"/>
      <c r="AR180" s="2219"/>
      <c r="AS180" s="2219"/>
      <c r="AT180" s="2219"/>
      <c r="AU180" s="2219"/>
      <c r="AV180" s="2219"/>
      <c r="AW180" s="2219"/>
      <c r="AX180" s="2219"/>
      <c r="AY180" s="2219"/>
      <c r="AZ180" s="2219"/>
      <c r="BA180" s="2219"/>
      <c r="BB180" s="2219"/>
      <c r="BC180" s="2219"/>
      <c r="BD180" s="2219"/>
      <c r="BE180" s="2219"/>
    </row>
    <row r="181" spans="1:57" ht="15.75" customHeight="1">
      <c r="A181" s="1202"/>
      <c r="B181" s="1202"/>
      <c r="C181" s="2206" t="s">
        <v>2259</v>
      </c>
      <c r="D181" s="2207"/>
      <c r="E181" s="2207"/>
      <c r="F181" s="2207"/>
      <c r="G181" s="2207"/>
      <c r="H181" s="2207"/>
      <c r="I181" s="2207"/>
      <c r="J181" s="2207"/>
      <c r="K181" s="2207"/>
      <c r="L181" s="2207"/>
      <c r="M181" s="2207"/>
      <c r="N181" s="2208">
        <f>N180/J29</f>
        <v>781672.66972477059</v>
      </c>
      <c r="O181" s="2208"/>
      <c r="P181" s="2208"/>
      <c r="Q181" s="2208"/>
      <c r="R181" s="2208"/>
      <c r="S181" s="2208"/>
      <c r="T181" s="2208"/>
      <c r="U181" s="1242"/>
      <c r="V181" s="1242"/>
      <c r="W181" s="1242"/>
      <c r="X181" s="1242"/>
      <c r="Y181" s="1242"/>
      <c r="Z181" s="1242"/>
      <c r="AA181" s="1242"/>
      <c r="AB181" s="1242"/>
      <c r="AC181" s="1242"/>
      <c r="AD181" s="1242"/>
      <c r="AE181" s="1243"/>
      <c r="AF181" s="1202"/>
      <c r="AG181" s="1202"/>
      <c r="AH181" s="2219"/>
      <c r="AI181" s="2219"/>
      <c r="AJ181" s="2219"/>
      <c r="AK181" s="2219"/>
      <c r="AL181" s="2219"/>
      <c r="AM181" s="2219"/>
      <c r="AN181" s="2219"/>
      <c r="AO181" s="2219"/>
      <c r="AP181" s="2219"/>
      <c r="AQ181" s="2219"/>
      <c r="AR181" s="2219"/>
      <c r="AS181" s="2219"/>
      <c r="AT181" s="2219"/>
      <c r="AU181" s="2219"/>
      <c r="AV181" s="2219"/>
      <c r="AW181" s="2219"/>
      <c r="AX181" s="2219"/>
      <c r="AY181" s="2219"/>
      <c r="AZ181" s="2219"/>
      <c r="BA181" s="2219"/>
      <c r="BB181" s="2219"/>
      <c r="BC181" s="2219"/>
      <c r="BD181" s="2219"/>
      <c r="BE181" s="2219"/>
    </row>
    <row r="182" spans="1:57" ht="15.75" customHeight="1">
      <c r="A182" s="1202"/>
      <c r="B182" s="1202"/>
      <c r="C182" s="2222" t="s">
        <v>2258</v>
      </c>
      <c r="D182" s="2223"/>
      <c r="E182" s="2223"/>
      <c r="F182" s="2223"/>
      <c r="G182" s="2223"/>
      <c r="H182" s="2223"/>
      <c r="I182" s="2223"/>
      <c r="J182" s="2223"/>
      <c r="K182" s="2223"/>
      <c r="L182" s="2223"/>
      <c r="M182" s="2223"/>
      <c r="N182" s="2088">
        <v>0</v>
      </c>
      <c r="O182" s="2088"/>
      <c r="P182" s="2088"/>
      <c r="Q182" s="2088"/>
      <c r="R182" s="2088"/>
      <c r="S182" s="2088"/>
      <c r="T182" s="2088"/>
      <c r="U182" s="2066"/>
      <c r="V182" s="2066"/>
      <c r="W182" s="2066"/>
      <c r="X182" s="2066"/>
      <c r="Y182" s="2066"/>
      <c r="Z182" s="2066"/>
      <c r="AA182" s="2066"/>
      <c r="AB182" s="2066"/>
      <c r="AC182" s="2066"/>
      <c r="AD182" s="2066"/>
      <c r="AE182" s="2067"/>
      <c r="AF182" s="1202"/>
      <c r="AG182" s="1202"/>
      <c r="AH182" s="2219"/>
      <c r="AI182" s="2219"/>
      <c r="AJ182" s="2219"/>
      <c r="AK182" s="2219"/>
      <c r="AL182" s="2219"/>
      <c r="AM182" s="2219"/>
      <c r="AN182" s="2219"/>
      <c r="AO182" s="2219"/>
      <c r="AP182" s="2219"/>
      <c r="AQ182" s="2219"/>
      <c r="AR182" s="2219"/>
      <c r="AS182" s="2219"/>
      <c r="AT182" s="2219"/>
      <c r="AU182" s="2219"/>
      <c r="AV182" s="2219"/>
      <c r="AW182" s="2219"/>
      <c r="AX182" s="2219"/>
      <c r="AY182" s="2219"/>
      <c r="AZ182" s="2219"/>
      <c r="BA182" s="2219"/>
      <c r="BB182" s="2219"/>
      <c r="BC182" s="2219"/>
      <c r="BD182" s="2219"/>
      <c r="BE182" s="2219"/>
    </row>
    <row r="183" spans="1:57" ht="15.75" customHeight="1" thickBot="1">
      <c r="A183" s="1202"/>
      <c r="B183" s="1202"/>
      <c r="C183" s="2206" t="s">
        <v>2257</v>
      </c>
      <c r="D183" s="2207"/>
      <c r="E183" s="2207"/>
      <c r="F183" s="2207"/>
      <c r="G183" s="2207"/>
      <c r="H183" s="2207"/>
      <c r="I183" s="2207"/>
      <c r="J183" s="2207"/>
      <c r="K183" s="2207"/>
      <c r="L183" s="2207"/>
      <c r="M183" s="2207"/>
      <c r="N183" s="2224">
        <f>SUM('Sources and Uses Budget'!B85:B86)</f>
        <v>1819861</v>
      </c>
      <c r="O183" s="2224"/>
      <c r="P183" s="2224"/>
      <c r="Q183" s="2224"/>
      <c r="R183" s="2224"/>
      <c r="S183" s="2224"/>
      <c r="T183" s="2224"/>
      <c r="U183" s="2066"/>
      <c r="V183" s="2066"/>
      <c r="W183" s="2066"/>
      <c r="X183" s="2066"/>
      <c r="Y183" s="2066"/>
      <c r="Z183" s="2066"/>
      <c r="AA183" s="2066"/>
      <c r="AB183" s="2066"/>
      <c r="AC183" s="2066"/>
      <c r="AD183" s="2066"/>
      <c r="AE183" s="2067"/>
      <c r="AF183" s="1202"/>
      <c r="AG183" s="1202"/>
      <c r="AH183" s="2219"/>
      <c r="AI183" s="2219"/>
      <c r="AJ183" s="2219"/>
      <c r="AK183" s="2219"/>
      <c r="AL183" s="2219"/>
      <c r="AM183" s="2219"/>
      <c r="AN183" s="2219"/>
      <c r="AO183" s="2219"/>
      <c r="AP183" s="2219"/>
      <c r="AQ183" s="2219"/>
      <c r="AR183" s="2219"/>
      <c r="AS183" s="2219"/>
      <c r="AT183" s="2219"/>
      <c r="AU183" s="2219"/>
      <c r="AV183" s="2219"/>
      <c r="AW183" s="2219"/>
      <c r="AX183" s="2219"/>
      <c r="AY183" s="2219"/>
      <c r="AZ183" s="2219"/>
      <c r="BA183" s="2219"/>
      <c r="BB183" s="2219"/>
      <c r="BC183" s="2219"/>
      <c r="BD183" s="2219"/>
      <c r="BE183" s="2219"/>
    </row>
    <row r="184" spans="1:57" ht="15.75" customHeight="1" thickBot="1">
      <c r="A184" s="1202"/>
      <c r="B184" s="1202"/>
      <c r="C184" s="2206" t="s">
        <v>2256</v>
      </c>
      <c r="D184" s="2207"/>
      <c r="E184" s="2207"/>
      <c r="F184" s="2207"/>
      <c r="G184" s="2207"/>
      <c r="H184" s="2207"/>
      <c r="I184" s="2207"/>
      <c r="J184" s="2207"/>
      <c r="K184" s="2207"/>
      <c r="L184" s="2207"/>
      <c r="M184" s="2207"/>
      <c r="N184" s="2224">
        <f>'Sources and Uses Budget'!B8</f>
        <v>5076189</v>
      </c>
      <c r="O184" s="2224"/>
      <c r="P184" s="2224"/>
      <c r="Q184" s="2224"/>
      <c r="R184" s="2224"/>
      <c r="S184" s="2224"/>
      <c r="T184" s="2224"/>
      <c r="U184" s="2066"/>
      <c r="V184" s="2066"/>
      <c r="W184" s="2066"/>
      <c r="X184" s="2066"/>
      <c r="Y184" s="2066"/>
      <c r="Z184" s="2066"/>
      <c r="AA184" s="2066"/>
      <c r="AB184" s="2066"/>
      <c r="AC184" s="2066"/>
      <c r="AD184" s="2066"/>
      <c r="AE184" s="2067"/>
      <c r="AF184" s="1202"/>
      <c r="AG184" s="1202"/>
      <c r="AH184" s="2228" t="s">
        <v>2254</v>
      </c>
      <c r="AI184" s="2229"/>
      <c r="AJ184" s="2229"/>
      <c r="AK184" s="2229"/>
      <c r="AL184" s="2229"/>
      <c r="AM184" s="2229"/>
      <c r="AN184" s="2229"/>
      <c r="AO184" s="2229"/>
      <c r="AP184" s="2229"/>
      <c r="AQ184" s="2229"/>
      <c r="AR184" s="2229"/>
      <c r="AS184" s="2229"/>
      <c r="AT184" s="2229"/>
      <c r="AU184" s="2229"/>
      <c r="AV184" s="2229"/>
      <c r="AW184" s="2229"/>
      <c r="AX184" s="2229"/>
      <c r="AY184" s="2229"/>
      <c r="AZ184" s="2229"/>
      <c r="BA184" s="2229"/>
      <c r="BB184" s="2229"/>
      <c r="BC184" s="2229"/>
      <c r="BD184" s="2229"/>
      <c r="BE184" s="2230"/>
    </row>
    <row r="185" spans="1:57" ht="15.75" customHeight="1">
      <c r="A185" s="1202"/>
      <c r="B185" s="1202"/>
      <c r="C185" s="2206" t="s">
        <v>2255</v>
      </c>
      <c r="D185" s="2207"/>
      <c r="E185" s="2207"/>
      <c r="F185" s="2207"/>
      <c r="G185" s="2207"/>
      <c r="H185" s="2207"/>
      <c r="I185" s="2207"/>
      <c r="J185" s="2207"/>
      <c r="K185" s="2207"/>
      <c r="L185" s="2207"/>
      <c r="M185" s="2207"/>
      <c r="N185" s="2215">
        <v>0</v>
      </c>
      <c r="O185" s="2215"/>
      <c r="P185" s="2215"/>
      <c r="Q185" s="2215"/>
      <c r="R185" s="2215"/>
      <c r="S185" s="2215"/>
      <c r="T185" s="2215"/>
      <c r="U185" s="2066"/>
      <c r="V185" s="2066"/>
      <c r="W185" s="2066"/>
      <c r="X185" s="2066"/>
      <c r="Y185" s="2066"/>
      <c r="Z185" s="2066"/>
      <c r="AA185" s="2066"/>
      <c r="AB185" s="2066"/>
      <c r="AC185" s="2066"/>
      <c r="AD185" s="2066"/>
      <c r="AE185" s="2067"/>
      <c r="AF185" s="1202"/>
      <c r="AG185" s="1202"/>
      <c r="AH185" s="2231" t="s">
        <v>2254</v>
      </c>
      <c r="AI185" s="2232"/>
      <c r="AJ185" s="2232"/>
      <c r="AK185" s="2232"/>
      <c r="AL185" s="2232"/>
      <c r="AM185" s="2232"/>
      <c r="AN185" s="2232"/>
      <c r="AO185" s="2232"/>
      <c r="AP185" s="2232"/>
      <c r="AQ185" s="2232"/>
      <c r="AR185" s="2232"/>
      <c r="AS185" s="2232"/>
      <c r="AT185" s="2232"/>
      <c r="AU185" s="2233">
        <v>0</v>
      </c>
      <c r="AV185" s="2233"/>
      <c r="AW185" s="2233"/>
      <c r="AX185" s="2233"/>
      <c r="AY185" s="2233"/>
      <c r="AZ185" s="2233"/>
      <c r="BA185" s="2233"/>
      <c r="BB185" s="2233"/>
      <c r="BC185" s="2234"/>
      <c r="BD185" s="2235"/>
      <c r="BE185" s="2236"/>
    </row>
    <row r="186" spans="1:57" ht="15.75" customHeight="1">
      <c r="A186" s="1202"/>
      <c r="B186" s="1202"/>
      <c r="C186" s="2206" t="s">
        <v>2253</v>
      </c>
      <c r="D186" s="2207"/>
      <c r="E186" s="2207"/>
      <c r="F186" s="2207"/>
      <c r="G186" s="2207"/>
      <c r="H186" s="2207"/>
      <c r="I186" s="2207"/>
      <c r="J186" s="2207"/>
      <c r="K186" s="2207"/>
      <c r="L186" s="2207"/>
      <c r="M186" s="2207"/>
      <c r="N186" s="2215">
        <v>0</v>
      </c>
      <c r="O186" s="2215"/>
      <c r="P186" s="2215"/>
      <c r="Q186" s="2215"/>
      <c r="R186" s="2215"/>
      <c r="S186" s="2215"/>
      <c r="T186" s="2215"/>
      <c r="U186" s="2066"/>
      <c r="V186" s="2066"/>
      <c r="W186" s="2066"/>
      <c r="X186" s="2066"/>
      <c r="Y186" s="2066"/>
      <c r="Z186" s="2066"/>
      <c r="AA186" s="2066"/>
      <c r="AB186" s="2066"/>
      <c r="AC186" s="2066"/>
      <c r="AD186" s="2066"/>
      <c r="AE186" s="2067"/>
      <c r="AF186" s="1202"/>
      <c r="AG186" s="1202"/>
      <c r="AH186" s="2216" t="s">
        <v>2252</v>
      </c>
      <c r="AI186" s="2217"/>
      <c r="AJ186" s="2217"/>
      <c r="AK186" s="2217"/>
      <c r="AL186" s="2217"/>
      <c r="AM186" s="2217"/>
      <c r="AN186" s="2217"/>
      <c r="AO186" s="2217"/>
      <c r="AP186" s="2217"/>
      <c r="AQ186" s="2217"/>
      <c r="AR186" s="2217"/>
      <c r="AS186" s="2217"/>
      <c r="AT186" s="2217"/>
      <c r="AU186" s="2218"/>
      <c r="AV186" s="2218"/>
      <c r="AW186" s="2218"/>
      <c r="AX186" s="2218"/>
      <c r="AY186" s="2218"/>
      <c r="AZ186" s="2218"/>
      <c r="BA186" s="2218"/>
      <c r="BB186" s="2218"/>
      <c r="BC186" s="2225"/>
      <c r="BD186" s="2226"/>
      <c r="BE186" s="2227"/>
    </row>
    <row r="187" spans="1:57" ht="15.75" customHeight="1">
      <c r="A187" s="1202"/>
      <c r="B187" s="1202"/>
      <c r="C187" s="2241" t="s">
        <v>299</v>
      </c>
      <c r="D187" s="2184"/>
      <c r="E187" s="2237" t="s">
        <v>2250</v>
      </c>
      <c r="F187" s="2237"/>
      <c r="G187" s="2237"/>
      <c r="H187" s="2237"/>
      <c r="I187" s="2237"/>
      <c r="J187" s="2237"/>
      <c r="K187" s="2237"/>
      <c r="L187" s="2237"/>
      <c r="M187" s="2237"/>
      <c r="N187" s="2215">
        <v>0</v>
      </c>
      <c r="O187" s="2215"/>
      <c r="P187" s="2215"/>
      <c r="Q187" s="2215"/>
      <c r="R187" s="2215"/>
      <c r="S187" s="2215"/>
      <c r="T187" s="2215"/>
      <c r="U187" s="2066"/>
      <c r="V187" s="2066"/>
      <c r="W187" s="2066"/>
      <c r="X187" s="2066"/>
      <c r="Y187" s="2066"/>
      <c r="Z187" s="2066"/>
      <c r="AA187" s="2066"/>
      <c r="AB187" s="2066"/>
      <c r="AC187" s="2066"/>
      <c r="AD187" s="2066"/>
      <c r="AE187" s="2067"/>
      <c r="AF187" s="1202"/>
      <c r="AG187" s="1202"/>
      <c r="AH187" s="2242" t="s">
        <v>2251</v>
      </c>
      <c r="AI187" s="2243"/>
      <c r="AJ187" s="2243"/>
      <c r="AK187" s="2243"/>
      <c r="AL187" s="2243"/>
      <c r="AM187" s="2243"/>
      <c r="AN187" s="2243"/>
      <c r="AO187" s="2243"/>
      <c r="AP187" s="2243"/>
      <c r="AQ187" s="2243"/>
      <c r="AR187" s="2243"/>
      <c r="AS187" s="2243"/>
      <c r="AT187" s="2243"/>
      <c r="AU187" s="2244">
        <f>SUM(AU185:BB186)</f>
        <v>0</v>
      </c>
      <c r="AV187" s="2244"/>
      <c r="AW187" s="2244"/>
      <c r="AX187" s="2244"/>
      <c r="AY187" s="2244"/>
      <c r="AZ187" s="2244"/>
      <c r="BA187" s="2244"/>
      <c r="BB187" s="2244"/>
      <c r="BC187" s="2225"/>
      <c r="BD187" s="2226"/>
      <c r="BE187" s="2227"/>
    </row>
    <row r="188" spans="1:57" ht="15.75" customHeight="1" thickBot="1">
      <c r="A188" s="1202"/>
      <c r="B188" s="1202"/>
      <c r="C188" s="2104" t="s">
        <v>299</v>
      </c>
      <c r="D188" s="2054"/>
      <c r="E188" s="2237" t="s">
        <v>2250</v>
      </c>
      <c r="F188" s="2237"/>
      <c r="G188" s="2237"/>
      <c r="H188" s="2237"/>
      <c r="I188" s="2237"/>
      <c r="J188" s="2237"/>
      <c r="K188" s="2237"/>
      <c r="L188" s="2237"/>
      <c r="M188" s="2237"/>
      <c r="N188" s="2215">
        <v>0</v>
      </c>
      <c r="O188" s="2215"/>
      <c r="P188" s="2215"/>
      <c r="Q188" s="2215"/>
      <c r="R188" s="2215"/>
      <c r="S188" s="2215"/>
      <c r="T188" s="2215"/>
      <c r="U188" s="2066"/>
      <c r="V188" s="2066"/>
      <c r="W188" s="2066"/>
      <c r="X188" s="2066"/>
      <c r="Y188" s="2066"/>
      <c r="Z188" s="2066"/>
      <c r="AA188" s="2066"/>
      <c r="AB188" s="2066"/>
      <c r="AC188" s="2066"/>
      <c r="AD188" s="2066"/>
      <c r="AE188" s="2067"/>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238"/>
      <c r="BD188" s="2239"/>
      <c r="BE188" s="2240"/>
    </row>
    <row r="189" spans="1:57" ht="15.75" customHeight="1" thickBot="1">
      <c r="A189" s="1202"/>
      <c r="B189" s="1202"/>
      <c r="C189" s="2262" t="s">
        <v>299</v>
      </c>
      <c r="D189" s="2263"/>
      <c r="E189" s="2264" t="s">
        <v>2250</v>
      </c>
      <c r="F189" s="2264"/>
      <c r="G189" s="2264"/>
      <c r="H189" s="2264"/>
      <c r="I189" s="2264"/>
      <c r="J189" s="2264"/>
      <c r="K189" s="2264"/>
      <c r="L189" s="2264"/>
      <c r="M189" s="2265"/>
      <c r="N189" s="2266">
        <v>0</v>
      </c>
      <c r="O189" s="2266"/>
      <c r="P189" s="2266"/>
      <c r="Q189" s="2266"/>
      <c r="R189" s="2266"/>
      <c r="S189" s="2266"/>
      <c r="T189" s="2267"/>
      <c r="U189" s="2268"/>
      <c r="V189" s="2269"/>
      <c r="W189" s="2269"/>
      <c r="X189" s="2269"/>
      <c r="Y189" s="2269"/>
      <c r="Z189" s="2269"/>
      <c r="AA189" s="2269"/>
      <c r="AB189" s="2269"/>
      <c r="AC189" s="2269"/>
      <c r="AD189" s="2269"/>
      <c r="AE189" s="2270"/>
      <c r="AF189" s="1202"/>
      <c r="AG189" s="1202"/>
      <c r="AH189" s="2271" t="s">
        <v>2249</v>
      </c>
      <c r="AI189" s="2272"/>
      <c r="AJ189" s="2272"/>
      <c r="AK189" s="2272"/>
      <c r="AL189" s="2272"/>
      <c r="AM189" s="2272"/>
      <c r="AN189" s="2272"/>
      <c r="AO189" s="2272"/>
      <c r="AP189" s="2272"/>
      <c r="AQ189" s="2272"/>
      <c r="AR189" s="2272"/>
      <c r="AS189" s="2272"/>
      <c r="AT189" s="2272"/>
      <c r="AU189" s="2273"/>
      <c r="AV189" s="2273"/>
      <c r="AW189" s="2273"/>
      <c r="AX189" s="2273"/>
      <c r="AY189" s="2273"/>
      <c r="AZ189" s="2273"/>
      <c r="BA189" s="2273"/>
      <c r="BB189" s="2273"/>
      <c r="BC189" s="1159"/>
      <c r="BD189" s="1159"/>
      <c r="BE189" s="1246"/>
    </row>
    <row r="190" spans="1:57" ht="15.75" customHeight="1">
      <c r="A190" s="1202"/>
      <c r="B190" s="1202"/>
      <c r="C190" s="2245" t="s">
        <v>2248</v>
      </c>
      <c r="D190" s="2246"/>
      <c r="E190" s="2246"/>
      <c r="F190" s="2246"/>
      <c r="G190" s="2246"/>
      <c r="H190" s="2246"/>
      <c r="I190" s="2246"/>
      <c r="J190" s="2246"/>
      <c r="K190" s="2246"/>
      <c r="L190" s="2246"/>
      <c r="M190" s="2246"/>
      <c r="N190" s="2247">
        <f>SUM(N182:T189)</f>
        <v>6896050</v>
      </c>
      <c r="O190" s="2247"/>
      <c r="P190" s="2247"/>
      <c r="Q190" s="2247"/>
      <c r="R190" s="2247"/>
      <c r="S190" s="2247"/>
      <c r="T190" s="2248"/>
      <c r="U190" s="1202"/>
      <c r="V190" s="1202"/>
      <c r="W190" s="1202"/>
      <c r="X190" s="1202"/>
      <c r="Y190" s="1202"/>
      <c r="Z190" s="1202"/>
      <c r="AA190" s="1202"/>
      <c r="AB190" s="1202"/>
      <c r="AC190" s="1202"/>
      <c r="AD190" s="1202"/>
      <c r="AE190" s="1202"/>
      <c r="AF190" s="1202"/>
      <c r="AG190" s="1202"/>
      <c r="AH190" s="2249" t="s">
        <v>2247</v>
      </c>
      <c r="AI190" s="2250"/>
      <c r="AJ190" s="2250"/>
      <c r="AK190" s="2250"/>
      <c r="AL190" s="2250"/>
      <c r="AM190" s="2250"/>
      <c r="AN190" s="2250"/>
      <c r="AO190" s="2250"/>
      <c r="AP190" s="2250"/>
      <c r="AQ190" s="2250"/>
      <c r="AR190" s="2250"/>
      <c r="AS190" s="2250"/>
      <c r="AT190" s="2250"/>
      <c r="AU190" s="2250"/>
      <c r="AV190" s="2250"/>
      <c r="AW190" s="2250"/>
      <c r="AX190" s="2250"/>
      <c r="AY190" s="2250"/>
      <c r="AZ190" s="2250"/>
      <c r="BA190" s="2250"/>
      <c r="BB190" s="2250"/>
      <c r="BC190" s="2250"/>
      <c r="BD190" s="2250"/>
      <c r="BE190" s="2251"/>
    </row>
    <row r="191" spans="1:57" ht="15.75" customHeight="1" thickBot="1">
      <c r="A191" s="1202"/>
      <c r="B191" s="1202"/>
      <c r="C191" s="2255" t="s">
        <v>2246</v>
      </c>
      <c r="D191" s="2256"/>
      <c r="E191" s="2256"/>
      <c r="F191" s="2256"/>
      <c r="G191" s="2256"/>
      <c r="H191" s="2256"/>
      <c r="I191" s="2256"/>
      <c r="J191" s="2256"/>
      <c r="K191" s="2256"/>
      <c r="L191" s="2256"/>
      <c r="M191" s="2256"/>
      <c r="N191" s="2257">
        <f>(N180-N190)/J29</f>
        <v>718406.15596330271</v>
      </c>
      <c r="O191" s="2258"/>
      <c r="P191" s="2258"/>
      <c r="Q191" s="2258"/>
      <c r="R191" s="2258"/>
      <c r="S191" s="2258"/>
      <c r="T191" s="2259"/>
      <c r="U191" s="1210"/>
      <c r="V191" s="1202"/>
      <c r="W191" s="1202"/>
      <c r="X191" s="1202"/>
      <c r="Y191" s="1202"/>
      <c r="Z191" s="1202"/>
      <c r="AA191" s="1202"/>
      <c r="AB191" s="1202"/>
      <c r="AC191" s="1202"/>
      <c r="AD191" s="1202"/>
      <c r="AE191" s="1202"/>
      <c r="AF191" s="1202"/>
      <c r="AG191" s="1202"/>
      <c r="AH191" s="2252"/>
      <c r="AI191" s="2253"/>
      <c r="AJ191" s="2253"/>
      <c r="AK191" s="2253"/>
      <c r="AL191" s="2253"/>
      <c r="AM191" s="2253"/>
      <c r="AN191" s="2253"/>
      <c r="AO191" s="2253"/>
      <c r="AP191" s="2253"/>
      <c r="AQ191" s="2253"/>
      <c r="AR191" s="2253"/>
      <c r="AS191" s="2253"/>
      <c r="AT191" s="2253"/>
      <c r="AU191" s="2253"/>
      <c r="AV191" s="2253"/>
      <c r="AW191" s="2253"/>
      <c r="AX191" s="2253"/>
      <c r="AY191" s="2253"/>
      <c r="AZ191" s="2253"/>
      <c r="BA191" s="2253"/>
      <c r="BB191" s="2253"/>
      <c r="BC191" s="2253"/>
      <c r="BD191" s="2253"/>
      <c r="BE191" s="2254"/>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260"/>
      <c r="AI192" s="2260"/>
      <c r="AJ192" s="2260"/>
      <c r="AK192" s="2260"/>
      <c r="AL192" s="2260"/>
      <c r="AM192" s="2260"/>
      <c r="AN192" s="2260"/>
      <c r="AO192" s="2260"/>
      <c r="AP192" s="2260"/>
      <c r="AQ192" s="2260"/>
      <c r="AR192" s="2260"/>
      <c r="AS192" s="2261"/>
      <c r="AT192" s="2261"/>
      <c r="AU192" s="2261"/>
      <c r="AV192" s="2261"/>
      <c r="AW192" s="2261"/>
      <c r="AX192" s="2261"/>
      <c r="AY192" s="2261"/>
      <c r="AZ192" s="2261"/>
      <c r="BA192" s="2261"/>
      <c r="BB192" s="2261"/>
      <c r="BC192" s="2261"/>
      <c r="BD192" s="2261"/>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2279" t="s">
        <v>2245</v>
      </c>
      <c r="D194" s="2280"/>
      <c r="E194" s="2280"/>
      <c r="F194" s="2280"/>
      <c r="G194" s="2280"/>
      <c r="H194" s="2280"/>
      <c r="I194" s="2280"/>
      <c r="J194" s="2280"/>
      <c r="K194" s="2280"/>
      <c r="L194" s="2280"/>
      <c r="M194" s="2280"/>
      <c r="N194" s="2280"/>
      <c r="O194" s="2280"/>
      <c r="P194" s="2280"/>
      <c r="Q194" s="2280"/>
      <c r="R194" s="2280"/>
      <c r="S194" s="2280"/>
      <c r="T194" s="2280"/>
      <c r="U194" s="2280"/>
      <c r="V194" s="2280"/>
      <c r="W194" s="2280"/>
      <c r="X194" s="2280"/>
      <c r="Y194" s="2280"/>
      <c r="Z194" s="2280"/>
      <c r="AA194" s="2280"/>
      <c r="AB194" s="2280"/>
      <c r="AC194" s="2280"/>
      <c r="AD194" s="2280"/>
      <c r="AE194" s="2281"/>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2282" t="s">
        <v>2244</v>
      </c>
      <c r="D195" s="2282"/>
      <c r="E195" s="2282"/>
      <c r="F195" s="2282"/>
      <c r="G195" s="2282"/>
      <c r="H195" s="2282"/>
      <c r="I195" s="2282"/>
      <c r="J195" s="2282"/>
      <c r="K195" s="2282"/>
      <c r="L195" s="2282"/>
      <c r="M195" s="2282"/>
      <c r="N195" s="2282"/>
      <c r="O195" s="2283" t="s">
        <v>2243</v>
      </c>
      <c r="P195" s="2283"/>
      <c r="Q195" s="2283"/>
      <c r="R195" s="2283"/>
      <c r="S195" s="2283"/>
      <c r="T195" s="2283"/>
      <c r="U195" s="2283"/>
      <c r="V195" s="2283"/>
      <c r="W195" s="2283"/>
      <c r="X195" s="2283" t="s">
        <v>2242</v>
      </c>
      <c r="Y195" s="2283"/>
      <c r="Z195" s="2283"/>
      <c r="AA195" s="2283"/>
      <c r="AB195" s="2283"/>
      <c r="AC195" s="2283"/>
      <c r="AD195" s="2283"/>
      <c r="AE195" s="2283"/>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2274" t="s">
        <v>2241</v>
      </c>
      <c r="D196" s="2274"/>
      <c r="E196" s="2274"/>
      <c r="F196" s="2274"/>
      <c r="G196" s="2274"/>
      <c r="H196" s="2274"/>
      <c r="I196" s="2274"/>
      <c r="J196" s="2274"/>
      <c r="K196" s="2274"/>
      <c r="L196" s="2274"/>
      <c r="M196" s="2274"/>
      <c r="N196" s="2274"/>
      <c r="O196" s="2275" t="s">
        <v>2240</v>
      </c>
      <c r="P196" s="2275"/>
      <c r="Q196" s="2275"/>
      <c r="R196" s="2275"/>
      <c r="S196" s="2275"/>
      <c r="T196" s="2275"/>
      <c r="U196" s="2275"/>
      <c r="V196" s="2275"/>
      <c r="W196" s="2275"/>
      <c r="X196" s="2276">
        <v>0.03</v>
      </c>
      <c r="Y196" s="2276"/>
      <c r="Z196" s="2276"/>
      <c r="AA196" s="2276"/>
      <c r="AB196" s="2276"/>
      <c r="AC196" s="2276"/>
      <c r="AD196" s="2276"/>
      <c r="AE196" s="2276"/>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2274" t="s">
        <v>852</v>
      </c>
      <c r="D197" s="2274"/>
      <c r="E197" s="2274"/>
      <c r="F197" s="2274"/>
      <c r="G197" s="2274"/>
      <c r="H197" s="2274"/>
      <c r="I197" s="2274"/>
      <c r="J197" s="2274"/>
      <c r="K197" s="2274"/>
      <c r="L197" s="2274"/>
      <c r="M197" s="2274"/>
      <c r="N197" s="2274"/>
      <c r="O197" s="2275" t="s">
        <v>2240</v>
      </c>
      <c r="P197" s="2275"/>
      <c r="Q197" s="2275"/>
      <c r="R197" s="2275"/>
      <c r="S197" s="2275"/>
      <c r="T197" s="2275"/>
      <c r="U197" s="2275"/>
      <c r="V197" s="2275"/>
      <c r="W197" s="2275"/>
      <c r="X197" s="2276">
        <v>0.03</v>
      </c>
      <c r="Y197" s="2276"/>
      <c r="Z197" s="2276"/>
      <c r="AA197" s="2276"/>
      <c r="AB197" s="2276"/>
      <c r="AC197" s="2276"/>
      <c r="AD197" s="2276"/>
      <c r="AE197" s="2276"/>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2274" t="s">
        <v>2239</v>
      </c>
      <c r="D198" s="2274"/>
      <c r="E198" s="2274"/>
      <c r="F198" s="2274"/>
      <c r="G198" s="2274"/>
      <c r="H198" s="2274"/>
      <c r="I198" s="2274"/>
      <c r="J198" s="2274"/>
      <c r="K198" s="2274"/>
      <c r="L198" s="2274"/>
      <c r="M198" s="2274"/>
      <c r="N198" s="2274"/>
      <c r="O198" s="2277">
        <f>SUM(O196:W197)</f>
        <v>0</v>
      </c>
      <c r="P198" s="2278"/>
      <c r="Q198" s="2278"/>
      <c r="R198" s="2278"/>
      <c r="S198" s="2278"/>
      <c r="T198" s="2278"/>
      <c r="U198" s="2278"/>
      <c r="V198" s="2278"/>
      <c r="W198" s="2278"/>
      <c r="X198" s="2278" t="s">
        <v>2238</v>
      </c>
      <c r="Y198" s="2278"/>
      <c r="Z198" s="2278"/>
      <c r="AA198" s="2278"/>
      <c r="AB198" s="2278"/>
      <c r="AC198" s="2278"/>
      <c r="AD198" s="2278"/>
      <c r="AE198" s="2278"/>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2284" t="s">
        <v>2237</v>
      </c>
      <c r="D199" s="2284"/>
      <c r="E199" s="2284"/>
      <c r="F199" s="2284"/>
      <c r="G199" s="2284"/>
      <c r="H199" s="2284"/>
      <c r="I199" s="2284"/>
      <c r="J199" s="2284"/>
      <c r="K199" s="2284"/>
      <c r="L199" s="2284"/>
      <c r="M199" s="2284"/>
      <c r="N199" s="2284"/>
      <c r="O199" s="2284"/>
      <c r="P199" s="2284"/>
      <c r="Q199" s="2284"/>
      <c r="R199" s="2284"/>
      <c r="S199" s="2284"/>
      <c r="T199" s="2284"/>
      <c r="U199" s="2284"/>
      <c r="V199" s="2284"/>
      <c r="W199" s="2284"/>
      <c r="X199" s="2284"/>
      <c r="Y199" s="2284"/>
      <c r="Z199" s="2284"/>
      <c r="AA199" s="2284"/>
      <c r="AB199" s="2284"/>
      <c r="AC199" s="2284"/>
      <c r="AD199" s="2284"/>
      <c r="AE199" s="2284"/>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2285" t="s">
        <v>2236</v>
      </c>
      <c r="D201" s="2286"/>
      <c r="E201" s="2286"/>
      <c r="F201" s="2286"/>
      <c r="G201" s="2286"/>
      <c r="H201" s="2286"/>
      <c r="I201" s="2286"/>
      <c r="J201" s="2286"/>
      <c r="K201" s="2286"/>
      <c r="L201" s="2286"/>
      <c r="M201" s="2286"/>
      <c r="N201" s="2286"/>
      <c r="O201" s="2286"/>
      <c r="P201" s="2286"/>
      <c r="Q201" s="2286"/>
      <c r="R201" s="2286"/>
      <c r="S201" s="2286"/>
      <c r="T201" s="2286"/>
      <c r="U201" s="2286"/>
      <c r="V201" s="2286"/>
      <c r="W201" s="2286"/>
      <c r="X201" s="2286"/>
      <c r="Y201" s="2286"/>
      <c r="Z201" s="2286"/>
      <c r="AA201" s="2286"/>
      <c r="AB201" s="2286"/>
      <c r="AC201" s="2286"/>
      <c r="AD201" s="2286"/>
      <c r="AE201" s="2286"/>
      <c r="AF201" s="2286"/>
      <c r="AG201" s="2286"/>
      <c r="AH201" s="2286"/>
      <c r="AI201" s="2286"/>
      <c r="AJ201" s="2286"/>
      <c r="AK201" s="2287"/>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2288" t="s">
        <v>2235</v>
      </c>
      <c r="D202" s="2289"/>
      <c r="E202" s="2289"/>
      <c r="F202" s="2290"/>
      <c r="G202" s="2294" t="s">
        <v>2234</v>
      </c>
      <c r="H202" s="2289"/>
      <c r="I202" s="2289"/>
      <c r="J202" s="2289"/>
      <c r="K202" s="2289"/>
      <c r="L202" s="2289"/>
      <c r="M202" s="2289"/>
      <c r="N202" s="2289"/>
      <c r="O202" s="2290"/>
      <c r="P202" s="2296" t="s">
        <v>2233</v>
      </c>
      <c r="Q202" s="2297"/>
      <c r="R202" s="2297"/>
      <c r="S202" s="2297"/>
      <c r="T202" s="2298"/>
      <c r="U202" s="2302" t="s">
        <v>2232</v>
      </c>
      <c r="V202" s="2303"/>
      <c r="W202" s="2303"/>
      <c r="X202" s="2304"/>
      <c r="Y202" s="2302" t="s">
        <v>2231</v>
      </c>
      <c r="Z202" s="2303"/>
      <c r="AA202" s="2303"/>
      <c r="AB202" s="2304"/>
      <c r="AC202" s="2302" t="s">
        <v>2230</v>
      </c>
      <c r="AD202" s="2303"/>
      <c r="AE202" s="2303"/>
      <c r="AF202" s="2304"/>
      <c r="AG202" s="2294" t="s">
        <v>2229</v>
      </c>
      <c r="AH202" s="2289"/>
      <c r="AI202" s="2289"/>
      <c r="AJ202" s="2289"/>
      <c r="AK202" s="2308"/>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2291"/>
      <c r="D203" s="2292"/>
      <c r="E203" s="2292"/>
      <c r="F203" s="2293"/>
      <c r="G203" s="2295"/>
      <c r="H203" s="2292"/>
      <c r="I203" s="2292"/>
      <c r="J203" s="2292"/>
      <c r="K203" s="2292"/>
      <c r="L203" s="2292"/>
      <c r="M203" s="2292"/>
      <c r="N203" s="2292"/>
      <c r="O203" s="2293"/>
      <c r="P203" s="2299"/>
      <c r="Q203" s="2300"/>
      <c r="R203" s="2300"/>
      <c r="S203" s="2300"/>
      <c r="T203" s="2301"/>
      <c r="U203" s="2305"/>
      <c r="V203" s="2306"/>
      <c r="W203" s="2306"/>
      <c r="X203" s="2307"/>
      <c r="Y203" s="2305"/>
      <c r="Z203" s="2306"/>
      <c r="AA203" s="2306"/>
      <c r="AB203" s="2307"/>
      <c r="AC203" s="2305"/>
      <c r="AD203" s="2306"/>
      <c r="AE203" s="2306"/>
      <c r="AF203" s="2307"/>
      <c r="AG203" s="2295"/>
      <c r="AH203" s="2292"/>
      <c r="AI203" s="2292"/>
      <c r="AJ203" s="2292"/>
      <c r="AK203" s="2309"/>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2313">
        <v>1</v>
      </c>
      <c r="D204" s="2314"/>
      <c r="E204" s="2314"/>
      <c r="F204" s="2314"/>
      <c r="G204" s="2315" t="s">
        <v>1851</v>
      </c>
      <c r="H204" s="2315"/>
      <c r="I204" s="2315"/>
      <c r="J204" s="2315"/>
      <c r="K204" s="2315"/>
      <c r="L204" s="2315"/>
      <c r="M204" s="2315"/>
      <c r="N204" s="2315"/>
      <c r="O204" s="2315"/>
      <c r="P204" s="2316"/>
      <c r="Q204" s="2319"/>
      <c r="R204" s="2319"/>
      <c r="S204" s="2319"/>
      <c r="T204" s="2319"/>
      <c r="U204" s="2317" t="s">
        <v>1851</v>
      </c>
      <c r="V204" s="2317"/>
      <c r="W204" s="2317"/>
      <c r="X204" s="2317"/>
      <c r="Y204" s="2317" t="s">
        <v>1851</v>
      </c>
      <c r="Z204" s="2317"/>
      <c r="AA204" s="2317"/>
      <c r="AB204" s="2317"/>
      <c r="AC204" s="2318" t="s">
        <v>1851</v>
      </c>
      <c r="AD204" s="2318"/>
      <c r="AE204" s="2318"/>
      <c r="AF204" s="2318"/>
      <c r="AG204" s="2310"/>
      <c r="AH204" s="2311"/>
      <c r="AI204" s="2311"/>
      <c r="AJ204" s="2311"/>
      <c r="AK204" s="2312"/>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2313">
        <v>2</v>
      </c>
      <c r="D205" s="2314"/>
      <c r="E205" s="2314"/>
      <c r="F205" s="2314"/>
      <c r="G205" s="2315" t="s">
        <v>1851</v>
      </c>
      <c r="H205" s="2315"/>
      <c r="I205" s="2315"/>
      <c r="J205" s="2315"/>
      <c r="K205" s="2315"/>
      <c r="L205" s="2315"/>
      <c r="M205" s="2315"/>
      <c r="N205" s="2315"/>
      <c r="O205" s="2315"/>
      <c r="P205" s="2316"/>
      <c r="Q205" s="2316"/>
      <c r="R205" s="2316"/>
      <c r="S205" s="2316"/>
      <c r="T205" s="2316"/>
      <c r="U205" s="2317" t="s">
        <v>1851</v>
      </c>
      <c r="V205" s="2317"/>
      <c r="W205" s="2317"/>
      <c r="X205" s="2317"/>
      <c r="Y205" s="2317" t="s">
        <v>1851</v>
      </c>
      <c r="Z205" s="2317"/>
      <c r="AA205" s="2317"/>
      <c r="AB205" s="2317"/>
      <c r="AC205" s="2318" t="s">
        <v>1851</v>
      </c>
      <c r="AD205" s="2318"/>
      <c r="AE205" s="2318"/>
      <c r="AF205" s="2318"/>
      <c r="AG205" s="2310"/>
      <c r="AH205" s="2311"/>
      <c r="AI205" s="2311"/>
      <c r="AJ205" s="2311"/>
      <c r="AK205" s="2312"/>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2313">
        <v>3</v>
      </c>
      <c r="D206" s="2314"/>
      <c r="E206" s="2314"/>
      <c r="F206" s="2314"/>
      <c r="G206" s="2315" t="s">
        <v>1851</v>
      </c>
      <c r="H206" s="2315"/>
      <c r="I206" s="2315"/>
      <c r="J206" s="2315"/>
      <c r="K206" s="2315"/>
      <c r="L206" s="2315"/>
      <c r="M206" s="2315"/>
      <c r="N206" s="2315"/>
      <c r="O206" s="2315"/>
      <c r="P206" s="2316"/>
      <c r="Q206" s="2316"/>
      <c r="R206" s="2316"/>
      <c r="S206" s="2316"/>
      <c r="T206" s="2316"/>
      <c r="U206" s="2317" t="s">
        <v>1851</v>
      </c>
      <c r="V206" s="2317"/>
      <c r="W206" s="2317"/>
      <c r="X206" s="2317"/>
      <c r="Y206" s="2317" t="s">
        <v>1851</v>
      </c>
      <c r="Z206" s="2317"/>
      <c r="AA206" s="2317"/>
      <c r="AB206" s="2317"/>
      <c r="AC206" s="2318" t="s">
        <v>1851</v>
      </c>
      <c r="AD206" s="2318"/>
      <c r="AE206" s="2318"/>
      <c r="AF206" s="2318"/>
      <c r="AG206" s="2310"/>
      <c r="AH206" s="2311"/>
      <c r="AI206" s="2311"/>
      <c r="AJ206" s="2311"/>
      <c r="AK206" s="2312"/>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2313">
        <v>4</v>
      </c>
      <c r="D207" s="2314"/>
      <c r="E207" s="2314"/>
      <c r="F207" s="2314"/>
      <c r="G207" s="2315" t="s">
        <v>1851</v>
      </c>
      <c r="H207" s="2315"/>
      <c r="I207" s="2315"/>
      <c r="J207" s="2315"/>
      <c r="K207" s="2315"/>
      <c r="L207" s="2315"/>
      <c r="M207" s="2315"/>
      <c r="N207" s="2315"/>
      <c r="O207" s="2315"/>
      <c r="P207" s="2316"/>
      <c r="Q207" s="2316"/>
      <c r="R207" s="2316"/>
      <c r="S207" s="2316"/>
      <c r="T207" s="2316"/>
      <c r="U207" s="2317" t="s">
        <v>1851</v>
      </c>
      <c r="V207" s="2317"/>
      <c r="W207" s="2317"/>
      <c r="X207" s="2317"/>
      <c r="Y207" s="2317" t="s">
        <v>1851</v>
      </c>
      <c r="Z207" s="2317"/>
      <c r="AA207" s="2317"/>
      <c r="AB207" s="2317"/>
      <c r="AC207" s="2318" t="s">
        <v>1851</v>
      </c>
      <c r="AD207" s="2318"/>
      <c r="AE207" s="2318"/>
      <c r="AF207" s="2318"/>
      <c r="AG207" s="2310"/>
      <c r="AH207" s="2311"/>
      <c r="AI207" s="2311"/>
      <c r="AJ207" s="2311"/>
      <c r="AK207" s="2312"/>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2313">
        <v>5</v>
      </c>
      <c r="D208" s="2314"/>
      <c r="E208" s="2314"/>
      <c r="F208" s="2314"/>
      <c r="G208" s="2315" t="s">
        <v>1851</v>
      </c>
      <c r="H208" s="2315"/>
      <c r="I208" s="2315"/>
      <c r="J208" s="2315"/>
      <c r="K208" s="2315"/>
      <c r="L208" s="2315"/>
      <c r="M208" s="2315"/>
      <c r="N208" s="2315"/>
      <c r="O208" s="2315"/>
      <c r="P208" s="2316"/>
      <c r="Q208" s="2316"/>
      <c r="R208" s="2316"/>
      <c r="S208" s="2316"/>
      <c r="T208" s="2316"/>
      <c r="U208" s="2317" t="s">
        <v>1851</v>
      </c>
      <c r="V208" s="2317"/>
      <c r="W208" s="2317"/>
      <c r="X208" s="2317"/>
      <c r="Y208" s="2317" t="s">
        <v>1851</v>
      </c>
      <c r="Z208" s="2317"/>
      <c r="AA208" s="2317"/>
      <c r="AB208" s="2317"/>
      <c r="AC208" s="2318" t="s">
        <v>1851</v>
      </c>
      <c r="AD208" s="2318"/>
      <c r="AE208" s="2318"/>
      <c r="AF208" s="2318"/>
      <c r="AG208" s="2310"/>
      <c r="AH208" s="2311"/>
      <c r="AI208" s="2311"/>
      <c r="AJ208" s="2311"/>
      <c r="AK208" s="2312"/>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2313">
        <v>6</v>
      </c>
      <c r="D209" s="2314"/>
      <c r="E209" s="2314"/>
      <c r="F209" s="2314"/>
      <c r="G209" s="2315" t="s">
        <v>1851</v>
      </c>
      <c r="H209" s="2315"/>
      <c r="I209" s="2315"/>
      <c r="J209" s="2315"/>
      <c r="K209" s="2315"/>
      <c r="L209" s="2315"/>
      <c r="M209" s="2315"/>
      <c r="N209" s="2315"/>
      <c r="O209" s="2315"/>
      <c r="P209" s="2316"/>
      <c r="Q209" s="2316"/>
      <c r="R209" s="2316"/>
      <c r="S209" s="2316"/>
      <c r="T209" s="2316"/>
      <c r="U209" s="2317"/>
      <c r="V209" s="2317"/>
      <c r="W209" s="2317"/>
      <c r="X209" s="2317"/>
      <c r="Y209" s="2317"/>
      <c r="Z209" s="2317"/>
      <c r="AA209" s="2317"/>
      <c r="AB209" s="2317"/>
      <c r="AC209" s="2318" t="s">
        <v>1851</v>
      </c>
      <c r="AD209" s="2318"/>
      <c r="AE209" s="2318"/>
      <c r="AF209" s="2318"/>
      <c r="AG209" s="2310"/>
      <c r="AH209" s="2311"/>
      <c r="AI209" s="2311"/>
      <c r="AJ209" s="2311"/>
      <c r="AK209" s="2312"/>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2313">
        <v>7</v>
      </c>
      <c r="D210" s="2314"/>
      <c r="E210" s="2314"/>
      <c r="F210" s="2314"/>
      <c r="G210" s="2315"/>
      <c r="H210" s="2315"/>
      <c r="I210" s="2315"/>
      <c r="J210" s="2315"/>
      <c r="K210" s="2315"/>
      <c r="L210" s="2315"/>
      <c r="M210" s="2315"/>
      <c r="N210" s="2315"/>
      <c r="O210" s="2315"/>
      <c r="P210" s="2316"/>
      <c r="Q210" s="2316"/>
      <c r="R210" s="2316"/>
      <c r="S210" s="2316"/>
      <c r="T210" s="2316"/>
      <c r="U210" s="2317"/>
      <c r="V210" s="2317"/>
      <c r="W210" s="2317"/>
      <c r="X210" s="2317"/>
      <c r="Y210" s="2317"/>
      <c r="Z210" s="2317"/>
      <c r="AA210" s="2317"/>
      <c r="AB210" s="2317"/>
      <c r="AC210" s="2318" t="s">
        <v>1851</v>
      </c>
      <c r="AD210" s="2318"/>
      <c r="AE210" s="2318"/>
      <c r="AF210" s="2318"/>
      <c r="AG210" s="2310"/>
      <c r="AH210" s="2311"/>
      <c r="AI210" s="2311"/>
      <c r="AJ210" s="2311"/>
      <c r="AK210" s="2312"/>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2332" t="s">
        <v>2228</v>
      </c>
      <c r="D211" s="2333"/>
      <c r="E211" s="2333"/>
      <c r="F211" s="2333"/>
      <c r="G211" s="2333"/>
      <c r="H211" s="2333"/>
      <c r="I211" s="2333"/>
      <c r="J211" s="2333"/>
      <c r="K211" s="2333"/>
      <c r="L211" s="2333"/>
      <c r="M211" s="2333"/>
      <c r="N211" s="2333"/>
      <c r="O211" s="2333"/>
      <c r="P211" s="2334"/>
      <c r="Q211" s="2334"/>
      <c r="R211" s="2334"/>
      <c r="S211" s="2334"/>
      <c r="T211" s="2334"/>
      <c r="U211" s="2335">
        <f>-SUM(U204:U210)</f>
        <v>0</v>
      </c>
      <c r="V211" s="2335"/>
      <c r="W211" s="2335"/>
      <c r="X211" s="2335"/>
      <c r="Y211" s="2335">
        <f>-SUM(Y204:Y210)</f>
        <v>0</v>
      </c>
      <c r="Z211" s="2335"/>
      <c r="AA211" s="2335"/>
      <c r="AB211" s="2335"/>
      <c r="AC211" s="2336">
        <f>-SUM(AC204:AC210)</f>
        <v>0</v>
      </c>
      <c r="AD211" s="2336"/>
      <c r="AE211" s="2336"/>
      <c r="AF211" s="2336"/>
      <c r="AG211" s="2337"/>
      <c r="AH211" s="2338"/>
      <c r="AI211" s="2338"/>
      <c r="AJ211" s="2338"/>
      <c r="AK211" s="2339"/>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2227</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2320" t="s">
        <v>2226</v>
      </c>
      <c r="C216" s="2321"/>
      <c r="D216" s="2321"/>
      <c r="E216" s="2321"/>
      <c r="F216" s="2321"/>
      <c r="G216" s="2321"/>
      <c r="H216" s="2321"/>
      <c r="I216" s="2321"/>
      <c r="J216" s="2321"/>
      <c r="K216" s="2321"/>
      <c r="L216" s="2321"/>
      <c r="M216" s="2321"/>
      <c r="N216" s="2321"/>
      <c r="O216" s="2321"/>
      <c r="P216" s="2321"/>
      <c r="Q216" s="2321"/>
      <c r="R216" s="2321"/>
      <c r="S216" s="2321"/>
      <c r="T216" s="2321"/>
      <c r="U216" s="2321"/>
      <c r="V216" s="2321"/>
      <c r="W216" s="2321"/>
      <c r="X216" s="2321"/>
      <c r="Y216" s="2321"/>
      <c r="Z216" s="2321"/>
      <c r="AA216" s="2321"/>
      <c r="AB216" s="2321"/>
      <c r="AC216" s="2321"/>
      <c r="AD216" s="2321"/>
      <c r="AE216" s="2321"/>
      <c r="AF216" s="2321"/>
      <c r="AG216" s="2321"/>
      <c r="AH216" s="2321"/>
      <c r="AI216" s="2321"/>
      <c r="AJ216" s="2321"/>
      <c r="AK216" s="2321"/>
      <c r="AL216" s="2321"/>
      <c r="AM216" s="2321"/>
      <c r="AN216" s="2321"/>
      <c r="AO216" s="2321"/>
      <c r="AP216" s="2321"/>
      <c r="AQ216" s="2321"/>
      <c r="AR216" s="2321"/>
      <c r="AS216" s="2321"/>
      <c r="AT216" s="2321"/>
      <c r="AU216" s="2321"/>
      <c r="AV216" s="2321"/>
      <c r="AW216" s="2321"/>
      <c r="AX216" s="2321"/>
      <c r="AY216" s="2321"/>
      <c r="AZ216" s="2321"/>
      <c r="BA216" s="2321"/>
      <c r="BB216" s="2321"/>
      <c r="BC216" s="2321"/>
      <c r="BD216" s="2322"/>
      <c r="BE216" s="1209"/>
    </row>
    <row r="217" spans="1:57" ht="15.75" customHeight="1">
      <c r="A217" s="1202"/>
      <c r="B217" s="2323"/>
      <c r="C217" s="2324"/>
      <c r="D217" s="2324"/>
      <c r="E217" s="2324"/>
      <c r="F217" s="2324"/>
      <c r="G217" s="2324"/>
      <c r="H217" s="2324"/>
      <c r="I217" s="2324"/>
      <c r="J217" s="2324"/>
      <c r="K217" s="2324"/>
      <c r="L217" s="2324"/>
      <c r="M217" s="2324"/>
      <c r="N217" s="2324"/>
      <c r="O217" s="2324"/>
      <c r="P217" s="2324"/>
      <c r="Q217" s="2324"/>
      <c r="R217" s="2324"/>
      <c r="S217" s="2324"/>
      <c r="T217" s="2324"/>
      <c r="U217" s="2324"/>
      <c r="V217" s="2324"/>
      <c r="W217" s="2324"/>
      <c r="X217" s="2324"/>
      <c r="Y217" s="2324"/>
      <c r="Z217" s="2324"/>
      <c r="AA217" s="2324"/>
      <c r="AB217" s="2324"/>
      <c r="AC217" s="2324"/>
      <c r="AD217" s="2324"/>
      <c r="AE217" s="2324"/>
      <c r="AF217" s="2324"/>
      <c r="AG217" s="2324"/>
      <c r="AH217" s="2324"/>
      <c r="AI217" s="2324"/>
      <c r="AJ217" s="2324"/>
      <c r="AK217" s="2324"/>
      <c r="AL217" s="2324"/>
      <c r="AM217" s="2324"/>
      <c r="AN217" s="2324"/>
      <c r="AO217" s="2324"/>
      <c r="AP217" s="2324"/>
      <c r="AQ217" s="2324"/>
      <c r="AR217" s="2324"/>
      <c r="AS217" s="2324"/>
      <c r="AT217" s="2324"/>
      <c r="AU217" s="2324"/>
      <c r="AV217" s="2324"/>
      <c r="AW217" s="2324"/>
      <c r="AX217" s="2324"/>
      <c r="AY217" s="2324"/>
      <c r="AZ217" s="2324"/>
      <c r="BA217" s="2324"/>
      <c r="BB217" s="2324"/>
      <c r="BC217" s="2324"/>
      <c r="BD217" s="2325"/>
      <c r="BE217" s="1209"/>
    </row>
    <row r="218" spans="1:57" ht="15.75" customHeight="1">
      <c r="A218" s="1202"/>
      <c r="B218" s="2326" t="s">
        <v>2225</v>
      </c>
      <c r="C218" s="2327"/>
      <c r="D218" s="2327"/>
      <c r="E218" s="2327"/>
      <c r="F218" s="2327"/>
      <c r="G218" s="2327"/>
      <c r="H218" s="2327"/>
      <c r="I218" s="2327"/>
      <c r="J218" s="2327"/>
      <c r="K218" s="2327"/>
      <c r="L218" s="2327"/>
      <c r="M218" s="2327"/>
      <c r="N218" s="2327"/>
      <c r="O218" s="2327"/>
      <c r="P218" s="2327"/>
      <c r="Q218" s="2327"/>
      <c r="R218" s="2327"/>
      <c r="S218" s="2327"/>
      <c r="T218" s="2327"/>
      <c r="U218" s="2327"/>
      <c r="V218" s="2327"/>
      <c r="W218" s="2327"/>
      <c r="X218" s="2327"/>
      <c r="Y218" s="2327"/>
      <c r="Z218" s="2327"/>
      <c r="AA218" s="2327"/>
      <c r="AB218" s="2327"/>
      <c r="AC218" s="2327"/>
      <c r="AD218" s="2327"/>
      <c r="AE218" s="2327"/>
      <c r="AF218" s="2327"/>
      <c r="AG218" s="2327"/>
      <c r="AH218" s="2327"/>
      <c r="AI218" s="2327"/>
      <c r="AJ218" s="2327"/>
      <c r="AK218" s="2327"/>
      <c r="AL218" s="2327"/>
      <c r="AM218" s="2327"/>
      <c r="AN218" s="2327"/>
      <c r="AO218" s="2327"/>
      <c r="AP218" s="2327"/>
      <c r="AQ218" s="2327"/>
      <c r="AR218" s="2327"/>
      <c r="AS218" s="2327"/>
      <c r="AT218" s="2327"/>
      <c r="AU218" s="2327"/>
      <c r="AV218" s="2327"/>
      <c r="AW218" s="2327"/>
      <c r="AX218" s="2327"/>
      <c r="AY218" s="2327"/>
      <c r="AZ218" s="2327"/>
      <c r="BA218" s="2327"/>
      <c r="BB218" s="2327"/>
      <c r="BC218" s="2327"/>
      <c r="BD218" s="2328"/>
      <c r="BE218" s="1209"/>
    </row>
    <row r="219" spans="1:57" ht="15.75" customHeight="1">
      <c r="A219" s="1202"/>
      <c r="B219" s="2326" t="s">
        <v>2224</v>
      </c>
      <c r="C219" s="2327"/>
      <c r="D219" s="2327"/>
      <c r="E219" s="2327"/>
      <c r="F219" s="2327"/>
      <c r="G219" s="2327"/>
      <c r="H219" s="2327"/>
      <c r="I219" s="2327"/>
      <c r="J219" s="2327"/>
      <c r="K219" s="2327"/>
      <c r="L219" s="2327"/>
      <c r="M219" s="2327"/>
      <c r="N219" s="2327"/>
      <c r="O219" s="2327"/>
      <c r="P219" s="2327"/>
      <c r="Q219" s="2327"/>
      <c r="R219" s="2327"/>
      <c r="S219" s="2327"/>
      <c r="T219" s="2327"/>
      <c r="U219" s="2327"/>
      <c r="V219" s="2327"/>
      <c r="W219" s="2327"/>
      <c r="X219" s="2327"/>
      <c r="Y219" s="2327"/>
      <c r="Z219" s="2327"/>
      <c r="AA219" s="2327"/>
      <c r="AB219" s="2327"/>
      <c r="AC219" s="2327"/>
      <c r="AD219" s="2327"/>
      <c r="AE219" s="2327"/>
      <c r="AF219" s="2327"/>
      <c r="AG219" s="2327"/>
      <c r="AH219" s="2327"/>
      <c r="AI219" s="2327"/>
      <c r="AJ219" s="2327"/>
      <c r="AK219" s="2327"/>
      <c r="AL219" s="2327"/>
      <c r="AM219" s="2327"/>
      <c r="AN219" s="2327"/>
      <c r="AO219" s="2327"/>
      <c r="AP219" s="2327"/>
      <c r="AQ219" s="2327"/>
      <c r="AR219" s="2327"/>
      <c r="AS219" s="2327"/>
      <c r="AT219" s="2327"/>
      <c r="AU219" s="2327"/>
      <c r="AV219" s="2327"/>
      <c r="AW219" s="2327"/>
      <c r="AX219" s="2327"/>
      <c r="AY219" s="2327"/>
      <c r="AZ219" s="2327"/>
      <c r="BA219" s="2327"/>
      <c r="BB219" s="2327"/>
      <c r="BC219" s="2327"/>
      <c r="BD219" s="2328"/>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2329" t="s">
        <v>2223</v>
      </c>
      <c r="C221" s="2219"/>
      <c r="D221" s="2219"/>
      <c r="E221" s="2219"/>
      <c r="F221" s="2219"/>
      <c r="G221" s="2219"/>
      <c r="H221" s="2219"/>
      <c r="I221" s="2219"/>
      <c r="J221" s="2219"/>
      <c r="K221" s="2219"/>
      <c r="L221" s="2219"/>
      <c r="M221" s="2219"/>
      <c r="N221" s="2219"/>
      <c r="O221" s="2219"/>
      <c r="P221" s="2219"/>
      <c r="Q221" s="2219"/>
      <c r="R221" s="2219"/>
      <c r="S221" s="2219"/>
      <c r="T221" s="2219"/>
      <c r="U221" s="2219"/>
      <c r="V221" s="2219"/>
      <c r="W221" s="2219"/>
      <c r="X221" s="2219"/>
      <c r="Y221" s="2219"/>
      <c r="Z221" s="2219"/>
      <c r="AA221" s="2219"/>
      <c r="AB221" s="2219"/>
      <c r="AC221" s="2219"/>
      <c r="AD221" s="2219"/>
      <c r="AE221" s="2219"/>
      <c r="AF221" s="2219"/>
      <c r="AG221" s="2219"/>
      <c r="AH221" s="2219"/>
      <c r="AI221" s="2219"/>
      <c r="AJ221" s="2219"/>
      <c r="AK221" s="2219"/>
      <c r="AL221" s="2219"/>
      <c r="AM221" s="2219"/>
      <c r="AN221" s="2219"/>
      <c r="AO221" s="2219"/>
      <c r="AP221" s="2219"/>
      <c r="AQ221" s="2219"/>
      <c r="AR221" s="2219"/>
      <c r="AS221" s="2219"/>
      <c r="AT221" s="2219"/>
      <c r="AU221" s="2219"/>
      <c r="AV221" s="2219"/>
      <c r="AW221" s="2219"/>
      <c r="AX221" s="2219"/>
      <c r="AY221" s="2219"/>
      <c r="AZ221" s="2219"/>
      <c r="BA221" s="2219"/>
      <c r="BB221" s="2219"/>
      <c r="BC221" s="2219"/>
      <c r="BD221" s="2330"/>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2222</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2331" t="s">
        <v>2221</v>
      </c>
      <c r="I225" s="2331"/>
      <c r="J225" s="2331"/>
      <c r="K225" s="2331"/>
      <c r="L225" s="2331"/>
      <c r="M225" s="2331"/>
      <c r="N225" s="2331"/>
      <c r="O225" s="2331"/>
      <c r="P225" s="2331"/>
      <c r="Q225" s="2331"/>
      <c r="R225" s="2331"/>
      <c r="S225" s="2331"/>
      <c r="T225" s="2331"/>
      <c r="U225" s="2331"/>
      <c r="V225" s="2331"/>
      <c r="W225" s="2331"/>
      <c r="X225" s="2331"/>
      <c r="Y225" s="2331"/>
      <c r="Z225" s="2331"/>
      <c r="AA225" s="2331"/>
      <c r="AB225" s="2331"/>
      <c r="AC225" s="2331"/>
      <c r="AD225" s="2331"/>
      <c r="AE225" s="2331"/>
      <c r="AF225" s="2331"/>
      <c r="AG225" s="2331"/>
      <c r="AH225" s="2331"/>
      <c r="AI225" s="2331"/>
      <c r="AJ225" s="2331"/>
      <c r="AK225" s="2331"/>
      <c r="AL225" s="2331"/>
      <c r="AM225" s="2331"/>
      <c r="AN225" s="2331"/>
      <c r="AO225" s="2331"/>
      <c r="AP225" s="2331"/>
      <c r="AQ225" s="2331"/>
      <c r="AR225" s="2331"/>
      <c r="AS225" s="2331"/>
      <c r="AT225" s="2331"/>
      <c r="AU225" s="2331"/>
      <c r="AV225" s="2331"/>
      <c r="AW225" s="2331"/>
      <c r="AX225" s="2331"/>
      <c r="AY225" s="2331"/>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2349" t="s">
        <v>2220</v>
      </c>
      <c r="I227" s="2349"/>
      <c r="J227" s="2349"/>
      <c r="K227" s="2349"/>
      <c r="L227" s="2349"/>
      <c r="M227" s="2349"/>
      <c r="N227" s="2349"/>
      <c r="O227" s="2349"/>
      <c r="P227" s="2349"/>
      <c r="Q227" s="2349"/>
      <c r="R227" s="2349"/>
      <c r="S227" s="2349"/>
      <c r="T227" s="2349"/>
      <c r="U227" s="2349"/>
      <c r="V227" s="2349"/>
      <c r="W227" s="2349"/>
      <c r="X227" s="2349"/>
      <c r="Y227" s="2349"/>
      <c r="Z227" s="2349"/>
      <c r="AA227" s="2349"/>
      <c r="AB227" s="2349"/>
      <c r="AC227" s="2349"/>
      <c r="AD227" s="2349"/>
      <c r="AE227" s="2349"/>
      <c r="AF227" s="2349"/>
      <c r="AG227" s="2349"/>
      <c r="AH227" s="2349"/>
      <c r="AI227" s="2349"/>
      <c r="AJ227" s="2349"/>
      <c r="AK227" s="2349"/>
      <c r="AL227" s="2349"/>
      <c r="AM227" s="2349"/>
      <c r="AN227" s="2349"/>
      <c r="AO227" s="2349"/>
      <c r="AP227" s="2349"/>
      <c r="AQ227" s="2349"/>
      <c r="AR227" s="2349"/>
      <c r="AS227" s="2349"/>
      <c r="AT227" s="2349"/>
      <c r="AU227" s="2349"/>
      <c r="AV227" s="2349"/>
      <c r="AW227" s="2349"/>
      <c r="AX227" s="2349"/>
      <c r="AY227" s="2349"/>
      <c r="AZ227" s="2349"/>
      <c r="BA227" s="1202"/>
      <c r="BB227" s="1202"/>
      <c r="BC227" s="1202"/>
      <c r="BD227" s="1209"/>
      <c r="BE227" s="1209"/>
    </row>
    <row r="228" spans="1:57" ht="15.75" customHeight="1">
      <c r="A228" s="1202"/>
      <c r="B228" s="1201"/>
      <c r="C228" s="1202"/>
      <c r="D228" s="1202"/>
      <c r="E228" s="1202"/>
      <c r="F228" s="1202"/>
      <c r="G228" s="1202"/>
      <c r="H228" s="2349"/>
      <c r="I228" s="2349"/>
      <c r="J228" s="2349"/>
      <c r="K228" s="2349"/>
      <c r="L228" s="2349"/>
      <c r="M228" s="2349"/>
      <c r="N228" s="2349"/>
      <c r="O228" s="2349"/>
      <c r="P228" s="2349"/>
      <c r="Q228" s="2349"/>
      <c r="R228" s="2349"/>
      <c r="S228" s="2349"/>
      <c r="T228" s="2349"/>
      <c r="U228" s="2349"/>
      <c r="V228" s="2349"/>
      <c r="W228" s="2349"/>
      <c r="X228" s="2349"/>
      <c r="Y228" s="2349"/>
      <c r="Z228" s="2349"/>
      <c r="AA228" s="2349"/>
      <c r="AB228" s="2349"/>
      <c r="AC228" s="2349"/>
      <c r="AD228" s="2349"/>
      <c r="AE228" s="2349"/>
      <c r="AF228" s="2349"/>
      <c r="AG228" s="2349"/>
      <c r="AH228" s="2349"/>
      <c r="AI228" s="2349"/>
      <c r="AJ228" s="2349"/>
      <c r="AK228" s="2349"/>
      <c r="AL228" s="2349"/>
      <c r="AM228" s="2349"/>
      <c r="AN228" s="2349"/>
      <c r="AO228" s="2349"/>
      <c r="AP228" s="2349"/>
      <c r="AQ228" s="2349"/>
      <c r="AR228" s="2349"/>
      <c r="AS228" s="2349"/>
      <c r="AT228" s="2349"/>
      <c r="AU228" s="2349"/>
      <c r="AV228" s="2349"/>
      <c r="AW228" s="2349"/>
      <c r="AX228" s="2349"/>
      <c r="AY228" s="2349"/>
      <c r="AZ228" s="2349"/>
      <c r="BA228" s="1202"/>
      <c r="BB228" s="1202"/>
      <c r="BC228" s="1202"/>
      <c r="BD228" s="1209"/>
      <c r="BE228" s="1209"/>
    </row>
    <row r="229" spans="1:57" ht="15.75" customHeight="1">
      <c r="A229" s="1202"/>
      <c r="B229" s="1201"/>
      <c r="C229" s="1202"/>
      <c r="D229" s="1202"/>
      <c r="E229" s="1202"/>
      <c r="F229" s="1202"/>
      <c r="G229" s="1202"/>
      <c r="H229" s="2349"/>
      <c r="I229" s="2349"/>
      <c r="J229" s="2349"/>
      <c r="K229" s="2349"/>
      <c r="L229" s="2349"/>
      <c r="M229" s="2349"/>
      <c r="N229" s="2349"/>
      <c r="O229" s="2349"/>
      <c r="P229" s="2349"/>
      <c r="Q229" s="2349"/>
      <c r="R229" s="2349"/>
      <c r="S229" s="2349"/>
      <c r="T229" s="2349"/>
      <c r="U229" s="2349"/>
      <c r="V229" s="2349"/>
      <c r="W229" s="2349"/>
      <c r="X229" s="2349"/>
      <c r="Y229" s="2349"/>
      <c r="Z229" s="2349"/>
      <c r="AA229" s="2349"/>
      <c r="AB229" s="2349"/>
      <c r="AC229" s="2349"/>
      <c r="AD229" s="2349"/>
      <c r="AE229" s="2349"/>
      <c r="AF229" s="2349"/>
      <c r="AG229" s="2349"/>
      <c r="AH229" s="2349"/>
      <c r="AI229" s="2349"/>
      <c r="AJ229" s="2349"/>
      <c r="AK229" s="2349"/>
      <c r="AL229" s="2349"/>
      <c r="AM229" s="2349"/>
      <c r="AN229" s="2349"/>
      <c r="AO229" s="2349"/>
      <c r="AP229" s="2349"/>
      <c r="AQ229" s="2349"/>
      <c r="AR229" s="2349"/>
      <c r="AS229" s="2349"/>
      <c r="AT229" s="2349"/>
      <c r="AU229" s="2349"/>
      <c r="AV229" s="2349"/>
      <c r="AW229" s="2349"/>
      <c r="AX229" s="2349"/>
      <c r="AY229" s="2349"/>
      <c r="AZ229" s="2349"/>
      <c r="BA229" s="1202"/>
      <c r="BB229" s="1202"/>
      <c r="BC229" s="1202"/>
      <c r="BD229" s="1209"/>
      <c r="BE229" s="1209"/>
    </row>
    <row r="230" spans="1:57" ht="15.75" customHeight="1">
      <c r="A230" s="1202"/>
      <c r="B230" s="1201"/>
      <c r="C230" s="1202"/>
      <c r="D230" s="1202"/>
      <c r="E230" s="1202"/>
      <c r="F230" s="1202"/>
      <c r="G230" s="1202"/>
      <c r="H230" s="2349"/>
      <c r="I230" s="2349"/>
      <c r="J230" s="2349"/>
      <c r="K230" s="2349"/>
      <c r="L230" s="2349"/>
      <c r="M230" s="2349"/>
      <c r="N230" s="2349"/>
      <c r="O230" s="2349"/>
      <c r="P230" s="2349"/>
      <c r="Q230" s="2349"/>
      <c r="R230" s="2349"/>
      <c r="S230" s="2349"/>
      <c r="T230" s="2349"/>
      <c r="U230" s="2349"/>
      <c r="V230" s="2349"/>
      <c r="W230" s="2349"/>
      <c r="X230" s="2349"/>
      <c r="Y230" s="2349"/>
      <c r="Z230" s="2349"/>
      <c r="AA230" s="2349"/>
      <c r="AB230" s="2349"/>
      <c r="AC230" s="2349"/>
      <c r="AD230" s="2349"/>
      <c r="AE230" s="2349"/>
      <c r="AF230" s="2349"/>
      <c r="AG230" s="2349"/>
      <c r="AH230" s="2349"/>
      <c r="AI230" s="2349"/>
      <c r="AJ230" s="2349"/>
      <c r="AK230" s="2349"/>
      <c r="AL230" s="2349"/>
      <c r="AM230" s="2349"/>
      <c r="AN230" s="2349"/>
      <c r="AO230" s="2349"/>
      <c r="AP230" s="2349"/>
      <c r="AQ230" s="2349"/>
      <c r="AR230" s="2349"/>
      <c r="AS230" s="2349"/>
      <c r="AT230" s="2349"/>
      <c r="AU230" s="2349"/>
      <c r="AV230" s="2349"/>
      <c r="AW230" s="2349"/>
      <c r="AX230" s="2349"/>
      <c r="AY230" s="2349"/>
      <c r="AZ230" s="2349"/>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2350" t="s">
        <v>2219</v>
      </c>
      <c r="I232" s="2350"/>
      <c r="J232" s="2350"/>
      <c r="K232" s="2350"/>
      <c r="L232" s="2350"/>
      <c r="M232" s="2350"/>
      <c r="N232" s="2350"/>
      <c r="O232" s="2350"/>
      <c r="P232" s="2350"/>
      <c r="Q232" s="2350"/>
      <c r="R232" s="2350"/>
      <c r="S232" s="2350"/>
      <c r="T232" s="2350"/>
      <c r="U232" s="2350"/>
      <c r="V232" s="2350"/>
      <c r="W232" s="2350"/>
      <c r="X232" s="2350"/>
      <c r="Y232" s="2350"/>
      <c r="Z232" s="2350"/>
      <c r="AA232" s="2350"/>
      <c r="AB232" s="2350"/>
      <c r="AC232" s="2350"/>
      <c r="AD232" s="2350"/>
      <c r="AE232" s="2350"/>
      <c r="AF232" s="2350"/>
      <c r="AG232" s="2350"/>
      <c r="AH232" s="2350"/>
      <c r="AI232" s="2350"/>
      <c r="AJ232" s="2350"/>
      <c r="AK232" s="2350"/>
      <c r="AL232" s="2350"/>
      <c r="AM232" s="2350"/>
      <c r="AN232" s="2350"/>
      <c r="AO232" s="2350"/>
      <c r="AP232" s="2350"/>
      <c r="AQ232" s="2350"/>
      <c r="AR232" s="2350"/>
      <c r="AS232" s="2350"/>
      <c r="AT232" s="2350"/>
      <c r="AU232" s="2350"/>
      <c r="AV232" s="2350"/>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2340" t="s">
        <v>2218</v>
      </c>
      <c r="I234" s="2340"/>
      <c r="J234" s="2340"/>
      <c r="K234" s="2340"/>
      <c r="L234" s="1253"/>
      <c r="M234" s="1253"/>
      <c r="N234" s="1253"/>
      <c r="O234" s="1253"/>
      <c r="P234" s="1253"/>
      <c r="Q234" s="1253"/>
      <c r="R234" s="1253"/>
      <c r="S234" s="2351"/>
      <c r="T234" s="2352"/>
      <c r="U234" s="2352"/>
      <c r="V234" s="2352"/>
      <c r="W234" s="2352"/>
      <c r="X234" s="2352"/>
      <c r="Y234" s="2352"/>
      <c r="Z234" s="2352"/>
      <c r="AA234" s="2352"/>
      <c r="AB234" s="2352"/>
      <c r="AC234" s="2352"/>
      <c r="AD234" s="2352"/>
      <c r="AE234" s="2352"/>
      <c r="AF234" s="2352"/>
      <c r="AG234" s="2352"/>
      <c r="AH234" s="2352"/>
      <c r="AI234" s="2352"/>
      <c r="AJ234" s="2353"/>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2340" t="s">
        <v>2217</v>
      </c>
      <c r="I236" s="2340"/>
      <c r="J236" s="2340"/>
      <c r="K236" s="1255"/>
      <c r="L236" s="1253"/>
      <c r="M236" s="1253"/>
      <c r="N236" s="1253"/>
      <c r="O236" s="1253"/>
      <c r="P236" s="1253"/>
      <c r="Q236" s="1253"/>
      <c r="R236" s="1253"/>
      <c r="S236" s="2341"/>
      <c r="T236" s="2342"/>
      <c r="U236" s="2342"/>
      <c r="V236" s="2342"/>
      <c r="W236" s="2342"/>
      <c r="X236" s="2342"/>
      <c r="Y236" s="2342"/>
      <c r="Z236" s="2342"/>
      <c r="AA236" s="2342"/>
      <c r="AB236" s="2342"/>
      <c r="AC236" s="2342"/>
      <c r="AD236" s="2342"/>
      <c r="AE236" s="2342"/>
      <c r="AF236" s="2342"/>
      <c r="AG236" s="2342"/>
      <c r="AH236" s="2342"/>
      <c r="AI236" s="2342"/>
      <c r="AJ236" s="2343"/>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2340" t="s">
        <v>439</v>
      </c>
      <c r="I238" s="2340"/>
      <c r="J238" s="1255"/>
      <c r="K238" s="1255"/>
      <c r="L238" s="1253"/>
      <c r="M238" s="1253"/>
      <c r="N238" s="1253"/>
      <c r="O238" s="1253"/>
      <c r="P238" s="1253"/>
      <c r="Q238" s="1253"/>
      <c r="R238" s="1253"/>
      <c r="S238" s="2341"/>
      <c r="T238" s="2342"/>
      <c r="U238" s="2342"/>
      <c r="V238" s="2342"/>
      <c r="W238" s="2342"/>
      <c r="X238" s="2342"/>
      <c r="Y238" s="2342"/>
      <c r="Z238" s="2342"/>
      <c r="AA238" s="2342"/>
      <c r="AB238" s="2342"/>
      <c r="AC238" s="2342"/>
      <c r="AD238" s="2342"/>
      <c r="AE238" s="2342"/>
      <c r="AF238" s="2342"/>
      <c r="AG238" s="2342"/>
      <c r="AH238" s="2342"/>
      <c r="AI238" s="2342"/>
      <c r="AJ238" s="2343"/>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2344" t="s">
        <v>2216</v>
      </c>
      <c r="I240" s="2344"/>
      <c r="J240" s="2344"/>
      <c r="K240" s="2344"/>
      <c r="L240" s="2344"/>
      <c r="M240" s="2344"/>
      <c r="N240" s="2344"/>
      <c r="O240" s="2344"/>
      <c r="P240" s="1253"/>
      <c r="Q240" s="1253"/>
      <c r="R240" s="1253"/>
      <c r="S240" s="2341"/>
      <c r="T240" s="2342"/>
      <c r="U240" s="2342"/>
      <c r="V240" s="2342"/>
      <c r="W240" s="2342"/>
      <c r="X240" s="2342"/>
      <c r="Y240" s="2342"/>
      <c r="Z240" s="2342"/>
      <c r="AA240" s="2342"/>
      <c r="AB240" s="2342"/>
      <c r="AC240" s="2342"/>
      <c r="AD240" s="2342"/>
      <c r="AE240" s="2342"/>
      <c r="AF240" s="2342"/>
      <c r="AG240" s="2342"/>
      <c r="AH240" s="2342"/>
      <c r="AI240" s="2342"/>
      <c r="AJ240" s="2343"/>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2345" t="s">
        <v>2215</v>
      </c>
      <c r="I242" s="2345"/>
      <c r="J242" s="1253"/>
      <c r="K242" s="1253"/>
      <c r="L242" s="1253"/>
      <c r="M242" s="1253"/>
      <c r="N242" s="1253"/>
      <c r="O242" s="1253"/>
      <c r="P242" s="1253"/>
      <c r="Q242" s="1253"/>
      <c r="R242" s="1253"/>
      <c r="S242" s="2346"/>
      <c r="T242" s="2347"/>
      <c r="U242" s="2347"/>
      <c r="V242" s="2347"/>
      <c r="W242" s="2347"/>
      <c r="X242" s="2347"/>
      <c r="Y242" s="2347"/>
      <c r="Z242" s="2347"/>
      <c r="AA242" s="2347"/>
      <c r="AB242" s="2347"/>
      <c r="AC242" s="2347"/>
      <c r="AD242" s="2347"/>
      <c r="AE242" s="2347"/>
      <c r="AF242" s="2347"/>
      <c r="AG242" s="2347"/>
      <c r="AH242" s="2347"/>
      <c r="AI242" s="2347"/>
      <c r="AJ242" s="2348"/>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249</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1"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workbookViewId="0">
      <selection activeCell="AB49" sqref="AB49:AF49"/>
    </sheetView>
  </sheetViews>
  <sheetFormatPr defaultColWidth="0" defaultRowHeight="12.95" customHeight="1" zeroHeight="1"/>
  <cols>
    <col min="1" max="1" width="1.42578125" style="398" customWidth="1"/>
    <col min="2" max="2" width="0.85546875" style="398" customWidth="1"/>
    <col min="3" max="18" width="2.42578125" style="398" customWidth="1"/>
    <col min="19" max="19" width="6.28515625" style="398" customWidth="1"/>
    <col min="20" max="39" width="2.7109375" style="398" customWidth="1"/>
    <col min="40" max="40" width="1.42578125" style="398" customWidth="1"/>
    <col min="41" max="256" width="2.42578125" style="398" hidden="1"/>
    <col min="257" max="257" width="1.42578125" style="398" hidden="1" customWidth="1"/>
    <col min="258" max="258" width="0.85546875" style="398" hidden="1" customWidth="1"/>
    <col min="259" max="274" width="2.42578125" style="398" hidden="1" customWidth="1"/>
    <col min="275" max="275" width="4" style="398" hidden="1" customWidth="1"/>
    <col min="276" max="295" width="2.42578125" style="398" hidden="1" customWidth="1"/>
    <col min="296" max="296" width="1.42578125" style="398" hidden="1" customWidth="1"/>
    <col min="297" max="512" width="2.42578125" style="398" hidden="1"/>
    <col min="513" max="513" width="1.42578125" style="398" hidden="1" customWidth="1"/>
    <col min="514" max="514" width="0.85546875" style="398" hidden="1" customWidth="1"/>
    <col min="515" max="530" width="2.42578125" style="398" hidden="1" customWidth="1"/>
    <col min="531" max="531" width="4" style="398" hidden="1" customWidth="1"/>
    <col min="532" max="551" width="2.42578125" style="398" hidden="1" customWidth="1"/>
    <col min="552" max="552" width="1.42578125" style="398" hidden="1" customWidth="1"/>
    <col min="553" max="768" width="2.42578125" style="398" hidden="1"/>
    <col min="769" max="769" width="1.42578125" style="398" hidden="1" customWidth="1"/>
    <col min="770" max="770" width="0.85546875" style="398" hidden="1" customWidth="1"/>
    <col min="771" max="786" width="2.42578125" style="398" hidden="1" customWidth="1"/>
    <col min="787" max="787" width="4" style="398" hidden="1" customWidth="1"/>
    <col min="788" max="807" width="2.42578125" style="398" hidden="1" customWidth="1"/>
    <col min="808" max="808" width="1.42578125" style="398" hidden="1" customWidth="1"/>
    <col min="809" max="1024" width="2.42578125" style="398" hidden="1"/>
    <col min="1025" max="1025" width="1.42578125" style="398" hidden="1" customWidth="1"/>
    <col min="1026" max="1026" width="0.85546875" style="398" hidden="1" customWidth="1"/>
    <col min="1027" max="1042" width="2.42578125" style="398" hidden="1" customWidth="1"/>
    <col min="1043" max="1043" width="4" style="398" hidden="1" customWidth="1"/>
    <col min="1044" max="1063" width="2.42578125" style="398" hidden="1" customWidth="1"/>
    <col min="1064" max="1064" width="1.42578125" style="398" hidden="1" customWidth="1"/>
    <col min="1065" max="1280" width="2.42578125" style="398" hidden="1"/>
    <col min="1281" max="1281" width="1.42578125" style="398" hidden="1" customWidth="1"/>
    <col min="1282" max="1282" width="0.85546875" style="398" hidden="1" customWidth="1"/>
    <col min="1283" max="1298" width="2.42578125" style="398" hidden="1" customWidth="1"/>
    <col min="1299" max="1299" width="4" style="398" hidden="1" customWidth="1"/>
    <col min="1300" max="1319" width="2.42578125" style="398" hidden="1" customWidth="1"/>
    <col min="1320" max="1320" width="1.42578125" style="398" hidden="1" customWidth="1"/>
    <col min="1321" max="1536" width="2.42578125" style="398" hidden="1"/>
    <col min="1537" max="1537" width="1.42578125" style="398" hidden="1" customWidth="1"/>
    <col min="1538" max="1538" width="0.85546875" style="398" hidden="1" customWidth="1"/>
    <col min="1539" max="1554" width="2.42578125" style="398" hidden="1" customWidth="1"/>
    <col min="1555" max="1555" width="4" style="398" hidden="1" customWidth="1"/>
    <col min="1556" max="1575" width="2.42578125" style="398" hidden="1" customWidth="1"/>
    <col min="1576" max="1576" width="1.42578125" style="398" hidden="1" customWidth="1"/>
    <col min="1577" max="1792" width="2.42578125" style="398" hidden="1"/>
    <col min="1793" max="1793" width="1.42578125" style="398" hidden="1" customWidth="1"/>
    <col min="1794" max="1794" width="0.85546875" style="398" hidden="1" customWidth="1"/>
    <col min="1795" max="1810" width="2.42578125" style="398" hidden="1" customWidth="1"/>
    <col min="1811" max="1811" width="4" style="398" hidden="1" customWidth="1"/>
    <col min="1812" max="1831" width="2.42578125" style="398" hidden="1" customWidth="1"/>
    <col min="1832" max="1832" width="1.42578125" style="398" hidden="1" customWidth="1"/>
    <col min="1833" max="2048" width="2.42578125" style="398" hidden="1"/>
    <col min="2049" max="2049" width="1.42578125" style="398" hidden="1" customWidth="1"/>
    <col min="2050" max="2050" width="0.85546875" style="398" hidden="1" customWidth="1"/>
    <col min="2051" max="2066" width="2.42578125" style="398" hidden="1" customWidth="1"/>
    <col min="2067" max="2067" width="4" style="398" hidden="1" customWidth="1"/>
    <col min="2068" max="2087" width="2.42578125" style="398" hidden="1" customWidth="1"/>
    <col min="2088" max="2088" width="1.42578125" style="398" hidden="1" customWidth="1"/>
    <col min="2089" max="2304" width="2.42578125" style="398" hidden="1"/>
    <col min="2305" max="2305" width="1.42578125" style="398" hidden="1" customWidth="1"/>
    <col min="2306" max="2306" width="0.85546875" style="398" hidden="1" customWidth="1"/>
    <col min="2307" max="2322" width="2.42578125" style="398" hidden="1" customWidth="1"/>
    <col min="2323" max="2323" width="4" style="398" hidden="1" customWidth="1"/>
    <col min="2324" max="2343" width="2.42578125" style="398" hidden="1" customWidth="1"/>
    <col min="2344" max="2344" width="1.42578125" style="398" hidden="1" customWidth="1"/>
    <col min="2345" max="2560" width="2.42578125" style="398" hidden="1"/>
    <col min="2561" max="2561" width="1.42578125" style="398" hidden="1" customWidth="1"/>
    <col min="2562" max="2562" width="0.85546875" style="398" hidden="1" customWidth="1"/>
    <col min="2563" max="2578" width="2.42578125" style="398" hidden="1" customWidth="1"/>
    <col min="2579" max="2579" width="4" style="398" hidden="1" customWidth="1"/>
    <col min="2580" max="2599" width="2.42578125" style="398" hidden="1" customWidth="1"/>
    <col min="2600" max="2600" width="1.42578125" style="398" hidden="1" customWidth="1"/>
    <col min="2601" max="2816" width="2.42578125" style="398" hidden="1"/>
    <col min="2817" max="2817" width="1.42578125" style="398" hidden="1" customWidth="1"/>
    <col min="2818" max="2818" width="0.85546875" style="398" hidden="1" customWidth="1"/>
    <col min="2819" max="2834" width="2.42578125" style="398" hidden="1" customWidth="1"/>
    <col min="2835" max="2835" width="4" style="398" hidden="1" customWidth="1"/>
    <col min="2836" max="2855" width="2.42578125" style="398" hidden="1" customWidth="1"/>
    <col min="2856" max="2856" width="1.42578125" style="398" hidden="1" customWidth="1"/>
    <col min="2857" max="3072" width="2.42578125" style="398" hidden="1"/>
    <col min="3073" max="3073" width="1.42578125" style="398" hidden="1" customWidth="1"/>
    <col min="3074" max="3074" width="0.85546875" style="398" hidden="1" customWidth="1"/>
    <col min="3075" max="3090" width="2.42578125" style="398" hidden="1" customWidth="1"/>
    <col min="3091" max="3091" width="4" style="398" hidden="1" customWidth="1"/>
    <col min="3092" max="3111" width="2.42578125" style="398" hidden="1" customWidth="1"/>
    <col min="3112" max="3112" width="1.42578125" style="398" hidden="1" customWidth="1"/>
    <col min="3113" max="3328" width="2.42578125" style="398" hidden="1"/>
    <col min="3329" max="3329" width="1.42578125" style="398" hidden="1" customWidth="1"/>
    <col min="3330" max="3330" width="0.85546875" style="398" hidden="1" customWidth="1"/>
    <col min="3331" max="3346" width="2.42578125" style="398" hidden="1" customWidth="1"/>
    <col min="3347" max="3347" width="4" style="398" hidden="1" customWidth="1"/>
    <col min="3348" max="3367" width="2.42578125" style="398" hidden="1" customWidth="1"/>
    <col min="3368" max="3368" width="1.42578125" style="398" hidden="1" customWidth="1"/>
    <col min="3369" max="3584" width="2.42578125" style="398" hidden="1"/>
    <col min="3585" max="3585" width="1.42578125" style="398" hidden="1" customWidth="1"/>
    <col min="3586" max="3586" width="0.85546875" style="398" hidden="1" customWidth="1"/>
    <col min="3587" max="3602" width="2.42578125" style="398" hidden="1" customWidth="1"/>
    <col min="3603" max="3603" width="4" style="398" hidden="1" customWidth="1"/>
    <col min="3604" max="3623" width="2.42578125" style="398" hidden="1" customWidth="1"/>
    <col min="3624" max="3624" width="1.42578125" style="398" hidden="1" customWidth="1"/>
    <col min="3625" max="3840" width="2.42578125" style="398" hidden="1"/>
    <col min="3841" max="3841" width="1.42578125" style="398" hidden="1" customWidth="1"/>
    <col min="3842" max="3842" width="0.85546875" style="398" hidden="1" customWidth="1"/>
    <col min="3843" max="3858" width="2.42578125" style="398" hidden="1" customWidth="1"/>
    <col min="3859" max="3859" width="4" style="398" hidden="1" customWidth="1"/>
    <col min="3860" max="3879" width="2.42578125" style="398" hidden="1" customWidth="1"/>
    <col min="3880" max="3880" width="1.42578125" style="398" hidden="1" customWidth="1"/>
    <col min="3881" max="4096" width="2.42578125" style="398" hidden="1"/>
    <col min="4097" max="4097" width="1.42578125" style="398" hidden="1" customWidth="1"/>
    <col min="4098" max="4098" width="0.85546875" style="398" hidden="1" customWidth="1"/>
    <col min="4099" max="4114" width="2.42578125" style="398" hidden="1" customWidth="1"/>
    <col min="4115" max="4115" width="4" style="398" hidden="1" customWidth="1"/>
    <col min="4116" max="4135" width="2.42578125" style="398" hidden="1" customWidth="1"/>
    <col min="4136" max="4136" width="1.42578125" style="398" hidden="1" customWidth="1"/>
    <col min="4137" max="4352" width="2.42578125" style="398" hidden="1"/>
    <col min="4353" max="4353" width="1.42578125" style="398" hidden="1" customWidth="1"/>
    <col min="4354" max="4354" width="0.85546875" style="398" hidden="1" customWidth="1"/>
    <col min="4355" max="4370" width="2.42578125" style="398" hidden="1" customWidth="1"/>
    <col min="4371" max="4371" width="4" style="398" hidden="1" customWidth="1"/>
    <col min="4372" max="4391" width="2.42578125" style="398" hidden="1" customWidth="1"/>
    <col min="4392" max="4392" width="1.42578125" style="398" hidden="1" customWidth="1"/>
    <col min="4393" max="4608" width="2.42578125" style="398" hidden="1"/>
    <col min="4609" max="4609" width="1.42578125" style="398" hidden="1" customWidth="1"/>
    <col min="4610" max="4610" width="0.85546875" style="398" hidden="1" customWidth="1"/>
    <col min="4611" max="4626" width="2.42578125" style="398" hidden="1" customWidth="1"/>
    <col min="4627" max="4627" width="4" style="398" hidden="1" customWidth="1"/>
    <col min="4628" max="4647" width="2.42578125" style="398" hidden="1" customWidth="1"/>
    <col min="4648" max="4648" width="1.42578125" style="398" hidden="1" customWidth="1"/>
    <col min="4649" max="4864" width="2.42578125" style="398" hidden="1"/>
    <col min="4865" max="4865" width="1.42578125" style="398" hidden="1" customWidth="1"/>
    <col min="4866" max="4866" width="0.85546875" style="398" hidden="1" customWidth="1"/>
    <col min="4867" max="4882" width="2.42578125" style="398" hidden="1" customWidth="1"/>
    <col min="4883" max="4883" width="4" style="398" hidden="1" customWidth="1"/>
    <col min="4884" max="4903" width="2.42578125" style="398" hidden="1" customWidth="1"/>
    <col min="4904" max="4904" width="1.42578125" style="398" hidden="1" customWidth="1"/>
    <col min="4905" max="5120" width="2.42578125" style="398" hidden="1"/>
    <col min="5121" max="5121" width="1.42578125" style="398" hidden="1" customWidth="1"/>
    <col min="5122" max="5122" width="0.85546875" style="398" hidden="1" customWidth="1"/>
    <col min="5123" max="5138" width="2.42578125" style="398" hidden="1" customWidth="1"/>
    <col min="5139" max="5139" width="4" style="398" hidden="1" customWidth="1"/>
    <col min="5140" max="5159" width="2.42578125" style="398" hidden="1" customWidth="1"/>
    <col min="5160" max="5160" width="1.42578125" style="398" hidden="1" customWidth="1"/>
    <col min="5161" max="5376" width="2.42578125" style="398" hidden="1"/>
    <col min="5377" max="5377" width="1.42578125" style="398" hidden="1" customWidth="1"/>
    <col min="5378" max="5378" width="0.85546875" style="398" hidden="1" customWidth="1"/>
    <col min="5379" max="5394" width="2.42578125" style="398" hidden="1" customWidth="1"/>
    <col min="5395" max="5395" width="4" style="398" hidden="1" customWidth="1"/>
    <col min="5396" max="5415" width="2.42578125" style="398" hidden="1" customWidth="1"/>
    <col min="5416" max="5416" width="1.42578125" style="398" hidden="1" customWidth="1"/>
    <col min="5417" max="5632" width="2.42578125" style="398" hidden="1"/>
    <col min="5633" max="5633" width="1.42578125" style="398" hidden="1" customWidth="1"/>
    <col min="5634" max="5634" width="0.85546875" style="398" hidden="1" customWidth="1"/>
    <col min="5635" max="5650" width="2.42578125" style="398" hidden="1" customWidth="1"/>
    <col min="5651" max="5651" width="4" style="398" hidden="1" customWidth="1"/>
    <col min="5652" max="5671" width="2.42578125" style="398" hidden="1" customWidth="1"/>
    <col min="5672" max="5672" width="1.42578125" style="398" hidden="1" customWidth="1"/>
    <col min="5673" max="5888" width="2.42578125" style="398" hidden="1"/>
    <col min="5889" max="5889" width="1.42578125" style="398" hidden="1" customWidth="1"/>
    <col min="5890" max="5890" width="0.85546875" style="398" hidden="1" customWidth="1"/>
    <col min="5891" max="5906" width="2.42578125" style="398" hidden="1" customWidth="1"/>
    <col min="5907" max="5907" width="4" style="398" hidden="1" customWidth="1"/>
    <col min="5908" max="5927" width="2.42578125" style="398" hidden="1" customWidth="1"/>
    <col min="5928" max="5928" width="1.42578125" style="398" hidden="1" customWidth="1"/>
    <col min="5929" max="6144" width="2.42578125" style="398" hidden="1"/>
    <col min="6145" max="6145" width="1.42578125" style="398" hidden="1" customWidth="1"/>
    <col min="6146" max="6146" width="0.85546875" style="398" hidden="1" customWidth="1"/>
    <col min="6147" max="6162" width="2.42578125" style="398" hidden="1" customWidth="1"/>
    <col min="6163" max="6163" width="4" style="398" hidden="1" customWidth="1"/>
    <col min="6164" max="6183" width="2.42578125" style="398" hidden="1" customWidth="1"/>
    <col min="6184" max="6184" width="1.42578125" style="398" hidden="1" customWidth="1"/>
    <col min="6185" max="6400" width="2.42578125" style="398" hidden="1"/>
    <col min="6401" max="6401" width="1.42578125" style="398" hidden="1" customWidth="1"/>
    <col min="6402" max="6402" width="0.85546875" style="398" hidden="1" customWidth="1"/>
    <col min="6403" max="6418" width="2.42578125" style="398" hidden="1" customWidth="1"/>
    <col min="6419" max="6419" width="4" style="398" hidden="1" customWidth="1"/>
    <col min="6420" max="6439" width="2.42578125" style="398" hidden="1" customWidth="1"/>
    <col min="6440" max="6440" width="1.42578125" style="398" hidden="1" customWidth="1"/>
    <col min="6441" max="6656" width="2.42578125" style="398" hidden="1"/>
    <col min="6657" max="6657" width="1.42578125" style="398" hidden="1" customWidth="1"/>
    <col min="6658" max="6658" width="0.85546875" style="398" hidden="1" customWidth="1"/>
    <col min="6659" max="6674" width="2.42578125" style="398" hidden="1" customWidth="1"/>
    <col min="6675" max="6675" width="4" style="398" hidden="1" customWidth="1"/>
    <col min="6676" max="6695" width="2.42578125" style="398" hidden="1" customWidth="1"/>
    <col min="6696" max="6696" width="1.42578125" style="398" hidden="1" customWidth="1"/>
    <col min="6697" max="6912" width="2.42578125" style="398" hidden="1"/>
    <col min="6913" max="6913" width="1.42578125" style="398" hidden="1" customWidth="1"/>
    <col min="6914" max="6914" width="0.85546875" style="398" hidden="1" customWidth="1"/>
    <col min="6915" max="6930" width="2.42578125" style="398" hidden="1" customWidth="1"/>
    <col min="6931" max="6931" width="4" style="398" hidden="1" customWidth="1"/>
    <col min="6932" max="6951" width="2.42578125" style="398" hidden="1" customWidth="1"/>
    <col min="6952" max="6952" width="1.42578125" style="398" hidden="1" customWidth="1"/>
    <col min="6953" max="7168" width="2.42578125" style="398" hidden="1"/>
    <col min="7169" max="7169" width="1.42578125" style="398" hidden="1" customWidth="1"/>
    <col min="7170" max="7170" width="0.85546875" style="398" hidden="1" customWidth="1"/>
    <col min="7171" max="7186" width="2.42578125" style="398" hidden="1" customWidth="1"/>
    <col min="7187" max="7187" width="4" style="398" hidden="1" customWidth="1"/>
    <col min="7188" max="7207" width="2.42578125" style="398" hidden="1" customWidth="1"/>
    <col min="7208" max="7208" width="1.42578125" style="398" hidden="1" customWidth="1"/>
    <col min="7209" max="7424" width="2.42578125" style="398" hidden="1"/>
    <col min="7425" max="7425" width="1.42578125" style="398" hidden="1" customWidth="1"/>
    <col min="7426" max="7426" width="0.85546875" style="398" hidden="1" customWidth="1"/>
    <col min="7427" max="7442" width="2.42578125" style="398" hidden="1" customWidth="1"/>
    <col min="7443" max="7443" width="4" style="398" hidden="1" customWidth="1"/>
    <col min="7444" max="7463" width="2.42578125" style="398" hidden="1" customWidth="1"/>
    <col min="7464" max="7464" width="1.42578125" style="398" hidden="1" customWidth="1"/>
    <col min="7465" max="7680" width="2.42578125" style="398" hidden="1"/>
    <col min="7681" max="7681" width="1.42578125" style="398" hidden="1" customWidth="1"/>
    <col min="7682" max="7682" width="0.85546875" style="398" hidden="1" customWidth="1"/>
    <col min="7683" max="7698" width="2.42578125" style="398" hidden="1" customWidth="1"/>
    <col min="7699" max="7699" width="4" style="398" hidden="1" customWidth="1"/>
    <col min="7700" max="7719" width="2.42578125" style="398" hidden="1" customWidth="1"/>
    <col min="7720" max="7720" width="1.42578125" style="398" hidden="1" customWidth="1"/>
    <col min="7721" max="7936" width="2.42578125" style="398" hidden="1"/>
    <col min="7937" max="7937" width="1.42578125" style="398" hidden="1" customWidth="1"/>
    <col min="7938" max="7938" width="0.85546875" style="398" hidden="1" customWidth="1"/>
    <col min="7939" max="7954" width="2.42578125" style="398" hidden="1" customWidth="1"/>
    <col min="7955" max="7955" width="4" style="398" hidden="1" customWidth="1"/>
    <col min="7956" max="7975" width="2.42578125" style="398" hidden="1" customWidth="1"/>
    <col min="7976" max="7976" width="1.42578125" style="398" hidden="1" customWidth="1"/>
    <col min="7977" max="8192" width="2.42578125" style="398" hidden="1"/>
    <col min="8193" max="8193" width="1.42578125" style="398" hidden="1" customWidth="1"/>
    <col min="8194" max="8194" width="0.85546875" style="398" hidden="1" customWidth="1"/>
    <col min="8195" max="8210" width="2.42578125" style="398" hidden="1" customWidth="1"/>
    <col min="8211" max="8211" width="4" style="398" hidden="1" customWidth="1"/>
    <col min="8212" max="8231" width="2.42578125" style="398" hidden="1" customWidth="1"/>
    <col min="8232" max="8232" width="1.42578125" style="398" hidden="1" customWidth="1"/>
    <col min="8233" max="8448" width="2.42578125" style="398" hidden="1"/>
    <col min="8449" max="8449" width="1.42578125" style="398" hidden="1" customWidth="1"/>
    <col min="8450" max="8450" width="0.85546875" style="398" hidden="1" customWidth="1"/>
    <col min="8451" max="8466" width="2.42578125" style="398" hidden="1" customWidth="1"/>
    <col min="8467" max="8467" width="4" style="398" hidden="1" customWidth="1"/>
    <col min="8468" max="8487" width="2.42578125" style="398" hidden="1" customWidth="1"/>
    <col min="8488" max="8488" width="1.42578125" style="398" hidden="1" customWidth="1"/>
    <col min="8489" max="8704" width="2.42578125" style="398" hidden="1"/>
    <col min="8705" max="8705" width="1.42578125" style="398" hidden="1" customWidth="1"/>
    <col min="8706" max="8706" width="0.85546875" style="398" hidden="1" customWidth="1"/>
    <col min="8707" max="8722" width="2.42578125" style="398" hidden="1" customWidth="1"/>
    <col min="8723" max="8723" width="4" style="398" hidden="1" customWidth="1"/>
    <col min="8724" max="8743" width="2.42578125" style="398" hidden="1" customWidth="1"/>
    <col min="8744" max="8744" width="1.42578125" style="398" hidden="1" customWidth="1"/>
    <col min="8745" max="8960" width="2.42578125" style="398" hidden="1"/>
    <col min="8961" max="8961" width="1.42578125" style="398" hidden="1" customWidth="1"/>
    <col min="8962" max="8962" width="0.85546875" style="398" hidden="1" customWidth="1"/>
    <col min="8963" max="8978" width="2.42578125" style="398" hidden="1" customWidth="1"/>
    <col min="8979" max="8979" width="4" style="398" hidden="1" customWidth="1"/>
    <col min="8980" max="8999" width="2.42578125" style="398" hidden="1" customWidth="1"/>
    <col min="9000" max="9000" width="1.42578125" style="398" hidden="1" customWidth="1"/>
    <col min="9001" max="9216" width="2.42578125" style="398" hidden="1"/>
    <col min="9217" max="9217" width="1.42578125" style="398" hidden="1" customWidth="1"/>
    <col min="9218" max="9218" width="0.85546875" style="398" hidden="1" customWidth="1"/>
    <col min="9219" max="9234" width="2.42578125" style="398" hidden="1" customWidth="1"/>
    <col min="9235" max="9235" width="4" style="398" hidden="1" customWidth="1"/>
    <col min="9236" max="9255" width="2.42578125" style="398" hidden="1" customWidth="1"/>
    <col min="9256" max="9256" width="1.42578125" style="398" hidden="1" customWidth="1"/>
    <col min="9257" max="9472" width="2.42578125" style="398" hidden="1"/>
    <col min="9473" max="9473" width="1.42578125" style="398" hidden="1" customWidth="1"/>
    <col min="9474" max="9474" width="0.85546875" style="398" hidden="1" customWidth="1"/>
    <col min="9475" max="9490" width="2.42578125" style="398" hidden="1" customWidth="1"/>
    <col min="9491" max="9491" width="4" style="398" hidden="1" customWidth="1"/>
    <col min="9492" max="9511" width="2.42578125" style="398" hidden="1" customWidth="1"/>
    <col min="9512" max="9512" width="1.42578125" style="398" hidden="1" customWidth="1"/>
    <col min="9513" max="9728" width="2.42578125" style="398" hidden="1"/>
    <col min="9729" max="9729" width="1.42578125" style="398" hidden="1" customWidth="1"/>
    <col min="9730" max="9730" width="0.85546875" style="398" hidden="1" customWidth="1"/>
    <col min="9731" max="9746" width="2.42578125" style="398" hidden="1" customWidth="1"/>
    <col min="9747" max="9747" width="4" style="398" hidden="1" customWidth="1"/>
    <col min="9748" max="9767" width="2.42578125" style="398" hidden="1" customWidth="1"/>
    <col min="9768" max="9768" width="1.42578125" style="398" hidden="1" customWidth="1"/>
    <col min="9769" max="9984" width="2.42578125" style="398" hidden="1"/>
    <col min="9985" max="9985" width="1.42578125" style="398" hidden="1" customWidth="1"/>
    <col min="9986" max="9986" width="0.85546875" style="398" hidden="1" customWidth="1"/>
    <col min="9987" max="10002" width="2.42578125" style="398" hidden="1" customWidth="1"/>
    <col min="10003" max="10003" width="4" style="398" hidden="1" customWidth="1"/>
    <col min="10004" max="10023" width="2.42578125" style="398" hidden="1" customWidth="1"/>
    <col min="10024" max="10024" width="1.42578125" style="398" hidden="1" customWidth="1"/>
    <col min="10025" max="10240" width="2.42578125" style="398" hidden="1"/>
    <col min="10241" max="10241" width="1.42578125" style="398" hidden="1" customWidth="1"/>
    <col min="10242" max="10242" width="0.85546875" style="398" hidden="1" customWidth="1"/>
    <col min="10243" max="10258" width="2.42578125" style="398" hidden="1" customWidth="1"/>
    <col min="10259" max="10259" width="4" style="398" hidden="1" customWidth="1"/>
    <col min="10260" max="10279" width="2.42578125" style="398" hidden="1" customWidth="1"/>
    <col min="10280" max="10280" width="1.42578125" style="398" hidden="1" customWidth="1"/>
    <col min="10281" max="10496" width="2.42578125" style="398" hidden="1"/>
    <col min="10497" max="10497" width="1.42578125" style="398" hidden="1" customWidth="1"/>
    <col min="10498" max="10498" width="0.85546875" style="398" hidden="1" customWidth="1"/>
    <col min="10499" max="10514" width="2.42578125" style="398" hidden="1" customWidth="1"/>
    <col min="10515" max="10515" width="4" style="398" hidden="1" customWidth="1"/>
    <col min="10516" max="10535" width="2.42578125" style="398" hidden="1" customWidth="1"/>
    <col min="10536" max="10536" width="1.42578125" style="398" hidden="1" customWidth="1"/>
    <col min="10537" max="10752" width="2.42578125" style="398" hidden="1"/>
    <col min="10753" max="10753" width="1.42578125" style="398" hidden="1" customWidth="1"/>
    <col min="10754" max="10754" width="0.85546875" style="398" hidden="1" customWidth="1"/>
    <col min="10755" max="10770" width="2.42578125" style="398" hidden="1" customWidth="1"/>
    <col min="10771" max="10771" width="4" style="398" hidden="1" customWidth="1"/>
    <col min="10772" max="10791" width="2.42578125" style="398" hidden="1" customWidth="1"/>
    <col min="10792" max="10792" width="1.42578125" style="398" hidden="1" customWidth="1"/>
    <col min="10793" max="11008" width="2.42578125" style="398" hidden="1"/>
    <col min="11009" max="11009" width="1.42578125" style="398" hidden="1" customWidth="1"/>
    <col min="11010" max="11010" width="0.85546875" style="398" hidden="1" customWidth="1"/>
    <col min="11011" max="11026" width="2.42578125" style="398" hidden="1" customWidth="1"/>
    <col min="11027" max="11027" width="4" style="398" hidden="1" customWidth="1"/>
    <col min="11028" max="11047" width="2.42578125" style="398" hidden="1" customWidth="1"/>
    <col min="11048" max="11048" width="1.42578125" style="398" hidden="1" customWidth="1"/>
    <col min="11049" max="11264" width="2.42578125" style="398" hidden="1"/>
    <col min="11265" max="11265" width="1.42578125" style="398" hidden="1" customWidth="1"/>
    <col min="11266" max="11266" width="0.85546875" style="398" hidden="1" customWidth="1"/>
    <col min="11267" max="11282" width="2.42578125" style="398" hidden="1" customWidth="1"/>
    <col min="11283" max="11283" width="4" style="398" hidden="1" customWidth="1"/>
    <col min="11284" max="11303" width="2.42578125" style="398" hidden="1" customWidth="1"/>
    <col min="11304" max="11304" width="1.42578125" style="398" hidden="1" customWidth="1"/>
    <col min="11305" max="11520" width="2.42578125" style="398" hidden="1"/>
    <col min="11521" max="11521" width="1.42578125" style="398" hidden="1" customWidth="1"/>
    <col min="11522" max="11522" width="0.85546875" style="398" hidden="1" customWidth="1"/>
    <col min="11523" max="11538" width="2.42578125" style="398" hidden="1" customWidth="1"/>
    <col min="11539" max="11539" width="4" style="398" hidden="1" customWidth="1"/>
    <col min="11540" max="11559" width="2.42578125" style="398" hidden="1" customWidth="1"/>
    <col min="11560" max="11560" width="1.42578125" style="398" hidden="1" customWidth="1"/>
    <col min="11561" max="11776" width="2.42578125" style="398" hidden="1"/>
    <col min="11777" max="11777" width="1.42578125" style="398" hidden="1" customWidth="1"/>
    <col min="11778" max="11778" width="0.85546875" style="398" hidden="1" customWidth="1"/>
    <col min="11779" max="11794" width="2.42578125" style="398" hidden="1" customWidth="1"/>
    <col min="11795" max="11795" width="4" style="398" hidden="1" customWidth="1"/>
    <col min="11796" max="11815" width="2.42578125" style="398" hidden="1" customWidth="1"/>
    <col min="11816" max="11816" width="1.42578125" style="398" hidden="1" customWidth="1"/>
    <col min="11817" max="12032" width="2.42578125" style="398" hidden="1"/>
    <col min="12033" max="12033" width="1.42578125" style="398" hidden="1" customWidth="1"/>
    <col min="12034" max="12034" width="0.85546875" style="398" hidden="1" customWidth="1"/>
    <col min="12035" max="12050" width="2.42578125" style="398" hidden="1" customWidth="1"/>
    <col min="12051" max="12051" width="4" style="398" hidden="1" customWidth="1"/>
    <col min="12052" max="12071" width="2.42578125" style="398" hidden="1" customWidth="1"/>
    <col min="12072" max="12072" width="1.42578125" style="398" hidden="1" customWidth="1"/>
    <col min="12073" max="12288" width="2.42578125" style="398" hidden="1"/>
    <col min="12289" max="12289" width="1.42578125" style="398" hidden="1" customWidth="1"/>
    <col min="12290" max="12290" width="0.85546875" style="398" hidden="1" customWidth="1"/>
    <col min="12291" max="12306" width="2.42578125" style="398" hidden="1" customWidth="1"/>
    <col min="12307" max="12307" width="4" style="398" hidden="1" customWidth="1"/>
    <col min="12308" max="12327" width="2.42578125" style="398" hidden="1" customWidth="1"/>
    <col min="12328" max="12328" width="1.42578125" style="398" hidden="1" customWidth="1"/>
    <col min="12329" max="12544" width="2.42578125" style="398" hidden="1"/>
    <col min="12545" max="12545" width="1.42578125" style="398" hidden="1" customWidth="1"/>
    <col min="12546" max="12546" width="0.85546875" style="398" hidden="1" customWidth="1"/>
    <col min="12547" max="12562" width="2.42578125" style="398" hidden="1" customWidth="1"/>
    <col min="12563" max="12563" width="4" style="398" hidden="1" customWidth="1"/>
    <col min="12564" max="12583" width="2.42578125" style="398" hidden="1" customWidth="1"/>
    <col min="12584" max="12584" width="1.42578125" style="398" hidden="1" customWidth="1"/>
    <col min="12585" max="12800" width="2.42578125" style="398" hidden="1"/>
    <col min="12801" max="12801" width="1.42578125" style="398" hidden="1" customWidth="1"/>
    <col min="12802" max="12802" width="0.85546875" style="398" hidden="1" customWidth="1"/>
    <col min="12803" max="12818" width="2.42578125" style="398" hidden="1" customWidth="1"/>
    <col min="12819" max="12819" width="4" style="398" hidden="1" customWidth="1"/>
    <col min="12820" max="12839" width="2.42578125" style="398" hidden="1" customWidth="1"/>
    <col min="12840" max="12840" width="1.42578125" style="398" hidden="1" customWidth="1"/>
    <col min="12841" max="13056" width="2.42578125" style="398" hidden="1"/>
    <col min="13057" max="13057" width="1.42578125" style="398" hidden="1" customWidth="1"/>
    <col min="13058" max="13058" width="0.85546875" style="398" hidden="1" customWidth="1"/>
    <col min="13059" max="13074" width="2.42578125" style="398" hidden="1" customWidth="1"/>
    <col min="13075" max="13075" width="4" style="398" hidden="1" customWidth="1"/>
    <col min="13076" max="13095" width="2.42578125" style="398" hidden="1" customWidth="1"/>
    <col min="13096" max="13096" width="1.42578125" style="398" hidden="1" customWidth="1"/>
    <col min="13097" max="13312" width="2.42578125" style="398" hidden="1"/>
    <col min="13313" max="13313" width="1.42578125" style="398" hidden="1" customWidth="1"/>
    <col min="13314" max="13314" width="0.85546875" style="398" hidden="1" customWidth="1"/>
    <col min="13315" max="13330" width="2.42578125" style="398" hidden="1" customWidth="1"/>
    <col min="13331" max="13331" width="4" style="398" hidden="1" customWidth="1"/>
    <col min="13332" max="13351" width="2.42578125" style="398" hidden="1" customWidth="1"/>
    <col min="13352" max="13352" width="1.42578125" style="398" hidden="1" customWidth="1"/>
    <col min="13353" max="13568" width="2.42578125" style="398" hidden="1"/>
    <col min="13569" max="13569" width="1.42578125" style="398" hidden="1" customWidth="1"/>
    <col min="13570" max="13570" width="0.85546875" style="398" hidden="1" customWidth="1"/>
    <col min="13571" max="13586" width="2.42578125" style="398" hidden="1" customWidth="1"/>
    <col min="13587" max="13587" width="4" style="398" hidden="1" customWidth="1"/>
    <col min="13588" max="13607" width="2.42578125" style="398" hidden="1" customWidth="1"/>
    <col min="13608" max="13608" width="1.42578125" style="398" hidden="1" customWidth="1"/>
    <col min="13609" max="13824" width="2.42578125" style="398" hidden="1"/>
    <col min="13825" max="13825" width="1.42578125" style="398" hidden="1" customWidth="1"/>
    <col min="13826" max="13826" width="0.85546875" style="398" hidden="1" customWidth="1"/>
    <col min="13827" max="13842" width="2.42578125" style="398" hidden="1" customWidth="1"/>
    <col min="13843" max="13843" width="4" style="398" hidden="1" customWidth="1"/>
    <col min="13844" max="13863" width="2.42578125" style="398" hidden="1" customWidth="1"/>
    <col min="13864" max="13864" width="1.42578125" style="398" hidden="1" customWidth="1"/>
    <col min="13865" max="14080" width="2.42578125" style="398" hidden="1"/>
    <col min="14081" max="14081" width="1.42578125" style="398" hidden="1" customWidth="1"/>
    <col min="14082" max="14082" width="0.85546875" style="398" hidden="1" customWidth="1"/>
    <col min="14083" max="14098" width="2.42578125" style="398" hidden="1" customWidth="1"/>
    <col min="14099" max="14099" width="4" style="398" hidden="1" customWidth="1"/>
    <col min="14100" max="14119" width="2.42578125" style="398" hidden="1" customWidth="1"/>
    <col min="14120" max="14120" width="1.42578125" style="398" hidden="1" customWidth="1"/>
    <col min="14121" max="14336" width="2.42578125" style="398" hidden="1"/>
    <col min="14337" max="14337" width="1.42578125" style="398" hidden="1" customWidth="1"/>
    <col min="14338" max="14338" width="0.85546875" style="398" hidden="1" customWidth="1"/>
    <col min="14339" max="14354" width="2.42578125" style="398" hidden="1" customWidth="1"/>
    <col min="14355" max="14355" width="4" style="398" hidden="1" customWidth="1"/>
    <col min="14356" max="14375" width="2.42578125" style="398" hidden="1" customWidth="1"/>
    <col min="14376" max="14376" width="1.42578125" style="398" hidden="1" customWidth="1"/>
    <col min="14377" max="14592" width="2.42578125" style="398" hidden="1"/>
    <col min="14593" max="14593" width="1.42578125" style="398" hidden="1" customWidth="1"/>
    <col min="14594" max="14594" width="0.85546875" style="398" hidden="1" customWidth="1"/>
    <col min="14595" max="14610" width="2.42578125" style="398" hidden="1" customWidth="1"/>
    <col min="14611" max="14611" width="4" style="398" hidden="1" customWidth="1"/>
    <col min="14612" max="14631" width="2.42578125" style="398" hidden="1" customWidth="1"/>
    <col min="14632" max="14632" width="1.42578125" style="398" hidden="1" customWidth="1"/>
    <col min="14633" max="14848" width="2.42578125" style="398" hidden="1"/>
    <col min="14849" max="14849" width="1.42578125" style="398" hidden="1" customWidth="1"/>
    <col min="14850" max="14850" width="0.85546875" style="398" hidden="1" customWidth="1"/>
    <col min="14851" max="14866" width="2.42578125" style="398" hidden="1" customWidth="1"/>
    <col min="14867" max="14867" width="4" style="398" hidden="1" customWidth="1"/>
    <col min="14868" max="14887" width="2.42578125" style="398" hidden="1" customWidth="1"/>
    <col min="14888" max="14888" width="1.42578125" style="398" hidden="1" customWidth="1"/>
    <col min="14889" max="15104" width="2.42578125" style="398" hidden="1"/>
    <col min="15105" max="15105" width="1.42578125" style="398" hidden="1" customWidth="1"/>
    <col min="15106" max="15106" width="0.85546875" style="398" hidden="1" customWidth="1"/>
    <col min="15107" max="15122" width="2.42578125" style="398" hidden="1" customWidth="1"/>
    <col min="15123" max="15123" width="4" style="398" hidden="1" customWidth="1"/>
    <col min="15124" max="15143" width="2.42578125" style="398" hidden="1" customWidth="1"/>
    <col min="15144" max="15144" width="1.42578125" style="398" hidden="1" customWidth="1"/>
    <col min="15145" max="15360" width="2.42578125" style="398" hidden="1"/>
    <col min="15361" max="15361" width="1.42578125" style="398" hidden="1" customWidth="1"/>
    <col min="15362" max="15362" width="0.85546875" style="398" hidden="1" customWidth="1"/>
    <col min="15363" max="15378" width="2.42578125" style="398" hidden="1" customWidth="1"/>
    <col min="15379" max="15379" width="4" style="398" hidden="1" customWidth="1"/>
    <col min="15380" max="15399" width="2.42578125" style="398" hidden="1" customWidth="1"/>
    <col min="15400" max="15400" width="1.42578125" style="398" hidden="1" customWidth="1"/>
    <col min="15401" max="15616" width="2.42578125" style="398" hidden="1"/>
    <col min="15617" max="15617" width="1.42578125" style="398" hidden="1" customWidth="1"/>
    <col min="15618" max="15618" width="0.85546875" style="398" hidden="1" customWidth="1"/>
    <col min="15619" max="15634" width="2.42578125" style="398" hidden="1" customWidth="1"/>
    <col min="15635" max="15635" width="4" style="398" hidden="1" customWidth="1"/>
    <col min="15636" max="15655" width="2.42578125" style="398" hidden="1" customWidth="1"/>
    <col min="15656" max="15656" width="1.42578125" style="398" hidden="1" customWidth="1"/>
    <col min="15657" max="15872" width="2.42578125" style="398" hidden="1"/>
    <col min="15873" max="15873" width="1.42578125" style="398" hidden="1" customWidth="1"/>
    <col min="15874" max="15874" width="0.85546875" style="398" hidden="1" customWidth="1"/>
    <col min="15875" max="15890" width="2.42578125" style="398" hidden="1" customWidth="1"/>
    <col min="15891" max="15891" width="4" style="398" hidden="1" customWidth="1"/>
    <col min="15892" max="15911" width="2.42578125" style="398" hidden="1" customWidth="1"/>
    <col min="15912" max="15912" width="1.42578125" style="398" hidden="1" customWidth="1"/>
    <col min="15913" max="16128" width="2.42578125" style="398" hidden="1"/>
    <col min="16129" max="16129" width="1.42578125" style="398" hidden="1" customWidth="1"/>
    <col min="16130" max="16130" width="0.85546875" style="398" hidden="1" customWidth="1"/>
    <col min="16131" max="16146" width="2.42578125" style="398" hidden="1" customWidth="1"/>
    <col min="16147" max="16147" width="4" style="398" hidden="1" customWidth="1"/>
    <col min="16148" max="16167" width="2.42578125" style="398" hidden="1" customWidth="1"/>
    <col min="16168" max="16168" width="1.42578125" style="398" hidden="1" customWidth="1"/>
    <col min="16169" max="16384" width="2.42578125" style="398" hidden="1"/>
  </cols>
  <sheetData>
    <row r="1" spans="1:40" ht="12.95" customHeight="1">
      <c r="A1" s="2401" t="s">
        <v>1277</v>
      </c>
      <c r="B1" s="2401"/>
      <c r="C1" s="2401"/>
      <c r="D1" s="2401"/>
      <c r="E1" s="2401"/>
      <c r="F1" s="2401"/>
      <c r="G1" s="2401"/>
      <c r="H1" s="2401"/>
      <c r="I1" s="2401"/>
      <c r="J1" s="2401"/>
      <c r="K1" s="2401"/>
      <c r="L1" s="2401"/>
      <c r="M1" s="2401"/>
      <c r="N1" s="2401"/>
      <c r="O1" s="2401"/>
      <c r="P1" s="2401"/>
      <c r="Q1" s="2401"/>
      <c r="R1" s="2401"/>
      <c r="S1" s="2401"/>
      <c r="T1" s="2401"/>
      <c r="U1" s="2401"/>
      <c r="V1" s="2401"/>
      <c r="W1" s="2401"/>
      <c r="X1" s="2401"/>
      <c r="Y1" s="2401"/>
      <c r="Z1" s="2401"/>
      <c r="AA1" s="2401"/>
      <c r="AB1" s="2401"/>
      <c r="AC1" s="2401"/>
      <c r="AD1" s="2401"/>
      <c r="AE1" s="2401"/>
      <c r="AF1" s="2401"/>
      <c r="AG1" s="2401"/>
      <c r="AH1" s="2401"/>
      <c r="AI1" s="2401"/>
      <c r="AJ1" s="2401"/>
      <c r="AK1" s="2401"/>
      <c r="AL1" s="2401"/>
      <c r="AM1" s="2401"/>
      <c r="AN1" s="2401"/>
    </row>
    <row r="2" spans="1:40" ht="12.95" customHeight="1" thickBot="1">
      <c r="A2" s="2402"/>
      <c r="B2" s="2402"/>
      <c r="C2" s="2402"/>
      <c r="D2" s="2402"/>
      <c r="E2" s="2402"/>
      <c r="F2" s="2402"/>
      <c r="G2" s="2402"/>
      <c r="H2" s="2402"/>
      <c r="I2" s="2402"/>
      <c r="J2" s="2402"/>
      <c r="K2" s="2402"/>
      <c r="L2" s="2402"/>
      <c r="M2" s="2402"/>
      <c r="N2" s="2402"/>
      <c r="O2" s="2402"/>
      <c r="P2" s="2402"/>
      <c r="Q2" s="2402"/>
      <c r="R2" s="2402"/>
      <c r="S2" s="2402"/>
      <c r="T2" s="2402"/>
      <c r="U2" s="2402"/>
      <c r="V2" s="2402"/>
      <c r="W2" s="2402"/>
      <c r="X2" s="2402"/>
      <c r="Y2" s="2402"/>
      <c r="Z2" s="2402"/>
      <c r="AA2" s="2402"/>
      <c r="AB2" s="2402"/>
      <c r="AC2" s="2402"/>
      <c r="AD2" s="2402"/>
      <c r="AE2" s="2402"/>
      <c r="AF2" s="2402"/>
      <c r="AG2" s="2402"/>
      <c r="AH2" s="2402"/>
      <c r="AI2" s="2402"/>
      <c r="AJ2" s="2402"/>
      <c r="AK2" s="2402"/>
      <c r="AL2" s="2402"/>
      <c r="AM2" s="2402"/>
      <c r="AN2" s="2402"/>
    </row>
    <row r="3" spans="1:40" ht="12.95"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2.95" customHeight="1">
      <c r="A4" s="400"/>
    </row>
    <row r="5" spans="1:40" ht="12.95" customHeight="1">
      <c r="A5" s="400" t="s">
        <v>318</v>
      </c>
      <c r="C5" s="400" t="s">
        <v>122</v>
      </c>
      <c r="F5" s="400"/>
    </row>
    <row r="6" spans="1:40" ht="12.95" customHeight="1">
      <c r="A6" s="400"/>
      <c r="C6" s="398" t="s">
        <v>1235</v>
      </c>
    </row>
    <row r="7" spans="1:40" ht="12.95" customHeight="1">
      <c r="B7" s="401"/>
      <c r="C7" s="402"/>
      <c r="D7" s="402"/>
      <c r="E7" s="402"/>
      <c r="F7" s="402"/>
      <c r="G7" s="402"/>
      <c r="H7" s="402"/>
      <c r="I7" s="402"/>
      <c r="J7" s="402"/>
      <c r="K7" s="402"/>
      <c r="L7" s="402"/>
      <c r="M7" s="402"/>
      <c r="N7" s="402"/>
      <c r="O7" s="402"/>
      <c r="P7" s="402"/>
      <c r="Q7" s="402"/>
      <c r="R7" s="402"/>
      <c r="S7" s="402"/>
      <c r="T7" s="2381" t="str">
        <f xml:space="preserve"> IF(T25=100%,'Sources and Basis Breakdown'!G2,'Sources and Basis Breakdown'!F2)</f>
        <v>30% PVC for New Const/
Rehabilitation
DDA/QCT
Building(s)</v>
      </c>
      <c r="U7" s="2381"/>
      <c r="V7" s="2381"/>
      <c r="W7" s="2381"/>
      <c r="X7" s="2381"/>
      <c r="Y7" s="2381" t="str">
        <f>IF(T25=100%,"",'Sources and Basis Breakdown'!G2)</f>
        <v>30% PVC for New Const/
Rehabilitation
NON-DDA/
NON-QCT Building(s)</v>
      </c>
      <c r="Z7" s="2381"/>
      <c r="AA7" s="2381"/>
      <c r="AB7" s="2381"/>
      <c r="AC7" s="2381"/>
      <c r="AD7" s="2381" t="str">
        <f xml:space="preserve"> IF(T25=100%, 'Sources and Basis Breakdown'!J2,'Sources and Basis Breakdown'!I2)</f>
        <v>30% PVC for Acquisition
DDA/QCT Building(s)</v>
      </c>
      <c r="AE7" s="2381"/>
      <c r="AF7" s="2381"/>
      <c r="AG7" s="2381"/>
      <c r="AH7" s="2381"/>
      <c r="AI7" s="2381" t="str">
        <f>IF(T25=100%,"",'Sources and Basis Breakdown'!J2)</f>
        <v>30% PVC for Acquisition
NON-DDA/
NON-QCT Building(s)</v>
      </c>
      <c r="AJ7" s="2381"/>
      <c r="AK7" s="2381"/>
      <c r="AL7" s="2381"/>
      <c r="AM7" s="2381"/>
    </row>
    <row r="8" spans="1:40" ht="12.95" customHeight="1">
      <c r="B8" s="403"/>
      <c r="T8" s="2381"/>
      <c r="U8" s="2381"/>
      <c r="V8" s="2381"/>
      <c r="W8" s="2381"/>
      <c r="X8" s="2381"/>
      <c r="Y8" s="2381"/>
      <c r="Z8" s="2381"/>
      <c r="AA8" s="2381"/>
      <c r="AB8" s="2381"/>
      <c r="AC8" s="2381"/>
      <c r="AD8" s="2381"/>
      <c r="AE8" s="2381"/>
      <c r="AF8" s="2381"/>
      <c r="AG8" s="2381"/>
      <c r="AH8" s="2381"/>
      <c r="AI8" s="2381"/>
      <c r="AJ8" s="2381"/>
      <c r="AK8" s="2381"/>
      <c r="AL8" s="2381"/>
      <c r="AM8" s="2381"/>
    </row>
    <row r="9" spans="1:40" ht="12.95" customHeight="1">
      <c r="B9" s="403"/>
      <c r="T9" s="2381"/>
      <c r="U9" s="2381"/>
      <c r="V9" s="2381"/>
      <c r="W9" s="2381"/>
      <c r="X9" s="2381"/>
      <c r="Y9" s="2381"/>
      <c r="Z9" s="2381"/>
      <c r="AA9" s="2381"/>
      <c r="AB9" s="2381"/>
      <c r="AC9" s="2381"/>
      <c r="AD9" s="2381"/>
      <c r="AE9" s="2381"/>
      <c r="AF9" s="2381"/>
      <c r="AG9" s="2381"/>
      <c r="AH9" s="2381"/>
      <c r="AI9" s="2381"/>
      <c r="AJ9" s="2381"/>
      <c r="AK9" s="2381"/>
      <c r="AL9" s="2381"/>
      <c r="AM9" s="2381"/>
    </row>
    <row r="10" spans="1:40" ht="12.95" customHeight="1">
      <c r="B10" s="404"/>
      <c r="C10" s="405"/>
      <c r="D10" s="405"/>
      <c r="E10" s="405"/>
      <c r="F10" s="405"/>
      <c r="G10" s="405"/>
      <c r="H10" s="405"/>
      <c r="I10" s="405"/>
      <c r="J10" s="405"/>
      <c r="K10" s="405"/>
      <c r="L10" s="405"/>
      <c r="M10" s="405"/>
      <c r="N10" s="405"/>
      <c r="O10" s="405"/>
      <c r="P10" s="405"/>
      <c r="Q10" s="405"/>
      <c r="R10" s="405"/>
      <c r="S10" s="405"/>
      <c r="T10" s="2381"/>
      <c r="U10" s="2381"/>
      <c r="V10" s="2381"/>
      <c r="W10" s="2381"/>
      <c r="X10" s="2381"/>
      <c r="Y10" s="2381"/>
      <c r="Z10" s="2381"/>
      <c r="AA10" s="2381"/>
      <c r="AB10" s="2381"/>
      <c r="AC10" s="2381"/>
      <c r="AD10" s="2381"/>
      <c r="AE10" s="2381"/>
      <c r="AF10" s="2381"/>
      <c r="AG10" s="2381"/>
      <c r="AH10" s="2381"/>
      <c r="AI10" s="2381"/>
      <c r="AJ10" s="2381"/>
      <c r="AK10" s="2381"/>
      <c r="AL10" s="2381"/>
      <c r="AM10" s="2381"/>
    </row>
    <row r="11" spans="1:40" ht="12.95" customHeight="1">
      <c r="B11" s="2367" t="s">
        <v>374</v>
      </c>
      <c r="C11" s="2368"/>
      <c r="D11" s="2368"/>
      <c r="E11" s="2368"/>
      <c r="F11" s="2368"/>
      <c r="G11" s="2368"/>
      <c r="H11" s="2368"/>
      <c r="I11" s="2368"/>
      <c r="J11" s="2368"/>
      <c r="K11" s="2368"/>
      <c r="L11" s="2368"/>
      <c r="M11" s="2368"/>
      <c r="N11" s="2368"/>
      <c r="O11" s="2368"/>
      <c r="P11" s="2368"/>
      <c r="Q11" s="2368"/>
      <c r="R11" s="2368"/>
      <c r="S11" s="2369"/>
      <c r="T11" s="2403">
        <f>IF('Sources and Basis Breakdown'!F107=0,'Sources and Basis Breakdown'!E107,'Sources and Basis Breakdown'!F107)</f>
        <v>73626137</v>
      </c>
      <c r="U11" s="2404"/>
      <c r="V11" s="2404"/>
      <c r="W11" s="2404"/>
      <c r="X11" s="2404"/>
      <c r="Y11" s="2403">
        <f>IF(Y7="",0,IF('Sources and Basis Breakdown'!G107+'Sources and Basis Breakdown'!F107='Sources and Basis Breakdown'!E107,'Sources and Basis Breakdown'!G107,0))</f>
        <v>0</v>
      </c>
      <c r="Z11" s="2404"/>
      <c r="AA11" s="2404"/>
      <c r="AB11" s="2404"/>
      <c r="AC11" s="2404"/>
      <c r="AD11" s="2404">
        <f>IF('Sources and Basis Breakdown'!I107=0,'Sources and Basis Breakdown'!H107,'Sources and Basis Breakdown'!I107)</f>
        <v>0</v>
      </c>
      <c r="AE11" s="2404"/>
      <c r="AF11" s="2404"/>
      <c r="AG11" s="2404"/>
      <c r="AH11" s="2404"/>
      <c r="AI11" s="2404">
        <f>IF(Y7="",0,IF('Sources and Basis Breakdown'!I107+'Sources and Basis Breakdown'!J107='Sources and Basis Breakdown'!H107,'Sources and Basis Breakdown'!J107,0))</f>
        <v>0</v>
      </c>
      <c r="AJ11" s="2404"/>
      <c r="AK11" s="2404"/>
      <c r="AL11" s="2404"/>
      <c r="AM11" s="2404"/>
    </row>
    <row r="12" spans="1:40" ht="12.95" customHeight="1">
      <c r="B12" s="2405" t="s">
        <v>495</v>
      </c>
      <c r="C12" s="1865"/>
      <c r="D12" s="1865"/>
      <c r="E12" s="1865"/>
      <c r="F12" s="1865"/>
      <c r="G12" s="1865"/>
      <c r="H12" s="1865"/>
      <c r="I12" s="1865"/>
      <c r="J12" s="1865"/>
      <c r="K12" s="1865"/>
      <c r="L12" s="1865"/>
      <c r="M12" s="1865"/>
      <c r="N12" s="1865"/>
      <c r="O12" s="1865"/>
      <c r="P12" s="1865"/>
      <c r="Q12" s="1865"/>
      <c r="R12" s="1865"/>
      <c r="S12" s="2406"/>
      <c r="T12" s="2396"/>
      <c r="U12" s="2397"/>
      <c r="V12" s="2397"/>
      <c r="W12" s="2397"/>
      <c r="X12" s="2398"/>
      <c r="Y12" s="2396"/>
      <c r="Z12" s="2397"/>
      <c r="AA12" s="2397"/>
      <c r="AB12" s="2397"/>
      <c r="AC12" s="2398"/>
      <c r="AD12" s="2396"/>
      <c r="AE12" s="2397"/>
      <c r="AF12" s="2397"/>
      <c r="AG12" s="2397"/>
      <c r="AH12" s="2398"/>
      <c r="AI12" s="2396"/>
      <c r="AJ12" s="2397"/>
      <c r="AK12" s="2397"/>
      <c r="AL12" s="2397"/>
      <c r="AM12" s="2398"/>
    </row>
    <row r="13" spans="1:40" ht="12.95" customHeight="1">
      <c r="B13" s="431"/>
      <c r="C13" s="2407" t="s">
        <v>496</v>
      </c>
      <c r="D13" s="2407"/>
      <c r="E13" s="2407"/>
      <c r="F13" s="2407"/>
      <c r="G13" s="2407"/>
      <c r="H13" s="2407"/>
      <c r="I13" s="2407"/>
      <c r="J13" s="2407"/>
      <c r="K13" s="2407"/>
      <c r="L13" s="2407"/>
      <c r="M13" s="2407"/>
      <c r="N13" s="2407"/>
      <c r="O13" s="2407"/>
      <c r="P13" s="2407"/>
      <c r="Q13" s="2407"/>
      <c r="R13" s="2407"/>
      <c r="S13" s="2408"/>
      <c r="T13" s="2399"/>
      <c r="U13" s="2400"/>
      <c r="V13" s="2400"/>
      <c r="W13" s="2400"/>
      <c r="X13" s="2400"/>
      <c r="Y13" s="2399"/>
      <c r="Z13" s="2400"/>
      <c r="AA13" s="2400"/>
      <c r="AB13" s="2400"/>
      <c r="AC13" s="2400"/>
      <c r="AD13" s="2400"/>
      <c r="AE13" s="2400"/>
      <c r="AF13" s="2400"/>
      <c r="AG13" s="2400"/>
      <c r="AH13" s="2400"/>
      <c r="AI13" s="2400"/>
      <c r="AJ13" s="2400"/>
      <c r="AK13" s="2400"/>
      <c r="AL13" s="2400"/>
      <c r="AM13" s="2400"/>
    </row>
    <row r="14" spans="1:40" ht="12.95" customHeight="1">
      <c r="B14" s="431"/>
      <c r="C14" s="2407" t="s">
        <v>497</v>
      </c>
      <c r="D14" s="2407"/>
      <c r="E14" s="2407"/>
      <c r="F14" s="2407"/>
      <c r="G14" s="2407"/>
      <c r="H14" s="2407"/>
      <c r="I14" s="2407"/>
      <c r="J14" s="2407"/>
      <c r="K14" s="2407"/>
      <c r="L14" s="2407"/>
      <c r="M14" s="2407"/>
      <c r="N14" s="2407"/>
      <c r="O14" s="2407"/>
      <c r="P14" s="2407"/>
      <c r="Q14" s="2407"/>
      <c r="R14" s="2407"/>
      <c r="S14" s="2408"/>
      <c r="T14" s="2389"/>
      <c r="U14" s="2390"/>
      <c r="V14" s="2390"/>
      <c r="W14" s="2390"/>
      <c r="X14" s="2390"/>
      <c r="Y14" s="2389"/>
      <c r="Z14" s="2390"/>
      <c r="AA14" s="2390"/>
      <c r="AB14" s="2390"/>
      <c r="AC14" s="2390"/>
      <c r="AD14" s="2390"/>
      <c r="AE14" s="2390"/>
      <c r="AF14" s="2390"/>
      <c r="AG14" s="2390"/>
      <c r="AH14" s="2390"/>
      <c r="AI14" s="2390"/>
      <c r="AJ14" s="2390"/>
      <c r="AK14" s="2390"/>
      <c r="AL14" s="2390"/>
      <c r="AM14" s="2390"/>
    </row>
    <row r="15" spans="1:40" ht="12.95" customHeight="1">
      <c r="B15" s="431"/>
      <c r="C15" s="2407" t="s">
        <v>498</v>
      </c>
      <c r="D15" s="2407"/>
      <c r="E15" s="2407"/>
      <c r="F15" s="2407"/>
      <c r="G15" s="2407"/>
      <c r="H15" s="2407"/>
      <c r="I15" s="2407"/>
      <c r="J15" s="2407"/>
      <c r="K15" s="2407"/>
      <c r="L15" s="2407"/>
      <c r="M15" s="2407"/>
      <c r="N15" s="2407"/>
      <c r="O15" s="2407"/>
      <c r="P15" s="2407"/>
      <c r="Q15" s="2407"/>
      <c r="R15" s="2407"/>
      <c r="S15" s="2408"/>
      <c r="T15" s="2389"/>
      <c r="U15" s="2390"/>
      <c r="V15" s="2390"/>
      <c r="W15" s="2390"/>
      <c r="X15" s="2390"/>
      <c r="Y15" s="2389"/>
      <c r="Z15" s="2390"/>
      <c r="AA15" s="2390"/>
      <c r="AB15" s="2390"/>
      <c r="AC15" s="2390"/>
      <c r="AD15" s="2390"/>
      <c r="AE15" s="2390"/>
      <c r="AF15" s="2390"/>
      <c r="AG15" s="2390"/>
      <c r="AH15" s="2390"/>
      <c r="AI15" s="2390"/>
      <c r="AJ15" s="2390"/>
      <c r="AK15" s="2390"/>
      <c r="AL15" s="2390"/>
      <c r="AM15" s="2390"/>
    </row>
    <row r="16" spans="1:40" ht="12.95" customHeight="1">
      <c r="B16" s="431"/>
      <c r="C16" s="2407" t="s">
        <v>803</v>
      </c>
      <c r="D16" s="2407"/>
      <c r="E16" s="2407"/>
      <c r="F16" s="2407"/>
      <c r="G16" s="2407"/>
      <c r="H16" s="2407"/>
      <c r="I16" s="2407"/>
      <c r="J16" s="2407"/>
      <c r="K16" s="2407"/>
      <c r="L16" s="2407"/>
      <c r="M16" s="2407"/>
      <c r="N16" s="2407"/>
      <c r="O16" s="2407"/>
      <c r="P16" s="2407"/>
      <c r="Q16" s="2407"/>
      <c r="R16" s="2407"/>
      <c r="S16" s="2408"/>
      <c r="T16" s="2389"/>
      <c r="U16" s="2390"/>
      <c r="V16" s="2390"/>
      <c r="W16" s="2390"/>
      <c r="X16" s="2390"/>
      <c r="Y16" s="2389"/>
      <c r="Z16" s="2390"/>
      <c r="AA16" s="2390"/>
      <c r="AB16" s="2390"/>
      <c r="AC16" s="2390"/>
      <c r="AD16" s="2390"/>
      <c r="AE16" s="2390"/>
      <c r="AF16" s="2390"/>
      <c r="AG16" s="2390"/>
      <c r="AH16" s="2390"/>
      <c r="AI16" s="2390"/>
      <c r="AJ16" s="2390"/>
      <c r="AK16" s="2390"/>
      <c r="AL16" s="2390"/>
      <c r="AM16" s="2390"/>
    </row>
    <row r="17" spans="1:40" ht="12.95" customHeight="1">
      <c r="B17" s="431"/>
      <c r="C17" s="2407" t="s">
        <v>499</v>
      </c>
      <c r="D17" s="2407"/>
      <c r="E17" s="2407"/>
      <c r="F17" s="2407"/>
      <c r="G17" s="2407"/>
      <c r="H17" s="2407"/>
      <c r="I17" s="2407"/>
      <c r="J17" s="2407"/>
      <c r="K17" s="2407"/>
      <c r="L17" s="2407"/>
      <c r="M17" s="2407"/>
      <c r="N17" s="2407"/>
      <c r="O17" s="2407"/>
      <c r="P17" s="2407"/>
      <c r="Q17" s="2407"/>
      <c r="R17" s="2407"/>
      <c r="S17" s="2408"/>
      <c r="T17" s="2389"/>
      <c r="U17" s="2390"/>
      <c r="V17" s="2390"/>
      <c r="W17" s="2390"/>
      <c r="X17" s="2390"/>
      <c r="Y17" s="2389"/>
      <c r="Z17" s="2390"/>
      <c r="AA17" s="2390"/>
      <c r="AB17" s="2390"/>
      <c r="AC17" s="2390"/>
      <c r="AD17" s="2390"/>
      <c r="AE17" s="2390"/>
      <c r="AF17" s="2390"/>
      <c r="AG17" s="2390"/>
      <c r="AH17" s="2390"/>
      <c r="AI17" s="2390"/>
      <c r="AJ17" s="2390"/>
      <c r="AK17" s="2390"/>
      <c r="AL17" s="2390"/>
      <c r="AM17" s="2390"/>
    </row>
    <row r="18" spans="1:40" ht="12.95" customHeight="1">
      <c r="A18"/>
      <c r="B18" s="1139"/>
      <c r="C18" s="1546" t="s">
        <v>958</v>
      </c>
      <c r="D18" s="1546"/>
      <c r="E18" s="1546"/>
      <c r="F18" s="1546"/>
      <c r="G18" s="1546"/>
      <c r="H18" s="1546"/>
      <c r="I18" s="1546"/>
      <c r="J18" s="1546"/>
      <c r="K18" s="1546"/>
      <c r="L18" s="1546"/>
      <c r="M18" s="1546"/>
      <c r="N18" s="1546"/>
      <c r="O18" s="1546"/>
      <c r="P18" s="1546"/>
      <c r="Q18" s="1546"/>
      <c r="R18" s="1546"/>
      <c r="S18" s="1547"/>
      <c r="T18" s="2389"/>
      <c r="U18" s="2390"/>
      <c r="V18" s="2390"/>
      <c r="W18" s="2390"/>
      <c r="X18" s="2390"/>
      <c r="Y18" s="2389"/>
      <c r="Z18" s="2390"/>
      <c r="AA18" s="2390"/>
      <c r="AB18" s="2390"/>
      <c r="AC18" s="2390"/>
      <c r="AD18" s="2390"/>
      <c r="AE18" s="2390"/>
      <c r="AF18" s="2390"/>
      <c r="AG18" s="2390"/>
      <c r="AH18" s="2390"/>
      <c r="AI18" s="2390"/>
      <c r="AJ18" s="2390"/>
      <c r="AK18" s="2390"/>
      <c r="AL18" s="2390"/>
      <c r="AM18" s="2390"/>
    </row>
    <row r="19" spans="1:40" ht="12.95" customHeight="1">
      <c r="B19" s="1139"/>
      <c r="C19" s="1546" t="s">
        <v>958</v>
      </c>
      <c r="D19" s="1546"/>
      <c r="E19" s="1546"/>
      <c r="F19" s="1546"/>
      <c r="G19" s="1546"/>
      <c r="H19" s="1546"/>
      <c r="I19" s="1546"/>
      <c r="J19" s="1546"/>
      <c r="K19" s="1546"/>
      <c r="L19" s="1546"/>
      <c r="M19" s="1546"/>
      <c r="N19" s="1546"/>
      <c r="O19" s="1546"/>
      <c r="P19" s="1546"/>
      <c r="Q19" s="1546"/>
      <c r="R19" s="1546"/>
      <c r="S19" s="1547"/>
      <c r="T19" s="2389"/>
      <c r="U19" s="2390"/>
      <c r="V19" s="2390"/>
      <c r="W19" s="2390"/>
      <c r="X19" s="2390"/>
      <c r="Y19" s="2389"/>
      <c r="Z19" s="2390"/>
      <c r="AA19" s="2390"/>
      <c r="AB19" s="2390"/>
      <c r="AC19" s="2390"/>
      <c r="AD19" s="2390"/>
      <c r="AE19" s="2390"/>
      <c r="AF19" s="2390"/>
      <c r="AG19" s="2390"/>
      <c r="AH19" s="2390"/>
      <c r="AI19" s="2390"/>
      <c r="AJ19" s="2390"/>
      <c r="AK19" s="2390"/>
      <c r="AL19" s="2390"/>
      <c r="AM19" s="2390"/>
    </row>
    <row r="20" spans="1:40" ht="12.95" customHeight="1">
      <c r="B20" s="2367" t="s">
        <v>500</v>
      </c>
      <c r="C20" s="2368"/>
      <c r="D20" s="2368"/>
      <c r="E20" s="2368"/>
      <c r="F20" s="2368"/>
      <c r="G20" s="2368"/>
      <c r="H20" s="2368"/>
      <c r="I20" s="2368"/>
      <c r="J20" s="2368"/>
      <c r="K20" s="2368"/>
      <c r="L20" s="2368"/>
      <c r="M20" s="2368"/>
      <c r="N20" s="2368"/>
      <c r="O20" s="2368"/>
      <c r="P20" s="2368"/>
      <c r="Q20" s="2368"/>
      <c r="R20" s="2368"/>
      <c r="S20" s="2369"/>
      <c r="T20" s="2380">
        <f>SUM(T13:X19)</f>
        <v>0</v>
      </c>
      <c r="U20" s="2361"/>
      <c r="V20" s="2361"/>
      <c r="W20" s="2361"/>
      <c r="X20" s="2361"/>
      <c r="Y20" s="2380">
        <f>SUM(Y13:AC19)</f>
        <v>0</v>
      </c>
      <c r="Z20" s="2361"/>
      <c r="AA20" s="2361"/>
      <c r="AB20" s="2361"/>
      <c r="AC20" s="2361"/>
      <c r="AD20" s="2371">
        <f>SUM(AD13:AH19)</f>
        <v>0</v>
      </c>
      <c r="AE20" s="2379"/>
      <c r="AF20" s="2379"/>
      <c r="AG20" s="2379"/>
      <c r="AH20" s="2380"/>
      <c r="AI20" s="2371">
        <f>SUM(AI13:AM19)</f>
        <v>0</v>
      </c>
      <c r="AJ20" s="2379"/>
      <c r="AK20" s="2379"/>
      <c r="AL20" s="2379"/>
      <c r="AM20" s="2380"/>
    </row>
    <row r="21" spans="1:40" ht="12.95" customHeight="1">
      <c r="B21" s="2367" t="s">
        <v>1260</v>
      </c>
      <c r="C21" s="2368"/>
      <c r="D21" s="2368"/>
      <c r="E21" s="2368"/>
      <c r="F21" s="2368"/>
      <c r="G21" s="2368"/>
      <c r="H21" s="2368"/>
      <c r="I21" s="2368"/>
      <c r="J21" s="2368"/>
      <c r="K21" s="2368"/>
      <c r="L21" s="2368"/>
      <c r="M21" s="2368"/>
      <c r="N21" s="2368"/>
      <c r="O21" s="2368"/>
      <c r="P21" s="2368"/>
      <c r="Q21" s="2368"/>
      <c r="R21" s="2368"/>
      <c r="S21" s="2369"/>
      <c r="T21" s="2389"/>
      <c r="U21" s="2390"/>
      <c r="V21" s="2390"/>
      <c r="W21" s="2390"/>
      <c r="X21" s="2390"/>
      <c r="Y21" s="2389"/>
      <c r="Z21" s="2390"/>
      <c r="AA21" s="2390"/>
      <c r="AB21" s="2390"/>
      <c r="AC21" s="2390"/>
      <c r="AD21" s="2396"/>
      <c r="AE21" s="2397"/>
      <c r="AF21" s="2397"/>
      <c r="AG21" s="2397"/>
      <c r="AH21" s="2398"/>
      <c r="AI21" s="2396"/>
      <c r="AJ21" s="2397"/>
      <c r="AK21" s="2397"/>
      <c r="AL21" s="2397"/>
      <c r="AM21" s="2398"/>
    </row>
    <row r="22" spans="1:40" ht="12.95" customHeight="1">
      <c r="B22" s="2367" t="s">
        <v>501</v>
      </c>
      <c r="C22" s="2368"/>
      <c r="D22" s="2368"/>
      <c r="E22" s="2368"/>
      <c r="F22" s="2368"/>
      <c r="G22" s="2368"/>
      <c r="H22" s="2368"/>
      <c r="I22" s="2368"/>
      <c r="J22" s="2368"/>
      <c r="K22" s="2368"/>
      <c r="L22" s="2368"/>
      <c r="M22" s="2368"/>
      <c r="N22" s="2368"/>
      <c r="O22" s="2368"/>
      <c r="P22" s="2368"/>
      <c r="Q22" s="2368"/>
      <c r="R22" s="2368"/>
      <c r="S22" s="2369"/>
      <c r="T22" s="2385">
        <f>(ABS(T20)+ABS(T21))*-1</f>
        <v>0</v>
      </c>
      <c r="U22" s="2386"/>
      <c r="V22" s="2386"/>
      <c r="W22" s="2386"/>
      <c r="X22" s="2386"/>
      <c r="Y22" s="2385">
        <f>(Y20+Y21)*-1</f>
        <v>0</v>
      </c>
      <c r="Z22" s="2386"/>
      <c r="AA22" s="2386"/>
      <c r="AB22" s="2386"/>
      <c r="AC22" s="2386"/>
      <c r="AD22" s="2387">
        <f>(AD20)*-1</f>
        <v>0</v>
      </c>
      <c r="AE22" s="2388"/>
      <c r="AF22" s="2388"/>
      <c r="AG22" s="2388"/>
      <c r="AH22" s="2385"/>
      <c r="AI22" s="2387">
        <f>(AI20)*-1</f>
        <v>0</v>
      </c>
      <c r="AJ22" s="2388"/>
      <c r="AK22" s="2388"/>
      <c r="AL22" s="2388"/>
      <c r="AM22" s="2385"/>
    </row>
    <row r="23" spans="1:40" ht="12.95" customHeight="1">
      <c r="B23" s="2367" t="s">
        <v>502</v>
      </c>
      <c r="C23" s="2368"/>
      <c r="D23" s="2368"/>
      <c r="E23" s="2368"/>
      <c r="F23" s="2368"/>
      <c r="G23" s="2368"/>
      <c r="H23" s="2368"/>
      <c r="I23" s="2368"/>
      <c r="J23" s="2368"/>
      <c r="K23" s="2368"/>
      <c r="L23" s="2368"/>
      <c r="M23" s="2368"/>
      <c r="N23" s="2368"/>
      <c r="O23" s="2368"/>
      <c r="P23" s="2368"/>
      <c r="Q23" s="2368"/>
      <c r="R23" s="2368"/>
      <c r="S23" s="2369"/>
      <c r="T23" s="2380">
        <f>T11+T22</f>
        <v>73626137</v>
      </c>
      <c r="U23" s="2361"/>
      <c r="V23" s="2361"/>
      <c r="W23" s="2361"/>
      <c r="X23" s="2361"/>
      <c r="Y23" s="2380">
        <f>Y11+Y22</f>
        <v>0</v>
      </c>
      <c r="Z23" s="2361"/>
      <c r="AA23" s="2361"/>
      <c r="AB23" s="2361"/>
      <c r="AC23" s="2361"/>
      <c r="AD23" s="2380">
        <f>AD11+AD22</f>
        <v>0</v>
      </c>
      <c r="AE23" s="2361"/>
      <c r="AF23" s="2361"/>
      <c r="AG23" s="2361"/>
      <c r="AH23" s="2361"/>
      <c r="AI23" s="2380">
        <f>AI11+AI22</f>
        <v>0</v>
      </c>
      <c r="AJ23" s="2361"/>
      <c r="AK23" s="2361"/>
      <c r="AL23" s="2361"/>
      <c r="AM23" s="2361"/>
    </row>
    <row r="24" spans="1:40" ht="12.95" customHeight="1">
      <c r="B24" s="2367" t="s">
        <v>959</v>
      </c>
      <c r="C24" s="2368"/>
      <c r="D24" s="2368"/>
      <c r="E24" s="2368"/>
      <c r="F24" s="2368"/>
      <c r="G24" s="2368"/>
      <c r="H24" s="2368"/>
      <c r="I24" s="2368"/>
      <c r="J24" s="2368"/>
      <c r="K24" s="2368"/>
      <c r="L24" s="2368"/>
      <c r="M24" s="2368"/>
      <c r="N24" s="2368"/>
      <c r="O24" s="2368"/>
      <c r="P24" s="2368"/>
      <c r="Q24" s="2368"/>
      <c r="R24" s="2368"/>
      <c r="S24" s="2369"/>
      <c r="T24" s="2371">
        <f>Application!AJ1062</f>
        <v>170747479.25</v>
      </c>
      <c r="U24" s="2379"/>
      <c r="V24" s="2379"/>
      <c r="W24" s="2379"/>
      <c r="X24" s="2379"/>
      <c r="Y24" s="2379"/>
      <c r="Z24" s="2379"/>
      <c r="AA24" s="2379"/>
      <c r="AB24" s="2379"/>
      <c r="AC24" s="2379"/>
      <c r="AD24" s="2379"/>
      <c r="AE24" s="2379"/>
      <c r="AF24" s="2379"/>
      <c r="AG24" s="2379"/>
      <c r="AH24" s="2379"/>
      <c r="AI24" s="2379"/>
      <c r="AJ24" s="2379"/>
      <c r="AK24" s="2379"/>
      <c r="AL24" s="2379"/>
      <c r="AM24" s="2380"/>
    </row>
    <row r="25" spans="1:40" ht="12.95" customHeight="1">
      <c r="B25" s="2411" t="s">
        <v>1261</v>
      </c>
      <c r="C25" s="2412"/>
      <c r="D25" s="2412"/>
      <c r="E25" s="2412"/>
      <c r="F25" s="2412"/>
      <c r="G25" s="2412"/>
      <c r="H25" s="2412"/>
      <c r="I25" s="2412"/>
      <c r="J25" s="2412"/>
      <c r="K25" s="2412"/>
      <c r="L25" s="2412"/>
      <c r="M25" s="2412"/>
      <c r="N25" s="2412"/>
      <c r="O25" s="2412"/>
      <c r="P25" s="2412"/>
      <c r="Q25" s="2412"/>
      <c r="R25" s="2412"/>
      <c r="S25" s="2413"/>
      <c r="T25" s="2393">
        <f>IF(OR(Application!T196="yes",Application!T195="yes"),1.3,1)</f>
        <v>1.3</v>
      </c>
      <c r="U25" s="2394"/>
      <c r="V25" s="2394"/>
      <c r="W25" s="2394"/>
      <c r="X25" s="2394"/>
      <c r="Y25" s="2393">
        <v>1</v>
      </c>
      <c r="Z25" s="2394"/>
      <c r="AA25" s="2394"/>
      <c r="AB25" s="2394"/>
      <c r="AC25" s="2394"/>
      <c r="AD25" s="2393">
        <v>1</v>
      </c>
      <c r="AE25" s="2394"/>
      <c r="AF25" s="2394"/>
      <c r="AG25" s="2394"/>
      <c r="AH25" s="2395"/>
      <c r="AI25" s="2393">
        <v>1</v>
      </c>
      <c r="AJ25" s="2394"/>
      <c r="AK25" s="2394"/>
      <c r="AL25" s="2394"/>
      <c r="AM25" s="2395"/>
    </row>
    <row r="26" spans="1:40" ht="12.95" customHeight="1">
      <c r="B26" s="2367" t="s">
        <v>503</v>
      </c>
      <c r="C26" s="2368"/>
      <c r="D26" s="2368"/>
      <c r="E26" s="2368"/>
      <c r="F26" s="2368"/>
      <c r="G26" s="2368"/>
      <c r="H26" s="2368"/>
      <c r="I26" s="2368"/>
      <c r="J26" s="2368"/>
      <c r="K26" s="2368"/>
      <c r="L26" s="2368"/>
      <c r="M26" s="2368"/>
      <c r="N26" s="2368"/>
      <c r="O26" s="2368"/>
      <c r="P26" s="2368"/>
      <c r="Q26" s="2368"/>
      <c r="R26" s="2368"/>
      <c r="S26" s="2369"/>
      <c r="T26" s="2380">
        <f>T23*T25</f>
        <v>95713978.100000009</v>
      </c>
      <c r="U26" s="2361"/>
      <c r="V26" s="2361"/>
      <c r="W26" s="2361"/>
      <c r="X26" s="2361"/>
      <c r="Y26" s="2380">
        <f>Y23*Y25</f>
        <v>0</v>
      </c>
      <c r="Z26" s="2361"/>
      <c r="AA26" s="2361"/>
      <c r="AB26" s="2361"/>
      <c r="AC26" s="2361"/>
      <c r="AD26" s="2380">
        <f>AD23*AD25</f>
        <v>0</v>
      </c>
      <c r="AE26" s="2361"/>
      <c r="AF26" s="2361"/>
      <c r="AG26" s="2361"/>
      <c r="AH26" s="2361"/>
      <c r="AI26" s="2380">
        <f>AI23*AI25</f>
        <v>0</v>
      </c>
      <c r="AJ26" s="2361"/>
      <c r="AK26" s="2361"/>
      <c r="AL26" s="2361"/>
      <c r="AM26" s="2361"/>
    </row>
    <row r="27" spans="1:40" ht="12.95" customHeight="1">
      <c r="A27" s="406"/>
      <c r="B27" s="2414" t="s">
        <v>425</v>
      </c>
      <c r="C27" s="2415"/>
      <c r="D27" s="2415"/>
      <c r="E27" s="2415"/>
      <c r="F27" s="2415"/>
      <c r="G27" s="2415"/>
      <c r="H27" s="2415"/>
      <c r="I27" s="2415"/>
      <c r="J27" s="2415"/>
      <c r="K27" s="2415"/>
      <c r="L27" s="2415"/>
      <c r="M27" s="2415"/>
      <c r="N27" s="2415"/>
      <c r="O27" s="2415"/>
      <c r="P27" s="2415"/>
      <c r="Q27" s="2415"/>
      <c r="R27" s="2415"/>
      <c r="S27" s="2416"/>
      <c r="T27" s="2391">
        <f>Application!$AG$454</f>
        <v>1</v>
      </c>
      <c r="U27" s="2392"/>
      <c r="V27" s="2392"/>
      <c r="W27" s="2392"/>
      <c r="X27" s="2392"/>
      <c r="Y27" s="2391">
        <f>Application!$AG$454</f>
        <v>1</v>
      </c>
      <c r="Z27" s="2392"/>
      <c r="AA27" s="2392"/>
      <c r="AB27" s="2392"/>
      <c r="AC27" s="2392"/>
      <c r="AD27" s="2391">
        <f>Application!$AG$454</f>
        <v>1</v>
      </c>
      <c r="AE27" s="2392"/>
      <c r="AF27" s="2392"/>
      <c r="AG27" s="2392"/>
      <c r="AH27" s="2392"/>
      <c r="AI27" s="2391">
        <f>Application!$AG$454</f>
        <v>1</v>
      </c>
      <c r="AJ27" s="2392"/>
      <c r="AK27" s="2392"/>
      <c r="AL27" s="2392"/>
      <c r="AM27" s="2392"/>
    </row>
    <row r="28" spans="1:40" ht="12.95" customHeight="1">
      <c r="A28" s="400"/>
      <c r="B28" s="2367" t="s">
        <v>504</v>
      </c>
      <c r="C28" s="2368"/>
      <c r="D28" s="2368"/>
      <c r="E28" s="2368"/>
      <c r="F28" s="2368"/>
      <c r="G28" s="2368"/>
      <c r="H28" s="2368"/>
      <c r="I28" s="2368"/>
      <c r="J28" s="2368"/>
      <c r="K28" s="2368"/>
      <c r="L28" s="2368"/>
      <c r="M28" s="2368"/>
      <c r="N28" s="2368"/>
      <c r="O28" s="2368"/>
      <c r="P28" s="2368"/>
      <c r="Q28" s="2368"/>
      <c r="R28" s="2368"/>
      <c r="S28" s="2369"/>
      <c r="T28" s="2380">
        <f>IF(ISERROR((T26*T27)),0,(T26*T27))</f>
        <v>95713978.100000009</v>
      </c>
      <c r="U28" s="2361"/>
      <c r="V28" s="2361"/>
      <c r="W28" s="2361"/>
      <c r="X28" s="2361"/>
      <c r="Y28" s="2380">
        <f>IF(ISERROR((Y26*Y27)),0,(Y26*Y27))</f>
        <v>0</v>
      </c>
      <c r="Z28" s="2361"/>
      <c r="AA28" s="2361"/>
      <c r="AB28" s="2361"/>
      <c r="AC28" s="2361"/>
      <c r="AD28" s="2380">
        <f>IF(ISERROR((AD26*AD27)),0,(AD26*AD27))</f>
        <v>0</v>
      </c>
      <c r="AE28" s="2361"/>
      <c r="AF28" s="2361"/>
      <c r="AG28" s="2361"/>
      <c r="AH28" s="2361"/>
      <c r="AI28" s="2380">
        <f>IF(ISERROR((AI26*AI27)),0,(AI26*AI27))</f>
        <v>0</v>
      </c>
      <c r="AJ28" s="2361"/>
      <c r="AK28" s="2361"/>
      <c r="AL28" s="2361"/>
      <c r="AM28" s="2361"/>
    </row>
    <row r="29" spans="1:40" ht="12.95" customHeight="1">
      <c r="B29" s="2367" t="s">
        <v>521</v>
      </c>
      <c r="C29" s="2368"/>
      <c r="D29" s="2368"/>
      <c r="E29" s="2368"/>
      <c r="F29" s="2368"/>
      <c r="G29" s="2368"/>
      <c r="H29" s="2368"/>
      <c r="I29" s="2368"/>
      <c r="J29" s="2368"/>
      <c r="K29" s="2368"/>
      <c r="L29" s="2368"/>
      <c r="M29" s="2368"/>
      <c r="N29" s="2368"/>
      <c r="O29" s="2368"/>
      <c r="P29" s="2368"/>
      <c r="Q29" s="2368"/>
      <c r="R29" s="2368"/>
      <c r="S29" s="2369"/>
      <c r="T29" s="2371">
        <f>T28+Y28+AD28+AI28</f>
        <v>95713978.100000009</v>
      </c>
      <c r="U29" s="2379"/>
      <c r="V29" s="2379"/>
      <c r="W29" s="2379"/>
      <c r="X29" s="2379"/>
      <c r="Y29" s="2379"/>
      <c r="Z29" s="2379"/>
      <c r="AA29" s="2379"/>
      <c r="AB29" s="2379"/>
      <c r="AC29" s="2379"/>
      <c r="AD29" s="2379"/>
      <c r="AE29" s="2379"/>
      <c r="AF29" s="2379"/>
      <c r="AG29" s="2379"/>
      <c r="AH29" s="2379"/>
      <c r="AI29" s="2379"/>
      <c r="AJ29" s="2379"/>
      <c r="AK29" s="2379"/>
      <c r="AL29" s="2379"/>
      <c r="AM29" s="2380"/>
    </row>
    <row r="30" spans="1:40" ht="12.95" customHeight="1">
      <c r="B30" s="2384" t="s">
        <v>1263</v>
      </c>
      <c r="C30" s="2384"/>
      <c r="D30" s="2384"/>
      <c r="E30" s="2384"/>
      <c r="F30" s="2384"/>
      <c r="G30" s="2384"/>
      <c r="H30" s="2384"/>
      <c r="I30" s="2384"/>
      <c r="J30" s="2384"/>
      <c r="K30" s="2384"/>
      <c r="L30" s="2384"/>
      <c r="M30" s="2384"/>
      <c r="N30" s="2384"/>
      <c r="O30" s="2384"/>
      <c r="P30" s="2384"/>
      <c r="Q30" s="2384"/>
      <c r="R30" s="2384"/>
      <c r="S30" s="2384"/>
      <c r="T30" s="2384"/>
      <c r="U30" s="2384"/>
      <c r="V30" s="2384"/>
      <c r="W30" s="2384"/>
      <c r="X30" s="2384"/>
      <c r="Y30" s="2384"/>
      <c r="Z30" s="2384"/>
      <c r="AA30" s="2384"/>
      <c r="AB30" s="2384"/>
      <c r="AC30" s="2384"/>
      <c r="AD30" s="2384"/>
      <c r="AE30" s="2384"/>
      <c r="AF30" s="2384"/>
      <c r="AG30" s="2384"/>
      <c r="AH30" s="2384"/>
      <c r="AI30" s="2384"/>
      <c r="AJ30" s="2384"/>
      <c r="AK30" s="2384"/>
      <c r="AL30" s="2384"/>
      <c r="AM30" s="2384"/>
    </row>
    <row r="31" spans="1:40" ht="12.95" customHeight="1">
      <c r="B31" s="2384" t="s">
        <v>1262</v>
      </c>
      <c r="C31" s="2384"/>
      <c r="D31" s="2384"/>
      <c r="E31" s="2384"/>
      <c r="F31" s="2384"/>
      <c r="G31" s="2384"/>
      <c r="H31" s="2384"/>
      <c r="I31" s="2384"/>
      <c r="J31" s="2384"/>
      <c r="K31" s="2384"/>
      <c r="L31" s="2384"/>
      <c r="M31" s="2384"/>
      <c r="N31" s="2384"/>
      <c r="O31" s="2384"/>
      <c r="P31" s="2384"/>
      <c r="Q31" s="2384"/>
      <c r="R31" s="2384"/>
      <c r="S31" s="2384"/>
      <c r="T31" s="2384"/>
      <c r="U31" s="2384"/>
      <c r="V31" s="2384"/>
      <c r="W31" s="2384"/>
      <c r="X31" s="2384"/>
      <c r="Y31" s="2384"/>
      <c r="Z31" s="2384"/>
      <c r="AA31" s="2384"/>
      <c r="AB31" s="2384"/>
      <c r="AC31" s="2384"/>
      <c r="AD31" s="2384"/>
      <c r="AE31" s="2384"/>
      <c r="AF31" s="2384"/>
      <c r="AG31" s="2384"/>
      <c r="AH31" s="2384"/>
      <c r="AI31" s="2384"/>
      <c r="AJ31" s="2384"/>
      <c r="AK31" s="2384"/>
      <c r="AL31" s="2384"/>
      <c r="AM31" s="2384"/>
      <c r="AN31" s="514"/>
    </row>
    <row r="32" spans="1:40" ht="12.95" customHeight="1">
      <c r="B32" s="430"/>
      <c r="C32" s="507" t="s">
        <v>386</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2.95" customHeight="1"/>
    <row r="34" spans="1:76" ht="12.95" customHeight="1">
      <c r="A34" s="400" t="s">
        <v>574</v>
      </c>
      <c r="C34" s="400" t="s">
        <v>566</v>
      </c>
    </row>
    <row r="35" spans="1:76" ht="12.95"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81" t="s">
        <v>1151</v>
      </c>
      <c r="Z35" s="2381"/>
      <c r="AA35" s="2381"/>
      <c r="AB35" s="2381"/>
      <c r="AC35" s="2381"/>
      <c r="AD35" s="2382" t="s">
        <v>368</v>
      </c>
      <c r="AE35" s="2382"/>
      <c r="AF35" s="2382"/>
      <c r="AG35" s="2382"/>
      <c r="AH35" s="2382"/>
    </row>
    <row r="36" spans="1:76" ht="12.95" customHeight="1">
      <c r="B36" s="403"/>
      <c r="X36" s="408"/>
      <c r="Y36" s="2381"/>
      <c r="Z36" s="2381"/>
      <c r="AA36" s="2381"/>
      <c r="AB36" s="2381"/>
      <c r="AC36" s="2381"/>
      <c r="AD36" s="2382"/>
      <c r="AE36" s="2382"/>
      <c r="AF36" s="2382"/>
      <c r="AG36" s="2382"/>
      <c r="AH36" s="2382"/>
    </row>
    <row r="37" spans="1:76" ht="12.95"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81"/>
      <c r="Z37" s="2381"/>
      <c r="AA37" s="2381"/>
      <c r="AB37" s="2381"/>
      <c r="AC37" s="2381"/>
      <c r="AD37" s="2382"/>
      <c r="AE37" s="2382"/>
      <c r="AF37" s="2382"/>
      <c r="AG37" s="2382"/>
      <c r="AH37" s="2382"/>
    </row>
    <row r="38" spans="1:76" ht="12.95" customHeight="1">
      <c r="A38" s="400"/>
      <c r="B38" s="2367" t="s">
        <v>504</v>
      </c>
      <c r="C38" s="2368"/>
      <c r="D38" s="2368"/>
      <c r="E38" s="2368"/>
      <c r="F38" s="2368"/>
      <c r="G38" s="2368"/>
      <c r="H38" s="2368"/>
      <c r="I38" s="2368"/>
      <c r="J38" s="2368"/>
      <c r="K38" s="2368"/>
      <c r="L38" s="2368"/>
      <c r="M38" s="2368"/>
      <c r="N38" s="2368"/>
      <c r="O38" s="2368"/>
      <c r="P38" s="2368"/>
      <c r="Q38" s="2368"/>
      <c r="R38" s="2368"/>
      <c r="S38" s="2368"/>
      <c r="T38" s="2368"/>
      <c r="U38" s="2368"/>
      <c r="V38" s="2368"/>
      <c r="W38" s="2368"/>
      <c r="X38" s="2369"/>
      <c r="Y38" s="2361">
        <f>IF(T24&gt;=(T23+Y23+AD23+AI23),T28+Y28,0)</f>
        <v>95713978.100000009</v>
      </c>
      <c r="Z38" s="2361"/>
      <c r="AA38" s="2361"/>
      <c r="AB38" s="2361"/>
      <c r="AC38" s="2361"/>
      <c r="AD38" s="2361">
        <f>IF(T24&gt;=(T23+Y23+AD23+AI23),AD28+AI28,0)</f>
        <v>0</v>
      </c>
      <c r="AE38" s="2361"/>
      <c r="AF38" s="2361"/>
      <c r="AG38" s="2361"/>
      <c r="AH38" s="2361"/>
    </row>
    <row r="39" spans="1:76" ht="12.95" customHeight="1">
      <c r="B39" s="2367" t="s">
        <v>1677</v>
      </c>
      <c r="C39" s="2368"/>
      <c r="D39" s="2368"/>
      <c r="E39" s="2368"/>
      <c r="F39" s="2368"/>
      <c r="G39" s="2368"/>
      <c r="H39" s="2368"/>
      <c r="I39" s="2368"/>
      <c r="J39" s="2368"/>
      <c r="K39" s="2368"/>
      <c r="L39" s="2368"/>
      <c r="M39" s="2368"/>
      <c r="N39" s="2368"/>
      <c r="O39" s="2368"/>
      <c r="P39" s="2368"/>
      <c r="Q39" s="2368"/>
      <c r="R39" s="2368"/>
      <c r="S39" s="2368"/>
      <c r="T39" s="2368"/>
      <c r="U39" s="2368"/>
      <c r="V39" s="2368"/>
      <c r="W39" s="2368"/>
      <c r="X39" s="2369"/>
      <c r="Y39" s="2383">
        <v>0.04</v>
      </c>
      <c r="Z39" s="2383"/>
      <c r="AA39" s="2383"/>
      <c r="AB39" s="2383"/>
      <c r="AC39" s="2383"/>
      <c r="AD39" s="2383">
        <v>0.04</v>
      </c>
      <c r="AE39" s="2383"/>
      <c r="AF39" s="2383"/>
      <c r="AG39" s="2383"/>
      <c r="AH39" s="2383"/>
    </row>
    <row r="40" spans="1:76" ht="12.95" customHeight="1">
      <c r="A40" s="400"/>
      <c r="B40" s="2367" t="s">
        <v>640</v>
      </c>
      <c r="C40" s="2368"/>
      <c r="D40" s="2368"/>
      <c r="E40" s="2368"/>
      <c r="F40" s="2368"/>
      <c r="G40" s="2368"/>
      <c r="H40" s="2368"/>
      <c r="I40" s="2368"/>
      <c r="J40" s="2368"/>
      <c r="K40" s="2368"/>
      <c r="L40" s="2368"/>
      <c r="M40" s="2368"/>
      <c r="N40" s="2368"/>
      <c r="O40" s="2368"/>
      <c r="P40" s="2368"/>
      <c r="Q40" s="2368"/>
      <c r="R40" s="2368"/>
      <c r="S40" s="2368"/>
      <c r="T40" s="2368"/>
      <c r="U40" s="2368"/>
      <c r="V40" s="2368"/>
      <c r="W40" s="2368"/>
      <c r="X40" s="2369"/>
      <c r="Y40" s="2361">
        <f>ROUND(Y38*Y39,0)</f>
        <v>3828559</v>
      </c>
      <c r="Z40" s="2361"/>
      <c r="AA40" s="2361"/>
      <c r="AB40" s="2361"/>
      <c r="AC40" s="2361"/>
      <c r="AD40" s="2380">
        <f>ROUND(AD38*AD39,0)</f>
        <v>0</v>
      </c>
      <c r="AE40" s="2361"/>
      <c r="AF40" s="2361"/>
      <c r="AG40" s="2361"/>
      <c r="AH40" s="2361"/>
    </row>
    <row r="41" spans="1:76" ht="12.95" customHeight="1">
      <c r="B41" s="2367" t="s">
        <v>641</v>
      </c>
      <c r="C41" s="2368"/>
      <c r="D41" s="2368"/>
      <c r="E41" s="2368"/>
      <c r="F41" s="2368"/>
      <c r="G41" s="2368"/>
      <c r="H41" s="2368"/>
      <c r="I41" s="2368"/>
      <c r="J41" s="2368"/>
      <c r="K41" s="2368"/>
      <c r="L41" s="2368"/>
      <c r="M41" s="2368"/>
      <c r="N41" s="2368"/>
      <c r="O41" s="2368"/>
      <c r="P41" s="2368"/>
      <c r="Q41" s="2368"/>
      <c r="R41" s="2368"/>
      <c r="S41" s="2368"/>
      <c r="T41" s="2368"/>
      <c r="U41" s="2368"/>
      <c r="V41" s="2368"/>
      <c r="W41" s="2368"/>
      <c r="X41" s="2369"/>
      <c r="Y41" s="2371">
        <f>Y40+AD40</f>
        <v>3828559</v>
      </c>
      <c r="Z41" s="2379"/>
      <c r="AA41" s="2379"/>
      <c r="AB41" s="2379"/>
      <c r="AC41" s="2379"/>
      <c r="AD41" s="2379"/>
      <c r="AE41" s="2379"/>
      <c r="AF41" s="2379"/>
      <c r="AG41" s="2379"/>
      <c r="AH41" s="2380"/>
    </row>
    <row r="42" spans="1:76" ht="12.95"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2.95"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2.95" customHeight="1" thickBot="1">
      <c r="A44" s="2378" t="s">
        <v>1273</v>
      </c>
      <c r="B44" s="2378"/>
      <c r="C44" s="2378"/>
      <c r="D44" s="2378"/>
      <c r="E44" s="2378"/>
      <c r="F44" s="2378"/>
      <c r="G44" s="2378"/>
      <c r="H44" s="2378"/>
      <c r="I44" s="2378"/>
      <c r="J44" s="2378"/>
      <c r="K44" s="2378"/>
      <c r="L44" s="2378"/>
      <c r="M44" s="2378"/>
      <c r="N44" s="2378"/>
      <c r="O44" s="2378"/>
      <c r="P44" s="2378"/>
      <c r="Q44" s="2378"/>
      <c r="R44" s="2378"/>
      <c r="S44" s="2378"/>
      <c r="T44" s="2378"/>
      <c r="U44" s="2378"/>
      <c r="V44" s="2378"/>
      <c r="W44" s="2378"/>
      <c r="X44" s="2378"/>
      <c r="Y44" s="2378"/>
      <c r="Z44" s="2378"/>
      <c r="AA44" s="2378"/>
      <c r="AB44" s="2378"/>
      <c r="AC44" s="2378"/>
      <c r="AD44" s="2378"/>
      <c r="AE44" s="2378"/>
      <c r="AF44" s="2378"/>
      <c r="AG44" s="2378"/>
      <c r="AH44" s="2378"/>
      <c r="AI44" s="2378"/>
      <c r="AJ44" s="2378"/>
      <c r="AK44" s="2378"/>
      <c r="AL44" s="2378"/>
      <c r="AM44" s="2378"/>
      <c r="AN44" s="2378"/>
      <c r="AO44" s="2378"/>
      <c r="AP44" s="2378"/>
      <c r="AQ44" s="2378"/>
      <c r="AR44" s="2378"/>
      <c r="AS44" s="2378"/>
      <c r="AT44" s="2378"/>
      <c r="AU44" s="2378"/>
      <c r="AV44" s="2378"/>
      <c r="AW44" s="2378"/>
      <c r="AX44" s="2378"/>
      <c r="AY44" s="2378"/>
      <c r="AZ44" s="2378"/>
      <c r="BA44" s="2378"/>
      <c r="BB44" s="2378"/>
      <c r="BC44" s="2378"/>
      <c r="BD44" s="2378"/>
      <c r="BE44" s="2378"/>
      <c r="BF44" s="2378"/>
      <c r="BG44" s="2378"/>
      <c r="BH44" s="2378"/>
      <c r="BI44" s="2378"/>
      <c r="BJ44" s="2378"/>
      <c r="BK44" s="2378"/>
      <c r="BL44" s="2378"/>
      <c r="BM44" s="2378"/>
      <c r="BN44" s="2378"/>
      <c r="BO44" s="2378"/>
      <c r="BP44" s="2378"/>
      <c r="BQ44" s="2378"/>
      <c r="BR44" s="2378"/>
      <c r="BS44" s="2378"/>
      <c r="BT44" s="2378"/>
      <c r="BU44" s="2378"/>
      <c r="BV44" s="2378"/>
      <c r="BW44" s="2378"/>
      <c r="BX44" s="2378"/>
    </row>
    <row r="45" spans="1:76" s="204" customFormat="1" ht="12.95" customHeight="1" thickTop="1"/>
    <row r="46" spans="1:76" ht="12.95" customHeight="1">
      <c r="A46" s="400" t="s">
        <v>584</v>
      </c>
      <c r="C46" s="400" t="s">
        <v>281</v>
      </c>
    </row>
    <row r="47" spans="1:76" ht="12.95" customHeight="1">
      <c r="D47" s="400" t="s">
        <v>282</v>
      </c>
      <c r="AB47" s="2375">
        <f>'Sources and Uses Budget'!B105-MAX(IF('Sources and Uses Budget'!B15="",0,'Sources and Uses Budget'!B15),IF(Application!AG403="",0,Application!AG403))</f>
        <v>85202321</v>
      </c>
      <c r="AC47" s="2376"/>
      <c r="AD47" s="2376"/>
      <c r="AE47" s="2376"/>
      <c r="AF47" s="2377"/>
    </row>
    <row r="48" spans="1:76" ht="12.95" customHeight="1">
      <c r="D48" s="400" t="s">
        <v>21</v>
      </c>
      <c r="AB48" s="2375">
        <f>Application!AO647-MAX(IF('Sources and Uses Budget'!B15="",0,'Sources and Uses Budget'!B15),IF(Application!AG403="",0,Application!AG403))</f>
        <v>53251142</v>
      </c>
      <c r="AC48" s="2376"/>
      <c r="AD48" s="2376"/>
      <c r="AE48" s="2376"/>
      <c r="AF48" s="2377"/>
    </row>
    <row r="49" spans="1:76" ht="12.95" customHeight="1">
      <c r="D49" s="400" t="s">
        <v>91</v>
      </c>
      <c r="AB49" s="2375">
        <f>AB47-AB48</f>
        <v>31951179</v>
      </c>
      <c r="AC49" s="2376"/>
      <c r="AD49" s="2376"/>
      <c r="AE49" s="2376"/>
      <c r="AF49" s="2377"/>
    </row>
    <row r="50" spans="1:76" ht="12.95" customHeight="1">
      <c r="D50" s="400" t="s">
        <v>679</v>
      </c>
      <c r="AA50" s="411"/>
      <c r="AB50" s="2363">
        <f>31951179/38285590</f>
        <v>0.83454842931766238</v>
      </c>
      <c r="AC50" s="2364"/>
      <c r="AD50" s="2364"/>
      <c r="AE50" s="2364"/>
      <c r="AF50" s="2365"/>
    </row>
    <row r="51" spans="1:76" s="413" customFormat="1" ht="12.95" customHeight="1">
      <c r="A51" s="398"/>
      <c r="B51" s="398"/>
      <c r="C51" s="398"/>
      <c r="D51" s="398"/>
      <c r="E51" s="2374" t="s">
        <v>2525</v>
      </c>
      <c r="F51" s="2374"/>
      <c r="G51" s="2374"/>
      <c r="H51" s="2374"/>
      <c r="I51" s="2374"/>
      <c r="J51" s="2374"/>
      <c r="K51" s="2374"/>
      <c r="L51" s="2374"/>
      <c r="M51" s="2374"/>
      <c r="N51" s="2374"/>
      <c r="O51" s="2374"/>
      <c r="P51" s="2374"/>
      <c r="Q51" s="2374"/>
      <c r="R51" s="2374"/>
      <c r="S51" s="2374"/>
      <c r="T51" s="2374"/>
      <c r="U51" s="2374"/>
      <c r="V51" s="2374"/>
      <c r="W51" s="2374"/>
      <c r="X51" s="2374"/>
      <c r="Y51" s="2374"/>
      <c r="Z51" s="2374"/>
      <c r="AA51" s="412"/>
      <c r="AB51" s="412"/>
      <c r="AC51" s="412"/>
      <c r="AD51" s="412"/>
      <c r="AE51" s="412"/>
      <c r="AF51" s="412"/>
      <c r="AG51" s="398"/>
      <c r="AH51" s="398"/>
      <c r="AI51" s="398"/>
      <c r="AJ51" s="398"/>
      <c r="AK51" s="398"/>
      <c r="AL51" s="398"/>
      <c r="AM51" s="398"/>
      <c r="AN51" s="398"/>
    </row>
    <row r="52" spans="1:76" s="413" customFormat="1" ht="12.95" customHeight="1">
      <c r="A52" s="398"/>
      <c r="B52" s="398"/>
      <c r="C52" s="398"/>
      <c r="D52" s="398"/>
      <c r="E52" s="2374"/>
      <c r="F52" s="2374"/>
      <c r="G52" s="2374"/>
      <c r="H52" s="2374"/>
      <c r="I52" s="2374"/>
      <c r="J52" s="2374"/>
      <c r="K52" s="2374"/>
      <c r="L52" s="2374"/>
      <c r="M52" s="2374"/>
      <c r="N52" s="2374"/>
      <c r="O52" s="2374"/>
      <c r="P52" s="2374"/>
      <c r="Q52" s="2374"/>
      <c r="R52" s="2374"/>
      <c r="S52" s="2374"/>
      <c r="T52" s="2374"/>
      <c r="U52" s="2374"/>
      <c r="V52" s="2374"/>
      <c r="W52" s="2374"/>
      <c r="X52" s="2374"/>
      <c r="Y52" s="2374"/>
      <c r="Z52" s="2374"/>
      <c r="AA52" s="414"/>
      <c r="AB52" s="414"/>
      <c r="AC52" s="414"/>
      <c r="AD52" s="414"/>
      <c r="AE52" s="414"/>
      <c r="AF52" s="414"/>
      <c r="AG52" s="415"/>
      <c r="AH52" s="398"/>
      <c r="AI52" s="398"/>
      <c r="AJ52" s="398"/>
      <c r="AK52" s="398"/>
      <c r="AL52" s="398"/>
      <c r="AM52" s="398"/>
      <c r="AN52" s="398"/>
    </row>
    <row r="53" spans="1:76" ht="12.95"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2.95" customHeight="1">
      <c r="D54" s="400" t="s">
        <v>331</v>
      </c>
      <c r="AB54" s="2375">
        <f>ROUND(IF(ISERROR((AB49/AB50)),0,(AB49/AB50)),0)</f>
        <v>38285590</v>
      </c>
      <c r="AC54" s="2376"/>
      <c r="AD54" s="2376"/>
      <c r="AE54" s="2376"/>
      <c r="AF54" s="2377"/>
    </row>
    <row r="55" spans="1:76" ht="12.95" customHeight="1">
      <c r="D55" s="400" t="s">
        <v>332</v>
      </c>
      <c r="AB55" s="2375">
        <f>(AB54/10)</f>
        <v>3828559</v>
      </c>
      <c r="AC55" s="2376"/>
      <c r="AD55" s="2376"/>
      <c r="AE55" s="2376"/>
      <c r="AF55" s="2377"/>
    </row>
    <row r="56" spans="1:76" ht="12.95" customHeight="1">
      <c r="D56" s="400" t="s">
        <v>754</v>
      </c>
      <c r="AB56" s="2375">
        <f>ROUND((IF((Y41&lt;AB55),Y41,AB55)),0)</f>
        <v>3828559</v>
      </c>
      <c r="AC56" s="2376"/>
      <c r="AD56" s="2376"/>
      <c r="AE56" s="2376"/>
      <c r="AF56" s="2377"/>
    </row>
    <row r="57" spans="1:76" ht="12.95" customHeight="1">
      <c r="D57" s="400" t="s">
        <v>753</v>
      </c>
      <c r="AB57" s="2375">
        <f>ROUND((10*AB56*AB50),0)</f>
        <v>31951179</v>
      </c>
      <c r="AC57" s="2376"/>
      <c r="AD57" s="2376"/>
      <c r="AE57" s="2376"/>
      <c r="AF57" s="2377"/>
    </row>
    <row r="58" spans="1:76" ht="12.95" customHeight="1">
      <c r="D58" s="400"/>
      <c r="AB58" s="419"/>
      <c r="AC58" s="419"/>
      <c r="AD58" s="419"/>
      <c r="AE58" s="419"/>
      <c r="AF58" s="419"/>
    </row>
    <row r="59" spans="1:76" ht="12.95" customHeight="1">
      <c r="D59" s="400" t="s">
        <v>752</v>
      </c>
      <c r="AB59" s="2359">
        <f>AB49-AB57</f>
        <v>0</v>
      </c>
      <c r="AC59" s="2359"/>
      <c r="AD59" s="2359"/>
      <c r="AE59" s="2359"/>
      <c r="AF59" s="2359"/>
    </row>
    <row r="60" spans="1:76" ht="12.95" customHeight="1">
      <c r="D60" s="400"/>
      <c r="AB60" s="419"/>
      <c r="AC60" s="419"/>
      <c r="AD60" s="419"/>
      <c r="AE60" s="419"/>
      <c r="AF60" s="419"/>
    </row>
    <row r="61" spans="1:76" s="204" customFormat="1" ht="12.95" customHeight="1" thickBot="1">
      <c r="A61" s="2378" t="str">
        <f>IF(Application!AP205="yes","Farmworker State Credit", "State Credit" )</f>
        <v>State Credit</v>
      </c>
      <c r="B61" s="2378"/>
      <c r="C61" s="2378"/>
      <c r="D61" s="2378"/>
      <c r="E61" s="2378"/>
      <c r="F61" s="2378"/>
      <c r="G61" s="2378"/>
      <c r="H61" s="2378"/>
      <c r="I61" s="2378"/>
      <c r="J61" s="2378"/>
      <c r="K61" s="2378"/>
      <c r="L61" s="2378"/>
      <c r="M61" s="2378"/>
      <c r="N61" s="2378"/>
      <c r="O61" s="2378"/>
      <c r="P61" s="2378"/>
      <c r="Q61" s="2378"/>
      <c r="R61" s="2378"/>
      <c r="S61" s="2378"/>
      <c r="T61" s="2378"/>
      <c r="U61" s="2378"/>
      <c r="V61" s="2378"/>
      <c r="W61" s="2378"/>
      <c r="X61" s="2378"/>
      <c r="Y61" s="2378"/>
      <c r="Z61" s="2378"/>
      <c r="AA61" s="2378"/>
      <c r="AB61" s="2378"/>
      <c r="AC61" s="2378"/>
      <c r="AD61" s="2378"/>
      <c r="AE61" s="2378"/>
      <c r="AF61" s="2378"/>
      <c r="AG61" s="2378"/>
      <c r="AH61" s="2378"/>
      <c r="AI61" s="2378"/>
      <c r="AJ61" s="2378"/>
      <c r="AK61" s="2378"/>
      <c r="AL61" s="2378"/>
      <c r="AM61" s="2378"/>
      <c r="AN61" s="2378"/>
      <c r="AO61" s="2378"/>
      <c r="AP61" s="2378"/>
      <c r="AQ61" s="2378"/>
      <c r="AR61" s="2378"/>
      <c r="AS61" s="2378"/>
      <c r="AT61" s="2378"/>
      <c r="AU61" s="2378"/>
      <c r="AV61" s="2378"/>
      <c r="AW61" s="2378"/>
      <c r="AX61" s="2378"/>
      <c r="AY61" s="2378"/>
      <c r="AZ61" s="2378"/>
      <c r="BA61" s="2378"/>
      <c r="BB61" s="2378"/>
      <c r="BC61" s="2378"/>
      <c r="BD61" s="2378"/>
      <c r="BE61" s="2378"/>
      <c r="BF61" s="2378"/>
      <c r="BG61" s="2378"/>
      <c r="BH61" s="2378"/>
      <c r="BI61" s="2378"/>
      <c r="BJ61" s="2378"/>
      <c r="BK61" s="2378"/>
      <c r="BL61" s="2378"/>
      <c r="BM61" s="2378"/>
      <c r="BN61" s="2378"/>
      <c r="BO61" s="2378"/>
      <c r="BP61" s="2378"/>
      <c r="BQ61" s="2378"/>
      <c r="BR61" s="2378"/>
      <c r="BS61" s="2378"/>
      <c r="BT61" s="2378"/>
      <c r="BU61" s="2378"/>
      <c r="BV61" s="2378"/>
      <c r="BW61" s="2378"/>
      <c r="BX61" s="2378"/>
    </row>
    <row r="62" spans="1:76" s="204" customFormat="1" ht="12.95" customHeight="1" thickTop="1"/>
    <row r="63" spans="1:76" ht="12.95" customHeight="1">
      <c r="A63" s="400" t="s">
        <v>587</v>
      </c>
      <c r="C63" s="205" t="s">
        <v>1245</v>
      </c>
      <c r="Y63" s="2370" t="s">
        <v>982</v>
      </c>
      <c r="Z63" s="2370"/>
      <c r="AA63" s="2370"/>
      <c r="AB63" s="2370"/>
      <c r="AC63" s="2370"/>
      <c r="AD63" s="2370" t="s">
        <v>368</v>
      </c>
      <c r="AE63" s="2370"/>
      <c r="AF63" s="2370"/>
      <c r="AG63" s="2370"/>
      <c r="AH63" s="2370"/>
    </row>
    <row r="64" spans="1:76" ht="12.95" customHeight="1">
      <c r="C64" s="400"/>
      <c r="D64" s="373" t="s">
        <v>1246</v>
      </c>
      <c r="E64" s="416"/>
      <c r="F64" s="416"/>
      <c r="G64" s="416"/>
      <c r="H64" s="416"/>
      <c r="I64" s="416"/>
      <c r="J64" s="416"/>
      <c r="K64" s="416"/>
      <c r="L64" s="416"/>
      <c r="M64" s="416"/>
      <c r="N64" s="416"/>
      <c r="O64" s="416"/>
      <c r="P64" s="416"/>
      <c r="Q64" s="416"/>
      <c r="R64" s="416"/>
      <c r="S64" s="416"/>
      <c r="T64" s="416"/>
      <c r="U64" s="416"/>
      <c r="V64" s="416"/>
      <c r="W64" s="416"/>
      <c r="X64" s="416"/>
      <c r="Y64" s="2371">
        <f>IF(Application!$Z$205="(select)",0,((T23*T27)+Y28))</f>
        <v>0</v>
      </c>
      <c r="Z64" s="2372"/>
      <c r="AA64" s="2372"/>
      <c r="AB64" s="2372"/>
      <c r="AC64" s="2373"/>
      <c r="AD64" s="2371">
        <f>IF(AND(OR(Application!D211="At-Risk",Application!D211="At-Risk and Special Needs"),Application!M367="yes"),AD28+AI28,0)</f>
        <v>0</v>
      </c>
      <c r="AE64" s="2372"/>
      <c r="AF64" s="2372"/>
      <c r="AG64" s="2372"/>
      <c r="AH64" s="2373"/>
    </row>
    <row r="65" spans="1:37" ht="12.95" customHeight="1">
      <c r="C65" s="400"/>
      <c r="E65" s="1007" t="s">
        <v>1817</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1818</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2.95" customHeight="1">
      <c r="C67" s="400"/>
      <c r="D67" s="400" t="s">
        <v>269</v>
      </c>
      <c r="E67" s="417"/>
      <c r="F67" s="417"/>
      <c r="G67" s="417"/>
      <c r="H67" s="417"/>
      <c r="I67" s="417"/>
      <c r="J67" s="417"/>
      <c r="K67" s="417"/>
      <c r="L67" s="417"/>
      <c r="M67" s="417"/>
      <c r="N67" s="417"/>
      <c r="O67" s="417"/>
      <c r="P67" s="417"/>
      <c r="Q67" s="417"/>
      <c r="R67" s="417"/>
      <c r="S67" s="417"/>
      <c r="T67" s="417"/>
      <c r="U67" s="417"/>
      <c r="V67" s="417"/>
      <c r="W67" s="417"/>
      <c r="X67" s="417"/>
      <c r="Y67" s="2360">
        <f>IF(OR(Application!Z205="State Farmworker Credit",Application!Z205="$500M (Farmworker Housing)"),0.75,IF(Application!Z205="15% set-aside",0.13,IF(Application!Z205="15% set-aside with qualifying low value rehab",0.95,IF(Application!Z205="$500M",0.3,0))))</f>
        <v>0</v>
      </c>
      <c r="Z67" s="2360"/>
      <c r="AA67" s="2360"/>
      <c r="AB67" s="2360"/>
      <c r="AC67" s="2360"/>
      <c r="AD67" s="2360">
        <f>IF(Application!Z205="15% set-aside with qualifying low value rehab", 0.95,IF(OR(Application!D211="At-Risk",'Points System'!B26="Yes"),0.13,0))</f>
        <v>0</v>
      </c>
      <c r="AE67" s="2360"/>
      <c r="AF67" s="2360"/>
      <c r="AG67" s="2360"/>
      <c r="AH67" s="2360"/>
    </row>
    <row r="68" spans="1:37" ht="12.95" customHeight="1">
      <c r="C68" s="400"/>
      <c r="D68" s="205" t="s">
        <v>2171</v>
      </c>
      <c r="Y68" s="2361">
        <f>IF(AND(T25=1.3,OR(Y67=0.13,Y67=0.95),NOT(Application!T212&gt;=50%)),0,ROUND(Y64*Y67,0))</f>
        <v>0</v>
      </c>
      <c r="Z68" s="2362"/>
      <c r="AA68" s="2362"/>
      <c r="AB68" s="2362"/>
      <c r="AC68" s="2362"/>
      <c r="AD68" s="2361">
        <f>IF(AND(T25=1.3,AD67&gt;0,NOT(Application!T212&gt;=50%)),0,ROUND(AD64*AD67,0))</f>
        <v>0</v>
      </c>
      <c r="AE68" s="2362"/>
      <c r="AF68" s="2362"/>
      <c r="AG68" s="2362"/>
      <c r="AH68" s="2362"/>
      <c r="AK68" s="1187"/>
    </row>
    <row r="69" spans="1:37" ht="12.95" customHeight="1">
      <c r="C69" s="400"/>
      <c r="D69" s="205" t="s">
        <v>2172</v>
      </c>
      <c r="Y69" s="2361">
        <f>IF(OR(Application!Z205="State Farmworker Credit",Application!Z205="$500M (Farmworker Housing)"),Y68+AD68,MIN(Y68+AD68,200000*(Application!G761+Application!O785)))</f>
        <v>0</v>
      </c>
      <c r="Z69" s="2361"/>
      <c r="AA69" s="2361"/>
      <c r="AB69" s="2361"/>
      <c r="AC69" s="2361"/>
      <c r="AD69" s="2361"/>
      <c r="AE69" s="2361"/>
      <c r="AF69" s="2361"/>
      <c r="AG69" s="2361"/>
      <c r="AH69" s="2361"/>
    </row>
    <row r="70" spans="1:37" ht="12.95" customHeight="1">
      <c r="C70" s="400"/>
      <c r="E70" s="400"/>
      <c r="AB70" s="418"/>
      <c r="AC70" s="418"/>
      <c r="AD70" s="418"/>
      <c r="AE70" s="418"/>
      <c r="AF70" s="418"/>
    </row>
    <row r="71" spans="1:37" ht="12.95" customHeight="1">
      <c r="A71" s="400" t="s">
        <v>588</v>
      </c>
      <c r="C71" s="205" t="s">
        <v>283</v>
      </c>
    </row>
    <row r="72" spans="1:37" ht="12.95" customHeight="1">
      <c r="A72" s="400"/>
      <c r="C72" s="400"/>
      <c r="D72" s="205" t="s">
        <v>1247</v>
      </c>
      <c r="AB72" s="2363"/>
      <c r="AC72" s="2364"/>
      <c r="AD72" s="2364"/>
      <c r="AE72" s="2364"/>
      <c r="AF72" s="2365"/>
    </row>
    <row r="73" spans="1:37" ht="12.95" customHeight="1">
      <c r="A73" s="400"/>
      <c r="C73" s="400"/>
      <c r="D73" s="400"/>
      <c r="E73" s="2366" t="s">
        <v>1248</v>
      </c>
      <c r="F73" s="2366"/>
      <c r="G73" s="2366"/>
      <c r="H73" s="2366"/>
      <c r="I73" s="2366"/>
      <c r="J73" s="2366"/>
      <c r="K73" s="2366"/>
      <c r="L73" s="2366"/>
      <c r="M73" s="2366"/>
      <c r="N73" s="2366"/>
      <c r="O73" s="2366"/>
      <c r="P73" s="2366"/>
      <c r="Q73" s="2366"/>
      <c r="R73" s="2366"/>
      <c r="S73" s="2366"/>
      <c r="T73" s="2366"/>
      <c r="U73" s="2366"/>
      <c r="V73" s="2366"/>
      <c r="W73" s="2366"/>
      <c r="X73" s="2366"/>
      <c r="Y73" s="2366"/>
      <c r="Z73" s="2366"/>
      <c r="AA73" s="2366"/>
      <c r="AB73" s="434"/>
      <c r="AC73" s="434"/>
    </row>
    <row r="74" spans="1:37" ht="12.95" customHeight="1">
      <c r="A74" s="400"/>
      <c r="C74" s="400"/>
      <c r="D74" s="400"/>
      <c r="E74" s="2366"/>
      <c r="F74" s="2366"/>
      <c r="G74" s="2366"/>
      <c r="H74" s="2366"/>
      <c r="I74" s="2366"/>
      <c r="J74" s="2366"/>
      <c r="K74" s="2366"/>
      <c r="L74" s="2366"/>
      <c r="M74" s="2366"/>
      <c r="N74" s="2366"/>
      <c r="O74" s="2366"/>
      <c r="P74" s="2366"/>
      <c r="Q74" s="2366"/>
      <c r="R74" s="2366"/>
      <c r="S74" s="2366"/>
      <c r="T74" s="2366"/>
      <c r="U74" s="2366"/>
      <c r="V74" s="2366"/>
      <c r="W74" s="2366"/>
      <c r="X74" s="2366"/>
      <c r="Y74" s="2366"/>
      <c r="Z74" s="2366"/>
      <c r="AA74" s="2366"/>
      <c r="AB74" s="434"/>
      <c r="AC74" s="434"/>
    </row>
    <row r="75" spans="1:37" ht="12.95" customHeight="1">
      <c r="A75" s="400"/>
      <c r="C75" s="400"/>
      <c r="D75" s="400"/>
      <c r="E75" s="2366"/>
      <c r="F75" s="2366"/>
      <c r="G75" s="2366"/>
      <c r="H75" s="2366"/>
      <c r="I75" s="2366"/>
      <c r="J75" s="2366"/>
      <c r="K75" s="2366"/>
      <c r="L75" s="2366"/>
      <c r="M75" s="2366"/>
      <c r="N75" s="2366"/>
      <c r="O75" s="2366"/>
      <c r="P75" s="2366"/>
      <c r="Q75" s="2366"/>
      <c r="R75" s="2366"/>
      <c r="S75" s="2366"/>
      <c r="T75" s="2366"/>
      <c r="U75" s="2366"/>
      <c r="V75" s="2366"/>
      <c r="W75" s="2366"/>
      <c r="X75" s="2366"/>
      <c r="Y75" s="2366"/>
      <c r="Z75" s="2366"/>
      <c r="AA75" s="2366"/>
      <c r="AB75" s="434"/>
      <c r="AC75" s="434"/>
    </row>
    <row r="76" spans="1:37" ht="12.95"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2.95" customHeight="1">
      <c r="C77" s="400"/>
      <c r="D77" s="205" t="s">
        <v>1249</v>
      </c>
      <c r="AB77" s="2354">
        <f>ROUND(IF(ISERROR((AB59/AB72)),0,(AB59/AB72)),0)</f>
        <v>0</v>
      </c>
      <c r="AC77" s="2354"/>
      <c r="AD77" s="2354"/>
      <c r="AE77" s="2354"/>
      <c r="AF77" s="2354"/>
    </row>
    <row r="78" spans="1:37" ht="12.95" customHeight="1">
      <c r="C78" s="400"/>
      <c r="D78" s="205" t="s">
        <v>1250</v>
      </c>
      <c r="AB78" s="2355">
        <f>ROUNDUP(MIN(Y69,AB77),0)</f>
        <v>0</v>
      </c>
      <c r="AC78" s="2356"/>
      <c r="AD78" s="2356"/>
      <c r="AE78" s="2356"/>
      <c r="AF78" s="2357"/>
    </row>
    <row r="79" spans="1:37" ht="12.95" customHeight="1">
      <c r="C79" s="400"/>
      <c r="D79" s="205" t="s">
        <v>1251</v>
      </c>
      <c r="AB79" s="2358">
        <f>AB78*AB72</f>
        <v>0</v>
      </c>
      <c r="AC79" s="2358"/>
      <c r="AD79" s="2358"/>
      <c r="AE79" s="2358"/>
      <c r="AF79" s="2358"/>
    </row>
    <row r="80" spans="1:37" ht="12.95" customHeight="1">
      <c r="C80" s="400"/>
      <c r="D80" s="400"/>
      <c r="AB80" s="421"/>
      <c r="AC80" s="421"/>
      <c r="AD80" s="421"/>
      <c r="AE80" s="421"/>
      <c r="AF80" s="421"/>
    </row>
    <row r="81" spans="1:78" ht="12.95" customHeight="1">
      <c r="D81" s="400" t="s">
        <v>752</v>
      </c>
      <c r="AB81" s="2359">
        <f>AB49-(AB57+AB79)</f>
        <v>0</v>
      </c>
      <c r="AC81" s="2359"/>
      <c r="AD81" s="2359"/>
      <c r="AE81" s="2359"/>
      <c r="AF81" s="2359"/>
    </row>
    <row r="82" spans="1:78" ht="12.95" customHeight="1">
      <c r="F82" s="518"/>
      <c r="J82" s="518" t="str">
        <f>IF(AB81&gt;0,"FUNDING GAP MUST NOT EXCEED ZERO","")</f>
        <v/>
      </c>
    </row>
    <row r="83" spans="1:78" ht="12.95" customHeight="1">
      <c r="D83" s="519"/>
    </row>
    <row r="84" spans="1:78" ht="12.95" customHeight="1" thickBot="1">
      <c r="A84" s="2378"/>
      <c r="B84" s="2378"/>
      <c r="C84" s="2378"/>
      <c r="D84" s="2378"/>
      <c r="E84" s="2378"/>
      <c r="F84" s="2378"/>
      <c r="G84" s="2378"/>
      <c r="H84" s="2378"/>
      <c r="I84" s="2378"/>
      <c r="J84" s="2378"/>
      <c r="K84" s="2378"/>
      <c r="L84" s="2378"/>
      <c r="M84" s="2378"/>
      <c r="N84" s="2378"/>
      <c r="O84" s="2378"/>
      <c r="P84" s="2378"/>
      <c r="Q84" s="2378"/>
      <c r="R84" s="2378"/>
      <c r="S84" s="2378"/>
      <c r="T84" s="2378"/>
      <c r="U84" s="2378"/>
      <c r="V84" s="2378"/>
      <c r="W84" s="2378"/>
      <c r="X84" s="2378"/>
      <c r="Y84" s="2378"/>
      <c r="Z84" s="2378"/>
      <c r="AA84" s="2378"/>
      <c r="AB84" s="2378"/>
      <c r="AC84" s="2378"/>
      <c r="AD84" s="2378"/>
      <c r="AE84" s="2378"/>
      <c r="AF84" s="2378"/>
      <c r="AG84" s="2378"/>
      <c r="AH84" s="2378"/>
      <c r="AI84" s="2378"/>
      <c r="AJ84" s="2378"/>
      <c r="AK84" s="2378"/>
      <c r="AL84" s="2378"/>
      <c r="AM84" s="2378"/>
      <c r="AN84" s="2378"/>
      <c r="AO84" s="2378"/>
      <c r="AP84" s="2378"/>
      <c r="AQ84" s="2378"/>
      <c r="AR84" s="2378"/>
      <c r="AS84" s="2378"/>
      <c r="AT84" s="2378"/>
      <c r="AU84" s="2378"/>
      <c r="AV84" s="2378"/>
      <c r="AW84" s="2378"/>
      <c r="AX84" s="2378"/>
      <c r="AY84" s="2378"/>
      <c r="AZ84" s="2378"/>
      <c r="BA84" s="2378"/>
      <c r="BB84" s="2378"/>
      <c r="BC84" s="2378"/>
      <c r="BD84" s="2378"/>
      <c r="BE84" s="2378"/>
      <c r="BF84" s="2378"/>
      <c r="BG84" s="2378"/>
      <c r="BH84" s="2378"/>
      <c r="BI84" s="2378"/>
      <c r="BJ84" s="2378"/>
      <c r="BK84" s="2378"/>
      <c r="BL84" s="2378"/>
      <c r="BM84" s="2378"/>
      <c r="BN84" s="2378"/>
      <c r="BO84" s="2378"/>
      <c r="BP84" s="2378"/>
      <c r="BQ84" s="2378"/>
      <c r="BR84" s="2378"/>
      <c r="BS84" s="2378"/>
      <c r="BT84" s="2378"/>
      <c r="BU84" s="2378"/>
      <c r="BV84" s="2378"/>
      <c r="BW84" s="2378"/>
      <c r="BX84" s="2378"/>
    </row>
    <row r="85" spans="1:78" ht="12.95" customHeight="1" thickTop="1"/>
    <row r="86" spans="1:78" ht="12.95" hidden="1" customHeight="1">
      <c r="A86" s="400"/>
      <c r="C86" s="205"/>
    </row>
    <row r="87" spans="1:78" ht="12.95" hidden="1" customHeight="1">
      <c r="D87" s="205"/>
      <c r="AB87" s="2410"/>
      <c r="AC87" s="2410"/>
      <c r="AD87" s="2410"/>
      <c r="AE87" s="2410"/>
      <c r="AF87" s="2410"/>
    </row>
    <row r="88" spans="1:78" ht="12.95" hidden="1" customHeight="1" thickBot="1">
      <c r="D88" s="205"/>
      <c r="AB88" s="2409"/>
      <c r="AC88" s="2409"/>
      <c r="AD88" s="2409"/>
      <c r="AE88" s="2409"/>
      <c r="AF88" s="2409"/>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2.95"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zoomScale="120" zoomScaleNormal="120" workbookViewId="0">
      <selection activeCell="AK133" sqref="AK133"/>
    </sheetView>
  </sheetViews>
  <sheetFormatPr defaultColWidth="0" defaultRowHeight="12.75" zeroHeight="1"/>
  <cols>
    <col min="1" max="1" width="2.7109375" style="14" customWidth="1"/>
    <col min="2" max="3" width="2.42578125" style="14" customWidth="1"/>
    <col min="4" max="4" width="3.140625" style="14" customWidth="1"/>
    <col min="5" max="5" width="3.42578125" style="14" customWidth="1"/>
    <col min="6" max="6" width="2.85546875" style="14" customWidth="1"/>
    <col min="7" max="14" width="2.42578125" style="14" customWidth="1"/>
    <col min="15" max="15" width="2.85546875" style="14" customWidth="1"/>
    <col min="16" max="16" width="2.42578125" style="14" customWidth="1"/>
    <col min="17" max="17" width="3.85546875" style="14" customWidth="1"/>
    <col min="18" max="18" width="4.42578125" style="14" customWidth="1"/>
    <col min="19" max="19" width="3.28515625" style="14" customWidth="1"/>
    <col min="20" max="32" width="2.42578125" style="14" customWidth="1"/>
    <col min="33" max="33" width="3.42578125" style="14" customWidth="1"/>
    <col min="34" max="36" width="2.42578125" style="14" customWidth="1"/>
    <col min="37" max="37" width="5.42578125" style="14" customWidth="1"/>
    <col min="38" max="38" width="2.42578125" style="14" customWidth="1"/>
    <col min="39" max="39" width="3.42578125" style="14" customWidth="1"/>
    <col min="40" max="40" width="5.42578125" style="530" customWidth="1"/>
    <col min="41" max="41" width="5.42578125" style="30" hidden="1" customWidth="1"/>
    <col min="42" max="45" width="5.42578125" style="14" hidden="1" customWidth="1"/>
    <col min="46" max="46" width="10.85546875" style="14" hidden="1" customWidth="1"/>
    <col min="47" max="48" width="5.42578125" style="14" hidden="1" customWidth="1"/>
    <col min="49" max="49" width="8.7109375" style="14" hidden="1" customWidth="1"/>
    <col min="50" max="50" width="7.42578125" style="14" hidden="1" customWidth="1"/>
    <col min="51" max="55" width="5.42578125" style="14" hidden="1" customWidth="1"/>
    <col min="56" max="60" width="5.42578125" style="32" hidden="1" customWidth="1"/>
    <col min="61" max="81" width="5.42578125" style="14" hidden="1" customWidth="1"/>
    <col min="82" max="16384" width="9.140625" style="14" hidden="1"/>
  </cols>
  <sheetData>
    <row r="1" spans="1:41" ht="15.75" customHeight="1">
      <c r="A1" s="2454" t="s">
        <v>1296</v>
      </c>
      <c r="B1" s="2454"/>
      <c r="C1" s="2454"/>
      <c r="D1" s="2454"/>
      <c r="E1" s="2454"/>
      <c r="F1" s="2454"/>
      <c r="G1" s="2454"/>
      <c r="H1" s="2454"/>
      <c r="I1" s="2454"/>
      <c r="J1" s="2454"/>
      <c r="K1" s="2454"/>
      <c r="L1" s="2454"/>
      <c r="M1" s="2454"/>
      <c r="N1" s="2454"/>
      <c r="O1" s="2454"/>
      <c r="P1" s="2454"/>
      <c r="Q1" s="2454"/>
      <c r="R1" s="2454"/>
      <c r="S1" s="2454"/>
      <c r="T1" s="2454"/>
      <c r="U1" s="2454"/>
      <c r="V1" s="2454"/>
      <c r="W1" s="2454"/>
      <c r="X1" s="2454"/>
      <c r="Y1" s="2454"/>
      <c r="Z1" s="2454"/>
      <c r="AA1" s="2454"/>
      <c r="AB1" s="2454"/>
      <c r="AC1" s="2454"/>
      <c r="AD1" s="2454"/>
      <c r="AE1" s="2454"/>
      <c r="AF1" s="2454"/>
      <c r="AG1" s="2454"/>
      <c r="AH1" s="2454"/>
      <c r="AI1" s="2454"/>
      <c r="AJ1" s="2454"/>
      <c r="AK1" s="2454"/>
      <c r="AL1" s="2454"/>
      <c r="AM1" s="2454"/>
    </row>
    <row r="2" spans="1:41" s="532" customFormat="1" ht="12.75" customHeight="1" thickBot="1">
      <c r="A2" s="2455"/>
      <c r="B2" s="2455"/>
      <c r="C2" s="2455"/>
      <c r="D2" s="2455"/>
      <c r="E2" s="2455"/>
      <c r="F2" s="2455"/>
      <c r="G2" s="2455"/>
      <c r="H2" s="2455"/>
      <c r="I2" s="2455"/>
      <c r="J2" s="2455"/>
      <c r="K2" s="2455"/>
      <c r="L2" s="2455"/>
      <c r="M2" s="2455"/>
      <c r="N2" s="2455"/>
      <c r="O2" s="2455"/>
      <c r="P2" s="2455"/>
      <c r="Q2" s="2455"/>
      <c r="R2" s="2455"/>
      <c r="S2" s="2455"/>
      <c r="T2" s="2455"/>
      <c r="U2" s="2455"/>
      <c r="V2" s="2455"/>
      <c r="W2" s="2455"/>
      <c r="X2" s="2455"/>
      <c r="Y2" s="2455"/>
      <c r="Z2" s="2455"/>
      <c r="AA2" s="2455"/>
      <c r="AB2" s="2455"/>
      <c r="AC2" s="2455"/>
      <c r="AD2" s="2455"/>
      <c r="AE2" s="2455"/>
      <c r="AF2" s="2455"/>
      <c r="AG2" s="2455"/>
      <c r="AH2" s="2455"/>
      <c r="AI2" s="2455"/>
      <c r="AJ2" s="2455"/>
      <c r="AK2" s="2455"/>
      <c r="AL2" s="2455"/>
      <c r="AM2" s="2455"/>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1297</v>
      </c>
      <c r="B4" s="535" t="s">
        <v>1298</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1299</v>
      </c>
      <c r="B7" s="535" t="s">
        <v>2538</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47" t="s">
        <v>1300</v>
      </c>
      <c r="AF7" s="2447"/>
      <c r="AG7" s="2447"/>
      <c r="AH7" s="2447"/>
      <c r="AI7" s="2447"/>
      <c r="AJ7" s="2447"/>
      <c r="AK7" s="2447"/>
      <c r="AL7" s="536"/>
      <c r="AM7" s="536"/>
      <c r="AN7" s="531"/>
    </row>
    <row r="8" spans="1:41"/>
    <row r="9" spans="1:41" s="532" customFormat="1" ht="12.75" customHeight="1">
      <c r="A9" s="535"/>
      <c r="B9" s="535" t="s">
        <v>2541</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419" t="s">
        <v>589</v>
      </c>
      <c r="C11" s="2419"/>
      <c r="D11" s="536"/>
      <c r="E11" s="2435" t="s">
        <v>2539</v>
      </c>
      <c r="F11" s="2436"/>
      <c r="G11" s="2436"/>
      <c r="H11" s="2436"/>
      <c r="I11" s="2436"/>
      <c r="J11" s="2436"/>
      <c r="K11" s="2436"/>
      <c r="L11" s="2436"/>
      <c r="M11" s="2436"/>
      <c r="N11" s="2436"/>
      <c r="O11" s="2436"/>
      <c r="P11" s="2436"/>
      <c r="Q11" s="2436"/>
      <c r="R11" s="2436"/>
      <c r="S11" s="2436"/>
      <c r="T11" s="2436"/>
      <c r="U11" s="2436"/>
      <c r="V11" s="2436"/>
      <c r="W11" s="2436"/>
      <c r="X11" s="2436"/>
      <c r="Y11" s="2436"/>
      <c r="Z11" s="2436"/>
      <c r="AA11" s="2436"/>
      <c r="AB11" s="2436"/>
      <c r="AC11" s="2436"/>
      <c r="AD11" s="2436"/>
      <c r="AE11" s="2436"/>
      <c r="AF11" s="2436"/>
      <c r="AG11" s="2436"/>
      <c r="AH11" s="2436"/>
      <c r="AI11" s="2436"/>
      <c r="AJ11" s="2437"/>
      <c r="AK11" s="536"/>
      <c r="AL11" s="536"/>
      <c r="AM11" s="536"/>
      <c r="AN11" s="531"/>
      <c r="AO11" s="552"/>
    </row>
    <row r="12" spans="1:41" s="532" customFormat="1" ht="12.75" customHeight="1">
      <c r="A12" s="536"/>
      <c r="D12" s="541"/>
      <c r="E12" s="2464"/>
      <c r="F12" s="2465"/>
      <c r="G12" s="2465"/>
      <c r="H12" s="2465"/>
      <c r="I12" s="2465"/>
      <c r="J12" s="2465"/>
      <c r="K12" s="2465"/>
      <c r="L12" s="2465"/>
      <c r="M12" s="2465"/>
      <c r="N12" s="2465"/>
      <c r="O12" s="2465"/>
      <c r="P12" s="2465"/>
      <c r="Q12" s="2465"/>
      <c r="R12" s="2465"/>
      <c r="S12" s="2465"/>
      <c r="T12" s="2465"/>
      <c r="U12" s="2465"/>
      <c r="V12" s="2465"/>
      <c r="W12" s="2465"/>
      <c r="X12" s="2465"/>
      <c r="Y12" s="2465"/>
      <c r="Z12" s="2465"/>
      <c r="AA12" s="2465"/>
      <c r="AB12" s="2465"/>
      <c r="AC12" s="2465"/>
      <c r="AD12" s="2465"/>
      <c r="AE12" s="2465"/>
      <c r="AF12" s="2465"/>
      <c r="AG12" s="2465"/>
      <c r="AH12" s="2465"/>
      <c r="AI12" s="2465"/>
      <c r="AJ12" s="2466"/>
      <c r="AK12" s="536"/>
      <c r="AL12" s="536"/>
      <c r="AM12" s="536"/>
      <c r="AN12" s="531"/>
      <c r="AO12" s="552"/>
    </row>
    <row r="13" spans="1:41" s="532" customFormat="1" ht="12.75" customHeight="1">
      <c r="A13" s="536"/>
      <c r="D13" s="536"/>
      <c r="E13" s="2438"/>
      <c r="F13" s="2439"/>
      <c r="G13" s="2439"/>
      <c r="H13" s="2439"/>
      <c r="I13" s="2439"/>
      <c r="J13" s="2439"/>
      <c r="K13" s="2439"/>
      <c r="L13" s="2439"/>
      <c r="M13" s="2439"/>
      <c r="N13" s="2439"/>
      <c r="O13" s="2439"/>
      <c r="P13" s="2439"/>
      <c r="Q13" s="2439"/>
      <c r="R13" s="2439"/>
      <c r="S13" s="2439"/>
      <c r="T13" s="2439"/>
      <c r="U13" s="2439"/>
      <c r="V13" s="2439"/>
      <c r="W13" s="2439"/>
      <c r="X13" s="2439"/>
      <c r="Y13" s="2439"/>
      <c r="Z13" s="2439"/>
      <c r="AA13" s="2439"/>
      <c r="AB13" s="2439"/>
      <c r="AC13" s="2439"/>
      <c r="AD13" s="2439"/>
      <c r="AE13" s="2439"/>
      <c r="AF13" s="2439"/>
      <c r="AG13" s="2439"/>
      <c r="AH13" s="2439"/>
      <c r="AI13" s="2439"/>
      <c r="AJ13" s="2440"/>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419" t="s">
        <v>589</v>
      </c>
      <c r="C15" s="2419"/>
      <c r="D15" s="536"/>
      <c r="E15" s="2435" t="s">
        <v>2540</v>
      </c>
      <c r="F15" s="2436"/>
      <c r="G15" s="2436"/>
      <c r="H15" s="2436"/>
      <c r="I15" s="2436"/>
      <c r="J15" s="2436"/>
      <c r="K15" s="2436"/>
      <c r="L15" s="2436"/>
      <c r="M15" s="2436"/>
      <c r="N15" s="2436"/>
      <c r="O15" s="2436"/>
      <c r="P15" s="2436"/>
      <c r="Q15" s="2436"/>
      <c r="R15" s="2436"/>
      <c r="S15" s="2436"/>
      <c r="T15" s="2436"/>
      <c r="U15" s="2436"/>
      <c r="V15" s="2436"/>
      <c r="W15" s="2436"/>
      <c r="X15" s="2436"/>
      <c r="Y15" s="2436"/>
      <c r="Z15" s="2436"/>
      <c r="AA15" s="2436"/>
      <c r="AB15" s="2436"/>
      <c r="AC15" s="2436"/>
      <c r="AD15" s="2436"/>
      <c r="AE15" s="2436"/>
      <c r="AF15" s="2436"/>
      <c r="AG15" s="2436"/>
      <c r="AH15" s="2436"/>
      <c r="AI15" s="2436"/>
      <c r="AJ15" s="2437"/>
      <c r="AK15" s="536"/>
      <c r="AL15" s="536"/>
      <c r="AM15" s="536"/>
      <c r="AN15" s="531"/>
    </row>
    <row r="16" spans="1:41" s="532" customFormat="1" ht="12.75" customHeight="1">
      <c r="A16" s="536"/>
      <c r="B16" s="536"/>
      <c r="C16" s="536"/>
      <c r="D16" s="536"/>
      <c r="E16" s="2464"/>
      <c r="F16" s="2465"/>
      <c r="G16" s="2465"/>
      <c r="H16" s="2465"/>
      <c r="I16" s="2465"/>
      <c r="J16" s="2465"/>
      <c r="K16" s="2465"/>
      <c r="L16" s="2465"/>
      <c r="M16" s="2465"/>
      <c r="N16" s="2465"/>
      <c r="O16" s="2465"/>
      <c r="P16" s="2465"/>
      <c r="Q16" s="2465"/>
      <c r="R16" s="2465"/>
      <c r="S16" s="2465"/>
      <c r="T16" s="2465"/>
      <c r="U16" s="2465"/>
      <c r="V16" s="2465"/>
      <c r="W16" s="2465"/>
      <c r="X16" s="2465"/>
      <c r="Y16" s="2465"/>
      <c r="Z16" s="2465"/>
      <c r="AA16" s="2465"/>
      <c r="AB16" s="2465"/>
      <c r="AC16" s="2465"/>
      <c r="AD16" s="2465"/>
      <c r="AE16" s="2465"/>
      <c r="AF16" s="2465"/>
      <c r="AG16" s="2465"/>
      <c r="AH16" s="2465"/>
      <c r="AI16" s="2465"/>
      <c r="AJ16" s="2466"/>
      <c r="AK16" s="536"/>
      <c r="AL16" s="536"/>
      <c r="AM16" s="536"/>
      <c r="AN16" s="531"/>
    </row>
    <row r="17" spans="1:50" s="532" customFormat="1" ht="12.75" customHeight="1">
      <c r="A17" s="536"/>
      <c r="B17" s="536"/>
      <c r="C17" s="1130"/>
      <c r="D17" s="536"/>
      <c r="E17" s="2438"/>
      <c r="F17" s="2439"/>
      <c r="G17" s="2439"/>
      <c r="H17" s="2439"/>
      <c r="I17" s="2439"/>
      <c r="J17" s="2439"/>
      <c r="K17" s="2439"/>
      <c r="L17" s="2439"/>
      <c r="M17" s="2439"/>
      <c r="N17" s="2439"/>
      <c r="O17" s="2439"/>
      <c r="P17" s="2439"/>
      <c r="Q17" s="2439"/>
      <c r="R17" s="2439"/>
      <c r="S17" s="2439"/>
      <c r="T17" s="2439"/>
      <c r="U17" s="2439"/>
      <c r="V17" s="2439"/>
      <c r="W17" s="2439"/>
      <c r="X17" s="2439"/>
      <c r="Y17" s="2439"/>
      <c r="Z17" s="2439"/>
      <c r="AA17" s="2439"/>
      <c r="AB17" s="2439"/>
      <c r="AC17" s="2439"/>
      <c r="AD17" s="2439"/>
      <c r="AE17" s="2439"/>
      <c r="AF17" s="2439"/>
      <c r="AG17" s="2439"/>
      <c r="AH17" s="2439"/>
      <c r="AI17" s="2439"/>
      <c r="AJ17" s="2440"/>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419" t="s">
        <v>589</v>
      </c>
      <c r="C19" s="2419"/>
      <c r="D19" s="536"/>
      <c r="E19" s="2435" t="s">
        <v>1972</v>
      </c>
      <c r="F19" s="2436"/>
      <c r="G19" s="2436"/>
      <c r="H19" s="2436"/>
      <c r="I19" s="2436"/>
      <c r="J19" s="2436"/>
      <c r="K19" s="2436"/>
      <c r="L19" s="2436"/>
      <c r="M19" s="2436"/>
      <c r="N19" s="2436"/>
      <c r="O19" s="2436"/>
      <c r="P19" s="2436"/>
      <c r="Q19" s="2436"/>
      <c r="R19" s="2436"/>
      <c r="S19" s="2436"/>
      <c r="T19" s="2436"/>
      <c r="U19" s="2436"/>
      <c r="V19" s="2436"/>
      <c r="W19" s="2436"/>
      <c r="X19" s="2436"/>
      <c r="Y19" s="2436"/>
      <c r="Z19" s="2436"/>
      <c r="AA19" s="2436"/>
      <c r="AB19" s="2436"/>
      <c r="AC19" s="2436"/>
      <c r="AD19" s="2436"/>
      <c r="AE19" s="2436"/>
      <c r="AF19" s="2436"/>
      <c r="AG19" s="2436"/>
      <c r="AH19" s="2436"/>
      <c r="AI19" s="2436"/>
      <c r="AJ19" s="2437"/>
      <c r="AK19" s="536"/>
      <c r="AL19" s="536"/>
      <c r="AM19" s="536"/>
      <c r="AN19" s="531"/>
    </row>
    <row r="20" spans="1:50" s="532" customFormat="1" ht="12.75" customHeight="1">
      <c r="A20" s="536"/>
      <c r="B20" s="541"/>
      <c r="C20" s="541"/>
      <c r="D20" s="541"/>
      <c r="E20" s="2438"/>
      <c r="F20" s="2439"/>
      <c r="G20" s="2439"/>
      <c r="H20" s="2439"/>
      <c r="I20" s="2439"/>
      <c r="J20" s="2439"/>
      <c r="K20" s="2439"/>
      <c r="L20" s="2439"/>
      <c r="M20" s="2439"/>
      <c r="N20" s="2439"/>
      <c r="O20" s="2439"/>
      <c r="P20" s="2439"/>
      <c r="Q20" s="2439"/>
      <c r="R20" s="2439"/>
      <c r="S20" s="2439"/>
      <c r="T20" s="2439"/>
      <c r="U20" s="2439"/>
      <c r="V20" s="2439"/>
      <c r="W20" s="2439"/>
      <c r="X20" s="2439"/>
      <c r="Y20" s="2439"/>
      <c r="Z20" s="2439"/>
      <c r="AA20" s="2439"/>
      <c r="AB20" s="2439"/>
      <c r="AC20" s="2439"/>
      <c r="AD20" s="2439"/>
      <c r="AE20" s="2439"/>
      <c r="AF20" s="2439"/>
      <c r="AG20" s="2439"/>
      <c r="AH20" s="2439"/>
      <c r="AI20" s="2439"/>
      <c r="AJ20" s="2440"/>
      <c r="AK20" s="536"/>
      <c r="AL20" s="536"/>
      <c r="AM20" s="536"/>
      <c r="AN20" s="531"/>
      <c r="AO20" s="532">
        <f>IF(AND(B11="Yes",B15="Yes",B19="Yes"),10,0)</f>
        <v>0</v>
      </c>
      <c r="AP20" s="532" t="s">
        <v>1302</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2631</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2542</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419" t="s">
        <v>589</v>
      </c>
      <c r="C26" s="2419"/>
      <c r="D26" s="541"/>
      <c r="E26" s="542" t="s">
        <v>1301</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456"/>
      <c r="AH26" s="2456"/>
      <c r="AI26" s="2456"/>
      <c r="AJ26" s="2457"/>
      <c r="AK26" s="536"/>
      <c r="AL26" s="536"/>
      <c r="AM26" s="536"/>
      <c r="AN26" s="531"/>
      <c r="AO26" s="532">
        <f>IF($B26="yes",20,0)</f>
        <v>0</v>
      </c>
      <c r="AP26" s="14" t="s">
        <v>1302</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2543</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419" t="s">
        <v>589</v>
      </c>
      <c r="C30" s="2419"/>
      <c r="D30" s="541"/>
      <c r="E30" s="2420" t="s">
        <v>2546</v>
      </c>
      <c r="F30" s="2421"/>
      <c r="G30" s="2421"/>
      <c r="H30" s="2421"/>
      <c r="I30" s="2421"/>
      <c r="J30" s="2421"/>
      <c r="K30" s="2421"/>
      <c r="L30" s="2421"/>
      <c r="M30" s="2421"/>
      <c r="N30" s="2421"/>
      <c r="O30" s="2421"/>
      <c r="P30" s="2421"/>
      <c r="Q30" s="2421"/>
      <c r="R30" s="2421"/>
      <c r="S30" s="2421"/>
      <c r="T30" s="2421"/>
      <c r="U30" s="2421"/>
      <c r="V30" s="2421"/>
      <c r="W30" s="2421"/>
      <c r="X30" s="2421"/>
      <c r="Y30" s="2421"/>
      <c r="Z30" s="2421"/>
      <c r="AA30" s="2421"/>
      <c r="AB30" s="2421"/>
      <c r="AC30" s="2421"/>
      <c r="AD30" s="2421"/>
      <c r="AE30" s="2421"/>
      <c r="AF30" s="2421"/>
      <c r="AG30" s="2421"/>
      <c r="AH30" s="2421"/>
      <c r="AI30" s="2421"/>
      <c r="AJ30" s="2422"/>
      <c r="AK30" s="536"/>
      <c r="AL30" s="536"/>
      <c r="AM30" s="536"/>
      <c r="AN30" s="531"/>
      <c r="AO30" s="544">
        <f>IF($B30="yes",9,0)</f>
        <v>0</v>
      </c>
    </row>
    <row r="31" spans="1:50" s="532" customFormat="1" ht="12.75" customHeight="1">
      <c r="A31" s="536"/>
      <c r="B31" s="536"/>
      <c r="C31" s="536"/>
      <c r="E31" s="2423"/>
      <c r="F31" s="2424"/>
      <c r="G31" s="2424"/>
      <c r="H31" s="2424"/>
      <c r="I31" s="2424"/>
      <c r="J31" s="2424"/>
      <c r="K31" s="2424"/>
      <c r="L31" s="2424"/>
      <c r="M31" s="2424"/>
      <c r="N31" s="2424"/>
      <c r="O31" s="2424"/>
      <c r="P31" s="2424"/>
      <c r="Q31" s="2424"/>
      <c r="R31" s="2424"/>
      <c r="S31" s="2424"/>
      <c r="T31" s="2424"/>
      <c r="U31" s="2424"/>
      <c r="V31" s="2424"/>
      <c r="W31" s="2424"/>
      <c r="X31" s="2424"/>
      <c r="Y31" s="2424"/>
      <c r="Z31" s="2424"/>
      <c r="AA31" s="2424"/>
      <c r="AB31" s="2424"/>
      <c r="AC31" s="2424"/>
      <c r="AD31" s="2424"/>
      <c r="AE31" s="2424"/>
      <c r="AF31" s="2424"/>
      <c r="AG31" s="2424"/>
      <c r="AH31" s="2424"/>
      <c r="AI31" s="2424"/>
      <c r="AJ31" s="2425"/>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419" t="s">
        <v>589</v>
      </c>
      <c r="C33" s="2419"/>
      <c r="D33" s="541"/>
      <c r="E33" s="2420" t="s">
        <v>2547</v>
      </c>
      <c r="F33" s="2421"/>
      <c r="G33" s="2421"/>
      <c r="H33" s="2421"/>
      <c r="I33" s="2421"/>
      <c r="J33" s="2421"/>
      <c r="K33" s="2421"/>
      <c r="L33" s="2421"/>
      <c r="M33" s="2421"/>
      <c r="N33" s="2421"/>
      <c r="O33" s="2421"/>
      <c r="P33" s="2421"/>
      <c r="Q33" s="2421"/>
      <c r="R33" s="2421"/>
      <c r="S33" s="2421"/>
      <c r="T33" s="2421"/>
      <c r="U33" s="2421"/>
      <c r="V33" s="2421"/>
      <c r="W33" s="2421"/>
      <c r="X33" s="2421"/>
      <c r="Y33" s="2421"/>
      <c r="Z33" s="2421"/>
      <c r="AA33" s="2421"/>
      <c r="AB33" s="2421"/>
      <c r="AC33" s="2421"/>
      <c r="AD33" s="2421"/>
      <c r="AE33" s="2421"/>
      <c r="AF33" s="2421"/>
      <c r="AG33" s="2421"/>
      <c r="AH33" s="2421"/>
      <c r="AI33" s="2421"/>
      <c r="AJ33" s="2422"/>
      <c r="AK33" s="536"/>
      <c r="AL33" s="536"/>
      <c r="AM33" s="536"/>
      <c r="AN33" s="531"/>
      <c r="AO33" s="544">
        <f>IF($B39="yes",9,0)</f>
        <v>0</v>
      </c>
    </row>
    <row r="34" spans="1:43" s="532" customFormat="1" ht="12.75" customHeight="1">
      <c r="A34" s="536"/>
      <c r="B34" s="536"/>
      <c r="C34" s="536"/>
      <c r="D34" s="541"/>
      <c r="E34" s="2461"/>
      <c r="F34" s="2462"/>
      <c r="G34" s="2462"/>
      <c r="H34" s="2462"/>
      <c r="I34" s="2462"/>
      <c r="J34" s="2462"/>
      <c r="K34" s="2462"/>
      <c r="L34" s="2462"/>
      <c r="M34" s="2462"/>
      <c r="N34" s="2462"/>
      <c r="O34" s="2462"/>
      <c r="P34" s="2462"/>
      <c r="Q34" s="2462"/>
      <c r="R34" s="2462"/>
      <c r="S34" s="2462"/>
      <c r="T34" s="2462"/>
      <c r="U34" s="2462"/>
      <c r="V34" s="2462"/>
      <c r="W34" s="2462"/>
      <c r="X34" s="2462"/>
      <c r="Y34" s="2462"/>
      <c r="Z34" s="2462"/>
      <c r="AA34" s="2462"/>
      <c r="AB34" s="2462"/>
      <c r="AC34" s="2462"/>
      <c r="AD34" s="2462"/>
      <c r="AE34" s="2462"/>
      <c r="AF34" s="2462"/>
      <c r="AG34" s="2462"/>
      <c r="AH34" s="2462"/>
      <c r="AI34" s="2462"/>
      <c r="AJ34" s="2463"/>
      <c r="AK34" s="536"/>
      <c r="AL34" s="536"/>
      <c r="AM34" s="536"/>
      <c r="AN34" s="531"/>
      <c r="AO34" s="532">
        <f>MAX(AO30,AO31,AO32,AO33)</f>
        <v>0</v>
      </c>
      <c r="AP34" s="532" t="s">
        <v>1302</v>
      </c>
    </row>
    <row r="35" spans="1:43" s="532" customFormat="1" ht="12.75" customHeight="1">
      <c r="A35" s="536"/>
      <c r="B35" s="536"/>
      <c r="C35" s="536"/>
      <c r="E35" s="2423"/>
      <c r="F35" s="2424"/>
      <c r="G35" s="2424"/>
      <c r="H35" s="2424"/>
      <c r="I35" s="2424"/>
      <c r="J35" s="2424"/>
      <c r="K35" s="2424"/>
      <c r="L35" s="2424"/>
      <c r="M35" s="2424"/>
      <c r="N35" s="2424"/>
      <c r="O35" s="2424"/>
      <c r="P35" s="2424"/>
      <c r="Q35" s="2424"/>
      <c r="R35" s="2424"/>
      <c r="S35" s="2424"/>
      <c r="T35" s="2424"/>
      <c r="U35" s="2424"/>
      <c r="V35" s="2424"/>
      <c r="W35" s="2424"/>
      <c r="X35" s="2424"/>
      <c r="Y35" s="2424"/>
      <c r="Z35" s="2424"/>
      <c r="AA35" s="2424"/>
      <c r="AB35" s="2424"/>
      <c r="AC35" s="2424"/>
      <c r="AD35" s="2424"/>
      <c r="AE35" s="2424"/>
      <c r="AF35" s="2424"/>
      <c r="AG35" s="2424"/>
      <c r="AH35" s="2424"/>
      <c r="AI35" s="2424"/>
      <c r="AJ35" s="2425"/>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419" t="s">
        <v>589</v>
      </c>
      <c r="C37" s="2419"/>
      <c r="D37" s="1131"/>
      <c r="E37" s="2426" t="s">
        <v>2551</v>
      </c>
      <c r="F37" s="2427"/>
      <c r="G37" s="2427"/>
      <c r="H37" s="2427"/>
      <c r="I37" s="2427"/>
      <c r="J37" s="2427"/>
      <c r="K37" s="2427"/>
      <c r="L37" s="2427"/>
      <c r="M37" s="2427"/>
      <c r="N37" s="2427"/>
      <c r="O37" s="2427"/>
      <c r="P37" s="2427"/>
      <c r="Q37" s="2427"/>
      <c r="R37" s="2427"/>
      <c r="S37" s="2427"/>
      <c r="T37" s="2427"/>
      <c r="U37" s="2427"/>
      <c r="V37" s="2427"/>
      <c r="W37" s="2427"/>
      <c r="X37" s="2427"/>
      <c r="Y37" s="2427"/>
      <c r="Z37" s="2427"/>
      <c r="AA37" s="2427"/>
      <c r="AB37" s="2427"/>
      <c r="AC37" s="2427"/>
      <c r="AD37" s="2427"/>
      <c r="AE37" s="2427"/>
      <c r="AF37" s="2427"/>
      <c r="AG37" s="2427"/>
      <c r="AH37" s="2427"/>
      <c r="AI37" s="2427"/>
      <c r="AJ37" s="2428"/>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419" t="s">
        <v>589</v>
      </c>
      <c r="C39" s="2419"/>
      <c r="D39" s="1131"/>
      <c r="E39" s="2426" t="s">
        <v>2548</v>
      </c>
      <c r="F39" s="2427"/>
      <c r="G39" s="2427"/>
      <c r="H39" s="2427"/>
      <c r="I39" s="2427"/>
      <c r="J39" s="2427"/>
      <c r="K39" s="2427"/>
      <c r="L39" s="2427"/>
      <c r="M39" s="2427"/>
      <c r="N39" s="2427"/>
      <c r="O39" s="2427"/>
      <c r="P39" s="2427"/>
      <c r="Q39" s="2427"/>
      <c r="R39" s="2427"/>
      <c r="S39" s="2427"/>
      <c r="T39" s="2427"/>
      <c r="U39" s="2427"/>
      <c r="V39" s="2427"/>
      <c r="W39" s="2427"/>
      <c r="X39" s="2427"/>
      <c r="Y39" s="2427"/>
      <c r="Z39" s="2427"/>
      <c r="AA39" s="2427"/>
      <c r="AB39" s="2427"/>
      <c r="AC39" s="2427"/>
      <c r="AD39" s="2427"/>
      <c r="AE39" s="2427"/>
      <c r="AF39" s="2427"/>
      <c r="AG39" s="2427"/>
      <c r="AH39" s="2427"/>
      <c r="AI39" s="2427"/>
      <c r="AJ39" s="2428"/>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2544</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419" t="s">
        <v>589</v>
      </c>
      <c r="C43" s="2419"/>
      <c r="D43" s="541"/>
      <c r="E43" s="2429" t="s">
        <v>2550</v>
      </c>
      <c r="F43" s="2430"/>
      <c r="G43" s="2430"/>
      <c r="H43" s="2430"/>
      <c r="I43" s="2430"/>
      <c r="J43" s="2430"/>
      <c r="K43" s="2430"/>
      <c r="L43" s="2430"/>
      <c r="M43" s="2430"/>
      <c r="N43" s="2430"/>
      <c r="O43" s="2430"/>
      <c r="P43" s="2430"/>
      <c r="Q43" s="2430"/>
      <c r="R43" s="2430"/>
      <c r="S43" s="2430"/>
      <c r="T43" s="2430"/>
      <c r="U43" s="2430"/>
      <c r="V43" s="2430"/>
      <c r="W43" s="2430"/>
      <c r="X43" s="2430"/>
      <c r="Y43" s="2430"/>
      <c r="Z43" s="2430"/>
      <c r="AA43" s="2430"/>
      <c r="AB43" s="2430"/>
      <c r="AC43" s="2430"/>
      <c r="AD43" s="2430"/>
      <c r="AE43" s="2430"/>
      <c r="AF43" s="2430"/>
      <c r="AG43" s="2430"/>
      <c r="AH43" s="2430"/>
      <c r="AI43" s="2430"/>
      <c r="AJ43" s="2431"/>
      <c r="AK43" s="536"/>
      <c r="AL43" s="536"/>
      <c r="AM43" s="536"/>
      <c r="AN43" s="531"/>
      <c r="AO43" s="544">
        <f>IF($B43="yes",8,0)</f>
        <v>0</v>
      </c>
      <c r="AP43" s="14"/>
    </row>
    <row r="44" spans="1:43" s="532" customFormat="1" ht="12.75" customHeight="1">
      <c r="A44" s="536"/>
      <c r="B44" s="536"/>
      <c r="C44" s="536"/>
      <c r="D44" s="545"/>
      <c r="E44" s="2432"/>
      <c r="F44" s="2433"/>
      <c r="G44" s="2433"/>
      <c r="H44" s="2433"/>
      <c r="I44" s="2433"/>
      <c r="J44" s="2433"/>
      <c r="K44" s="2433"/>
      <c r="L44" s="2433"/>
      <c r="M44" s="2433"/>
      <c r="N44" s="2433"/>
      <c r="O44" s="2433"/>
      <c r="P44" s="2433"/>
      <c r="Q44" s="2433"/>
      <c r="R44" s="2433"/>
      <c r="S44" s="2433"/>
      <c r="T44" s="2433"/>
      <c r="U44" s="2433"/>
      <c r="V44" s="2433"/>
      <c r="W44" s="2433"/>
      <c r="X44" s="2433"/>
      <c r="Y44" s="2433"/>
      <c r="Z44" s="2433"/>
      <c r="AA44" s="2433"/>
      <c r="AB44" s="2433"/>
      <c r="AC44" s="2433"/>
      <c r="AD44" s="2433"/>
      <c r="AE44" s="2433"/>
      <c r="AF44" s="2433"/>
      <c r="AG44" s="2433"/>
      <c r="AH44" s="2433"/>
      <c r="AI44" s="2433"/>
      <c r="AJ44" s="2434"/>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419" t="s">
        <v>589</v>
      </c>
      <c r="C46" s="2419"/>
      <c r="D46" s="541"/>
      <c r="E46" s="2420" t="s">
        <v>2549</v>
      </c>
      <c r="F46" s="2421"/>
      <c r="G46" s="2421"/>
      <c r="H46" s="2421"/>
      <c r="I46" s="2421"/>
      <c r="J46" s="2421"/>
      <c r="K46" s="2421"/>
      <c r="L46" s="2421"/>
      <c r="M46" s="2421"/>
      <c r="N46" s="2421"/>
      <c r="O46" s="2421"/>
      <c r="P46" s="2421"/>
      <c r="Q46" s="2421"/>
      <c r="R46" s="2421"/>
      <c r="S46" s="2421"/>
      <c r="T46" s="2421"/>
      <c r="U46" s="2421"/>
      <c r="V46" s="2421"/>
      <c r="W46" s="2421"/>
      <c r="X46" s="2421"/>
      <c r="Y46" s="2421"/>
      <c r="Z46" s="2421"/>
      <c r="AA46" s="2421"/>
      <c r="AB46" s="2421"/>
      <c r="AC46" s="2421"/>
      <c r="AD46" s="2421"/>
      <c r="AE46" s="2421"/>
      <c r="AF46" s="2421"/>
      <c r="AG46" s="2421"/>
      <c r="AH46" s="2421"/>
      <c r="AI46" s="2421"/>
      <c r="AJ46" s="2422"/>
      <c r="AK46" s="536"/>
      <c r="AL46" s="536"/>
      <c r="AM46" s="536"/>
      <c r="AN46" s="531"/>
      <c r="AO46" s="544">
        <f>IF($B52="yes",8,0)</f>
        <v>0</v>
      </c>
    </row>
    <row r="47" spans="1:43" s="532" customFormat="1" ht="12.75" customHeight="1">
      <c r="A47" s="536"/>
      <c r="B47" s="536"/>
      <c r="C47" s="536"/>
      <c r="D47" s="544"/>
      <c r="E47" s="2423"/>
      <c r="F47" s="2424"/>
      <c r="G47" s="2424"/>
      <c r="H47" s="2424"/>
      <c r="I47" s="2424"/>
      <c r="J47" s="2424"/>
      <c r="K47" s="2424"/>
      <c r="L47" s="2424"/>
      <c r="M47" s="2424"/>
      <c r="N47" s="2424"/>
      <c r="O47" s="2424"/>
      <c r="P47" s="2424"/>
      <c r="Q47" s="2424"/>
      <c r="R47" s="2424"/>
      <c r="S47" s="2424"/>
      <c r="T47" s="2424"/>
      <c r="U47" s="2424"/>
      <c r="V47" s="2424"/>
      <c r="W47" s="2424"/>
      <c r="X47" s="2424"/>
      <c r="Y47" s="2424"/>
      <c r="Z47" s="2424"/>
      <c r="AA47" s="2424"/>
      <c r="AB47" s="2424"/>
      <c r="AC47" s="2424"/>
      <c r="AD47" s="2424"/>
      <c r="AE47" s="2424"/>
      <c r="AF47" s="2424"/>
      <c r="AG47" s="2424"/>
      <c r="AH47" s="2424"/>
      <c r="AI47" s="2424"/>
      <c r="AJ47" s="2425"/>
      <c r="AK47" s="536"/>
      <c r="AL47" s="536"/>
      <c r="AM47" s="536"/>
      <c r="AN47" s="531"/>
      <c r="AO47" s="532">
        <f>MAX(AO43,AO44,AO45,AO46)</f>
        <v>0</v>
      </c>
      <c r="AP47" s="532" t="s">
        <v>1302</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419" t="s">
        <v>589</v>
      </c>
      <c r="C49" s="2419"/>
      <c r="D49" s="541"/>
      <c r="E49" s="2435" t="s">
        <v>2629</v>
      </c>
      <c r="F49" s="2436"/>
      <c r="G49" s="2436"/>
      <c r="H49" s="2436"/>
      <c r="I49" s="2436"/>
      <c r="J49" s="2436"/>
      <c r="K49" s="2436"/>
      <c r="L49" s="2436"/>
      <c r="M49" s="2436"/>
      <c r="N49" s="2436"/>
      <c r="O49" s="2436"/>
      <c r="P49" s="2436"/>
      <c r="Q49" s="2436"/>
      <c r="R49" s="2436"/>
      <c r="S49" s="2436"/>
      <c r="T49" s="2436"/>
      <c r="U49" s="2436"/>
      <c r="V49" s="2436"/>
      <c r="W49" s="2436"/>
      <c r="X49" s="2436"/>
      <c r="Y49" s="2436"/>
      <c r="Z49" s="2436"/>
      <c r="AA49" s="2436"/>
      <c r="AB49" s="2436"/>
      <c r="AC49" s="2436"/>
      <c r="AD49" s="2436"/>
      <c r="AE49" s="2436"/>
      <c r="AF49" s="2436"/>
      <c r="AG49" s="2436"/>
      <c r="AH49" s="2436"/>
      <c r="AI49" s="2436"/>
      <c r="AJ49" s="2437"/>
      <c r="AK49" s="536"/>
      <c r="AL49" s="536"/>
      <c r="AM49" s="536"/>
      <c r="AN49" s="531"/>
      <c r="AO49" s="544"/>
    </row>
    <row r="50" spans="1:42" s="532" customFormat="1" ht="12.75" hidden="1" customHeight="1">
      <c r="A50" s="536"/>
      <c r="B50" s="536"/>
      <c r="C50" s="536"/>
      <c r="D50" s="544"/>
      <c r="E50" s="2438"/>
      <c r="F50" s="2439"/>
      <c r="G50" s="2439"/>
      <c r="H50" s="2439"/>
      <c r="I50" s="2439"/>
      <c r="J50" s="2439"/>
      <c r="K50" s="2439"/>
      <c r="L50" s="2439"/>
      <c r="M50" s="2439"/>
      <c r="N50" s="2439"/>
      <c r="O50" s="2439"/>
      <c r="P50" s="2439"/>
      <c r="Q50" s="2439"/>
      <c r="R50" s="2439"/>
      <c r="S50" s="2439"/>
      <c r="T50" s="2439"/>
      <c r="U50" s="2439"/>
      <c r="V50" s="2439"/>
      <c r="W50" s="2439"/>
      <c r="X50" s="2439"/>
      <c r="Y50" s="2439"/>
      <c r="Z50" s="2439"/>
      <c r="AA50" s="2439"/>
      <c r="AB50" s="2439"/>
      <c r="AC50" s="2439"/>
      <c r="AD50" s="2439"/>
      <c r="AE50" s="2439"/>
      <c r="AF50" s="2439"/>
      <c r="AG50" s="2439"/>
      <c r="AH50" s="2439"/>
      <c r="AI50" s="2439"/>
      <c r="AJ50" s="2440"/>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419" t="s">
        <v>589</v>
      </c>
      <c r="C52" s="2419"/>
      <c r="D52" s="541"/>
      <c r="E52" s="2426" t="s">
        <v>2630</v>
      </c>
      <c r="F52" s="2427"/>
      <c r="G52" s="2427"/>
      <c r="H52" s="2427"/>
      <c r="I52" s="2427"/>
      <c r="J52" s="2427"/>
      <c r="K52" s="2427"/>
      <c r="L52" s="2427"/>
      <c r="M52" s="2427"/>
      <c r="N52" s="2427"/>
      <c r="O52" s="2427"/>
      <c r="P52" s="2427"/>
      <c r="Q52" s="2427"/>
      <c r="R52" s="2427"/>
      <c r="S52" s="2427"/>
      <c r="T52" s="2427"/>
      <c r="U52" s="2427"/>
      <c r="V52" s="2427"/>
      <c r="W52" s="2427"/>
      <c r="X52" s="2427"/>
      <c r="Y52" s="2427"/>
      <c r="Z52" s="2427"/>
      <c r="AA52" s="2427"/>
      <c r="AB52" s="2427"/>
      <c r="AC52" s="2427"/>
      <c r="AD52" s="2427"/>
      <c r="AE52" s="2427"/>
      <c r="AF52" s="2427"/>
      <c r="AG52" s="2427"/>
      <c r="AH52" s="2427"/>
      <c r="AI52" s="2427"/>
      <c r="AJ52" s="2428"/>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2545</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419" t="s">
        <v>589</v>
      </c>
      <c r="C56" s="2419"/>
      <c r="D56" s="541"/>
      <c r="E56" s="2435" t="s">
        <v>2552</v>
      </c>
      <c r="F56" s="2436"/>
      <c r="G56" s="2436"/>
      <c r="H56" s="2436"/>
      <c r="I56" s="2436"/>
      <c r="J56" s="2436"/>
      <c r="K56" s="2436"/>
      <c r="L56" s="2436"/>
      <c r="M56" s="2436"/>
      <c r="N56" s="2436"/>
      <c r="O56" s="2436"/>
      <c r="P56" s="2436"/>
      <c r="Q56" s="2436"/>
      <c r="R56" s="2436"/>
      <c r="S56" s="2436"/>
      <c r="T56" s="2436"/>
      <c r="U56" s="2436"/>
      <c r="V56" s="2436"/>
      <c r="W56" s="2436"/>
      <c r="X56" s="2436"/>
      <c r="Y56" s="2436"/>
      <c r="Z56" s="2436"/>
      <c r="AA56" s="2436"/>
      <c r="AB56" s="2436"/>
      <c r="AC56" s="2436"/>
      <c r="AD56" s="2436"/>
      <c r="AE56" s="2436"/>
      <c r="AF56" s="2436"/>
      <c r="AG56" s="2436"/>
      <c r="AH56" s="2436"/>
      <c r="AI56" s="2436"/>
      <c r="AJ56" s="2437"/>
      <c r="AK56" s="536"/>
      <c r="AL56" s="536"/>
      <c r="AM56" s="536"/>
      <c r="AN56" s="531"/>
      <c r="AO56" s="544">
        <f>IF($B59="yes",7,0)</f>
        <v>0</v>
      </c>
    </row>
    <row r="57" spans="1:42" s="532" customFormat="1" ht="12.75" customHeight="1">
      <c r="A57" s="536"/>
      <c r="B57" s="536"/>
      <c r="C57" s="536"/>
      <c r="D57" s="544"/>
      <c r="E57" s="2438"/>
      <c r="F57" s="2439"/>
      <c r="G57" s="2439"/>
      <c r="H57" s="2439"/>
      <c r="I57" s="2439"/>
      <c r="J57" s="2439"/>
      <c r="K57" s="2439"/>
      <c r="L57" s="2439"/>
      <c r="M57" s="2439"/>
      <c r="N57" s="2439"/>
      <c r="O57" s="2439"/>
      <c r="P57" s="2439"/>
      <c r="Q57" s="2439"/>
      <c r="R57" s="2439"/>
      <c r="S57" s="2439"/>
      <c r="T57" s="2439"/>
      <c r="U57" s="2439"/>
      <c r="V57" s="2439"/>
      <c r="W57" s="2439"/>
      <c r="X57" s="2439"/>
      <c r="Y57" s="2439"/>
      <c r="Z57" s="2439"/>
      <c r="AA57" s="2439"/>
      <c r="AB57" s="2439"/>
      <c r="AC57" s="2439"/>
      <c r="AD57" s="2439"/>
      <c r="AE57" s="2439"/>
      <c r="AF57" s="2439"/>
      <c r="AG57" s="2439"/>
      <c r="AH57" s="2439"/>
      <c r="AI57" s="2439"/>
      <c r="AJ57" s="2440"/>
      <c r="AK57" s="536"/>
      <c r="AL57" s="536"/>
      <c r="AM57" s="536"/>
      <c r="AN57" s="531"/>
      <c r="AO57" s="532">
        <f>MAX(AO55:AO56)</f>
        <v>0</v>
      </c>
      <c r="AP57" s="532" t="s">
        <v>1302</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419" t="s">
        <v>589</v>
      </c>
      <c r="C59" s="2419"/>
      <c r="D59" s="541"/>
      <c r="E59" s="2426" t="s">
        <v>2553</v>
      </c>
      <c r="F59" s="2427"/>
      <c r="G59" s="2427"/>
      <c r="H59" s="2427"/>
      <c r="I59" s="2427"/>
      <c r="J59" s="2427"/>
      <c r="K59" s="2427"/>
      <c r="L59" s="2427"/>
      <c r="M59" s="2427"/>
      <c r="N59" s="2427"/>
      <c r="O59" s="2427"/>
      <c r="P59" s="2427"/>
      <c r="Q59" s="2427"/>
      <c r="R59" s="2427"/>
      <c r="S59" s="2427"/>
      <c r="T59" s="2427"/>
      <c r="U59" s="2427"/>
      <c r="V59" s="2427"/>
      <c r="W59" s="2427"/>
      <c r="X59" s="2427"/>
      <c r="Y59" s="2427"/>
      <c r="Z59" s="2427"/>
      <c r="AA59" s="2427"/>
      <c r="AB59" s="2427"/>
      <c r="AC59" s="2427"/>
      <c r="AD59" s="2427"/>
      <c r="AE59" s="2427"/>
      <c r="AF59" s="2427"/>
      <c r="AG59" s="2427"/>
      <c r="AH59" s="2427"/>
      <c r="AI59" s="2427"/>
      <c r="AJ59" s="2428"/>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1302</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2554</v>
      </c>
      <c r="AK61" s="2458">
        <f>AO60</f>
        <v>0</v>
      </c>
      <c r="AL61" s="2459"/>
      <c r="AM61" s="2460"/>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1303</v>
      </c>
      <c r="B64" s="535" t="s">
        <v>1304</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47" t="s">
        <v>1305</v>
      </c>
      <c r="AF64" s="2447"/>
      <c r="AG64" s="2447"/>
      <c r="AH64" s="2447"/>
      <c r="AI64" s="2447"/>
      <c r="AJ64" s="2447"/>
      <c r="AK64" s="2447"/>
      <c r="AL64" s="536"/>
      <c r="AM64" s="536"/>
      <c r="AN64" s="531"/>
    </row>
    <row r="65" spans="1:42" s="532" customFormat="1" ht="12.75" customHeight="1">
      <c r="A65" s="534"/>
      <c r="B65" s="535" t="s">
        <v>1714</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419" t="s">
        <v>543</v>
      </c>
      <c r="C67" s="2419"/>
      <c r="D67" s="541" t="s">
        <v>1306</v>
      </c>
      <c r="E67" s="2429" t="s">
        <v>1973</v>
      </c>
      <c r="F67" s="2430"/>
      <c r="G67" s="2430"/>
      <c r="H67" s="2430"/>
      <c r="I67" s="2430"/>
      <c r="J67" s="2430"/>
      <c r="K67" s="2430"/>
      <c r="L67" s="2430"/>
      <c r="M67" s="2430"/>
      <c r="N67" s="2430"/>
      <c r="O67" s="2430"/>
      <c r="P67" s="2430"/>
      <c r="Q67" s="2430"/>
      <c r="R67" s="2430"/>
      <c r="S67" s="2430"/>
      <c r="T67" s="2430"/>
      <c r="U67" s="2430"/>
      <c r="V67" s="2430"/>
      <c r="W67" s="2430"/>
      <c r="X67" s="2430"/>
      <c r="Y67" s="2430"/>
      <c r="Z67" s="2430"/>
      <c r="AA67" s="2430"/>
      <c r="AB67" s="2430"/>
      <c r="AC67" s="2430"/>
      <c r="AD67" s="2430"/>
      <c r="AE67" s="2430"/>
      <c r="AF67" s="2430"/>
      <c r="AG67" s="2430"/>
      <c r="AH67" s="2430"/>
      <c r="AI67" s="2430"/>
      <c r="AJ67" s="2431"/>
      <c r="AK67" s="539"/>
      <c r="AL67" s="536"/>
      <c r="AM67" s="536"/>
      <c r="AN67" s="531"/>
      <c r="AO67" s="544">
        <f>IF($B67="yes",10,0)</f>
        <v>10</v>
      </c>
    </row>
    <row r="68" spans="1:42" s="532" customFormat="1" ht="12.75" customHeight="1">
      <c r="A68" s="534"/>
      <c r="B68" s="536"/>
      <c r="C68" s="536"/>
      <c r="D68" s="545"/>
      <c r="E68" s="2448"/>
      <c r="F68" s="2449"/>
      <c r="G68" s="2449"/>
      <c r="H68" s="2449"/>
      <c r="I68" s="2449"/>
      <c r="J68" s="2449"/>
      <c r="K68" s="2449"/>
      <c r="L68" s="2449"/>
      <c r="M68" s="2449"/>
      <c r="N68" s="2449"/>
      <c r="O68" s="2449"/>
      <c r="P68" s="2449"/>
      <c r="Q68" s="2449"/>
      <c r="R68" s="2449"/>
      <c r="S68" s="2449"/>
      <c r="T68" s="2449"/>
      <c r="U68" s="2449"/>
      <c r="V68" s="2449"/>
      <c r="W68" s="2449"/>
      <c r="X68" s="2449"/>
      <c r="Y68" s="2449"/>
      <c r="Z68" s="2449"/>
      <c r="AA68" s="2449"/>
      <c r="AB68" s="2449"/>
      <c r="AC68" s="2449"/>
      <c r="AD68" s="2449"/>
      <c r="AE68" s="2449"/>
      <c r="AF68" s="2449"/>
      <c r="AG68" s="2449"/>
      <c r="AH68" s="2449"/>
      <c r="AI68" s="2449"/>
      <c r="AJ68" s="2450"/>
      <c r="AK68" s="539"/>
      <c r="AL68" s="536"/>
      <c r="AM68" s="536"/>
      <c r="AN68" s="531"/>
      <c r="AO68" s="544">
        <f>IF(AND($B73="yes",OR(E74="Yes",E75="Yes",E76="Yes")),10,0)</f>
        <v>10</v>
      </c>
    </row>
    <row r="69" spans="1:42" s="532" customFormat="1" ht="12.75" customHeight="1">
      <c r="A69" s="534"/>
      <c r="B69" s="536"/>
      <c r="C69" s="536"/>
      <c r="D69" s="545"/>
      <c r="E69" s="2448"/>
      <c r="F69" s="2449"/>
      <c r="G69" s="2449"/>
      <c r="H69" s="2449"/>
      <c r="I69" s="2449"/>
      <c r="J69" s="2449"/>
      <c r="K69" s="2449"/>
      <c r="L69" s="2449"/>
      <c r="M69" s="2449"/>
      <c r="N69" s="2449"/>
      <c r="O69" s="2449"/>
      <c r="P69" s="2449"/>
      <c r="Q69" s="2449"/>
      <c r="R69" s="2449"/>
      <c r="S69" s="2449"/>
      <c r="T69" s="2449"/>
      <c r="U69" s="2449"/>
      <c r="V69" s="2449"/>
      <c r="W69" s="2449"/>
      <c r="X69" s="2449"/>
      <c r="Y69" s="2449"/>
      <c r="Z69" s="2449"/>
      <c r="AA69" s="2449"/>
      <c r="AB69" s="2449"/>
      <c r="AC69" s="2449"/>
      <c r="AD69" s="2449"/>
      <c r="AE69" s="2449"/>
      <c r="AF69" s="2449"/>
      <c r="AG69" s="2449"/>
      <c r="AH69" s="2449"/>
      <c r="AI69" s="2449"/>
      <c r="AJ69" s="2450"/>
      <c r="AK69" s="539"/>
      <c r="AL69" s="536"/>
      <c r="AM69" s="536"/>
      <c r="AN69" s="531"/>
      <c r="AO69" s="544">
        <f>IF($B78="yes",10,0)</f>
        <v>10</v>
      </c>
    </row>
    <row r="70" spans="1:42" s="532" customFormat="1" ht="12.75" customHeight="1">
      <c r="A70" s="534"/>
      <c r="B70" s="536"/>
      <c r="C70" s="536"/>
      <c r="D70" s="545"/>
      <c r="E70" s="2448"/>
      <c r="F70" s="2449"/>
      <c r="G70" s="2449"/>
      <c r="H70" s="2449"/>
      <c r="I70" s="2449"/>
      <c r="J70" s="2449"/>
      <c r="K70" s="2449"/>
      <c r="L70" s="2449"/>
      <c r="M70" s="2449"/>
      <c r="N70" s="2449"/>
      <c r="O70" s="2449"/>
      <c r="P70" s="2449"/>
      <c r="Q70" s="2449"/>
      <c r="R70" s="2449"/>
      <c r="S70" s="2449"/>
      <c r="T70" s="2449"/>
      <c r="U70" s="2449"/>
      <c r="V70" s="2449"/>
      <c r="W70" s="2449"/>
      <c r="X70" s="2449"/>
      <c r="Y70" s="2449"/>
      <c r="Z70" s="2449"/>
      <c r="AA70" s="2449"/>
      <c r="AB70" s="2449"/>
      <c r="AC70" s="2449"/>
      <c r="AD70" s="2449"/>
      <c r="AE70" s="2449"/>
      <c r="AF70" s="2449"/>
      <c r="AG70" s="2449"/>
      <c r="AH70" s="2449"/>
      <c r="AI70" s="2449"/>
      <c r="AJ70" s="2450"/>
      <c r="AK70" s="539"/>
      <c r="AL70" s="536"/>
      <c r="AM70" s="536"/>
      <c r="AN70" s="531"/>
      <c r="AO70" s="544">
        <f>IF($B81="yes",10,0)</f>
        <v>0</v>
      </c>
    </row>
    <row r="71" spans="1:42" s="532" customFormat="1" ht="12.75" customHeight="1">
      <c r="A71" s="534"/>
      <c r="B71" s="536"/>
      <c r="C71" s="536"/>
      <c r="D71" s="545"/>
      <c r="E71" s="2432"/>
      <c r="F71" s="2433"/>
      <c r="G71" s="2433"/>
      <c r="H71" s="2433"/>
      <c r="I71" s="2433"/>
      <c r="J71" s="2433"/>
      <c r="K71" s="2433"/>
      <c r="L71" s="2433"/>
      <c r="M71" s="2433"/>
      <c r="N71" s="2433"/>
      <c r="O71" s="2433"/>
      <c r="P71" s="2433"/>
      <c r="Q71" s="2433"/>
      <c r="R71" s="2433"/>
      <c r="S71" s="2433"/>
      <c r="T71" s="2433"/>
      <c r="U71" s="2433"/>
      <c r="V71" s="2433"/>
      <c r="W71" s="2433"/>
      <c r="X71" s="2433"/>
      <c r="Y71" s="2433"/>
      <c r="Z71" s="2433"/>
      <c r="AA71" s="2433"/>
      <c r="AB71" s="2433"/>
      <c r="AC71" s="2433"/>
      <c r="AD71" s="2433"/>
      <c r="AE71" s="2433"/>
      <c r="AF71" s="2433"/>
      <c r="AG71" s="2433"/>
      <c r="AH71" s="2433"/>
      <c r="AI71" s="2433"/>
      <c r="AJ71" s="2434"/>
      <c r="AK71" s="539"/>
      <c r="AL71" s="536"/>
      <c r="AM71" s="536"/>
      <c r="AN71" s="531"/>
      <c r="AO71" s="532">
        <f>IF(SUM(AO67:AO70)&gt;10,10,(SUM(AO67:AO70)))</f>
        <v>10</v>
      </c>
      <c r="AP71" s="567" t="s">
        <v>1307</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419" t="s">
        <v>543</v>
      </c>
      <c r="C73" s="2419"/>
      <c r="D73" s="541" t="s">
        <v>1308</v>
      </c>
      <c r="E73" s="962" t="s">
        <v>1710</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451" t="s">
        <v>543</v>
      </c>
      <c r="F74" s="2419"/>
      <c r="G74" s="568"/>
      <c r="H74" s="551" t="s">
        <v>1309</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445" t="s">
        <v>589</v>
      </c>
      <c r="F75" s="2446"/>
      <c r="G75" s="568"/>
      <c r="H75" s="551" t="s">
        <v>1310</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445" t="s">
        <v>589</v>
      </c>
      <c r="F76" s="2446"/>
      <c r="G76" s="897"/>
      <c r="H76" s="1193" t="s">
        <v>1724</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419" t="s">
        <v>543</v>
      </c>
      <c r="C78" s="2419"/>
      <c r="D78" s="541" t="s">
        <v>1311</v>
      </c>
      <c r="E78" s="2435" t="s">
        <v>1725</v>
      </c>
      <c r="F78" s="2436"/>
      <c r="G78" s="2436"/>
      <c r="H78" s="2436"/>
      <c r="I78" s="2436"/>
      <c r="J78" s="2436"/>
      <c r="K78" s="2436"/>
      <c r="L78" s="2436"/>
      <c r="M78" s="2436"/>
      <c r="N78" s="2436"/>
      <c r="O78" s="2436"/>
      <c r="P78" s="2436"/>
      <c r="Q78" s="2436"/>
      <c r="R78" s="2436"/>
      <c r="S78" s="2436"/>
      <c r="T78" s="2436"/>
      <c r="U78" s="2436"/>
      <c r="V78" s="2436"/>
      <c r="W78" s="2436"/>
      <c r="X78" s="2436"/>
      <c r="Y78" s="2436"/>
      <c r="Z78" s="2436"/>
      <c r="AA78" s="2436"/>
      <c r="AB78" s="2436"/>
      <c r="AC78" s="2436"/>
      <c r="AD78" s="2436"/>
      <c r="AE78" s="2436"/>
      <c r="AF78" s="2436"/>
      <c r="AG78" s="2436"/>
      <c r="AH78" s="2436"/>
      <c r="AI78" s="2436"/>
      <c r="AJ78" s="2437"/>
      <c r="AK78" s="539"/>
      <c r="AL78" s="536"/>
      <c r="AM78" s="536"/>
      <c r="AN78" s="531"/>
    </row>
    <row r="79" spans="1:42" s="532" customFormat="1" ht="12.75" customHeight="1">
      <c r="A79" s="534"/>
      <c r="B79" s="536"/>
      <c r="C79" s="536"/>
      <c r="E79" s="2438"/>
      <c r="F79" s="2439"/>
      <c r="G79" s="2439"/>
      <c r="H79" s="2439"/>
      <c r="I79" s="2439"/>
      <c r="J79" s="2439"/>
      <c r="K79" s="2439"/>
      <c r="L79" s="2439"/>
      <c r="M79" s="2439"/>
      <c r="N79" s="2439"/>
      <c r="O79" s="2439"/>
      <c r="P79" s="2439"/>
      <c r="Q79" s="2439"/>
      <c r="R79" s="2439"/>
      <c r="S79" s="2439"/>
      <c r="T79" s="2439"/>
      <c r="U79" s="2439"/>
      <c r="V79" s="2439"/>
      <c r="W79" s="2439"/>
      <c r="X79" s="2439"/>
      <c r="Y79" s="2439"/>
      <c r="Z79" s="2439"/>
      <c r="AA79" s="2439"/>
      <c r="AB79" s="2439"/>
      <c r="AC79" s="2439"/>
      <c r="AD79" s="2439"/>
      <c r="AE79" s="2439"/>
      <c r="AF79" s="2439"/>
      <c r="AG79" s="2439"/>
      <c r="AH79" s="2439"/>
      <c r="AI79" s="2439"/>
      <c r="AJ79" s="2440"/>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419" t="s">
        <v>589</v>
      </c>
      <c r="C81" s="2419"/>
      <c r="D81" s="541" t="s">
        <v>1458</v>
      </c>
      <c r="E81" s="2426" t="s">
        <v>1723</v>
      </c>
      <c r="F81" s="2427"/>
      <c r="G81" s="2427"/>
      <c r="H81" s="2427"/>
      <c r="I81" s="2427"/>
      <c r="J81" s="2427"/>
      <c r="K81" s="2427"/>
      <c r="L81" s="2427"/>
      <c r="M81" s="2427"/>
      <c r="N81" s="2427"/>
      <c r="O81" s="2427"/>
      <c r="P81" s="2427"/>
      <c r="Q81" s="2427"/>
      <c r="R81" s="2427"/>
      <c r="S81" s="2427"/>
      <c r="T81" s="2427"/>
      <c r="U81" s="2427"/>
      <c r="V81" s="2427"/>
      <c r="W81" s="2427"/>
      <c r="X81" s="2427"/>
      <c r="Y81" s="2427"/>
      <c r="Z81" s="2427"/>
      <c r="AA81" s="2427"/>
      <c r="AB81" s="2427"/>
      <c r="AC81" s="2427"/>
      <c r="AD81" s="2427"/>
      <c r="AE81" s="2427"/>
      <c r="AF81" s="2427"/>
      <c r="AG81" s="2427"/>
      <c r="AH81" s="2427"/>
      <c r="AI81" s="2427"/>
      <c r="AJ81" s="2428"/>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1312</v>
      </c>
      <c r="AK83" s="2458">
        <f>IF(AK61&gt;0,0,AO71)</f>
        <v>10</v>
      </c>
      <c r="AL83" s="2459"/>
      <c r="AM83" s="2460"/>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1313</v>
      </c>
      <c r="B86" s="535" t="s">
        <v>1314</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47" t="s">
        <v>1300</v>
      </c>
      <c r="AF86" s="2447"/>
      <c r="AG86" s="2447"/>
      <c r="AH86" s="2447"/>
      <c r="AI86" s="2447"/>
      <c r="AJ86" s="2447"/>
      <c r="AK86" s="2447"/>
      <c r="AL86" s="536"/>
      <c r="AM86" s="536"/>
      <c r="AN86" s="531"/>
    </row>
    <row r="87" spans="1:43" s="532" customFormat="1" ht="12.75" customHeight="1">
      <c r="A87" s="534"/>
      <c r="B87" s="535" t="s">
        <v>1315</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419" t="s">
        <v>543</v>
      </c>
      <c r="C89" s="2419"/>
      <c r="D89" s="541" t="s">
        <v>1306</v>
      </c>
      <c r="E89" s="2429" t="s">
        <v>1316</v>
      </c>
      <c r="F89" s="2430"/>
      <c r="G89" s="2430"/>
      <c r="H89" s="2430"/>
      <c r="I89" s="2430"/>
      <c r="J89" s="2430"/>
      <c r="K89" s="2430"/>
      <c r="L89" s="2430"/>
      <c r="M89" s="2430"/>
      <c r="N89" s="2430"/>
      <c r="O89" s="2430"/>
      <c r="P89" s="2430"/>
      <c r="Q89" s="2430"/>
      <c r="R89" s="2430"/>
      <c r="S89" s="2430"/>
      <c r="T89" s="2430"/>
      <c r="U89" s="2430"/>
      <c r="V89" s="2430"/>
      <c r="W89" s="2430"/>
      <c r="X89" s="2430"/>
      <c r="Y89" s="2430"/>
      <c r="Z89" s="2430"/>
      <c r="AA89" s="2430"/>
      <c r="AB89" s="2430"/>
      <c r="AC89" s="2430"/>
      <c r="AD89" s="2430"/>
      <c r="AE89" s="2430"/>
      <c r="AF89" s="2430"/>
      <c r="AG89" s="2430"/>
      <c r="AH89" s="2430"/>
      <c r="AI89" s="2430"/>
      <c r="AJ89" s="2431"/>
      <c r="AK89" s="539"/>
      <c r="AL89" s="536"/>
      <c r="AM89" s="536"/>
      <c r="AN89" s="531"/>
    </row>
    <row r="90" spans="1:43" s="532" customFormat="1" ht="12.75" customHeight="1">
      <c r="A90" s="534"/>
      <c r="B90" s="535"/>
      <c r="C90" s="535"/>
      <c r="D90" s="535"/>
      <c r="E90" s="2448"/>
      <c r="F90" s="2449"/>
      <c r="G90" s="2449"/>
      <c r="H90" s="2449"/>
      <c r="I90" s="2449"/>
      <c r="J90" s="2449"/>
      <c r="K90" s="2449"/>
      <c r="L90" s="2449"/>
      <c r="M90" s="2449"/>
      <c r="N90" s="2449"/>
      <c r="O90" s="2449"/>
      <c r="P90" s="2449"/>
      <c r="Q90" s="2449"/>
      <c r="R90" s="2449"/>
      <c r="S90" s="2449"/>
      <c r="T90" s="2449"/>
      <c r="U90" s="2449"/>
      <c r="V90" s="2449"/>
      <c r="W90" s="2449"/>
      <c r="X90" s="2449"/>
      <c r="Y90" s="2449"/>
      <c r="Z90" s="2449"/>
      <c r="AA90" s="2449"/>
      <c r="AB90" s="2449"/>
      <c r="AC90" s="2449"/>
      <c r="AD90" s="2449"/>
      <c r="AE90" s="2449"/>
      <c r="AF90" s="2449"/>
      <c r="AG90" s="2449"/>
      <c r="AH90" s="2449"/>
      <c r="AI90" s="2449"/>
      <c r="AJ90" s="2450"/>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441">
        <f>Application!AC761</f>
        <v>0.49999999999999994</v>
      </c>
      <c r="F92" s="2442"/>
      <c r="G92" s="2442"/>
      <c r="H92" s="2442"/>
      <c r="I92" s="570"/>
      <c r="J92" s="573" t="s">
        <v>1317</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443">
        <f>0.6-ROUNDUP(E92,2)</f>
        <v>9.9999999999999978E-2</v>
      </c>
      <c r="F93" s="2444"/>
      <c r="G93" s="2444"/>
      <c r="H93" s="2444"/>
      <c r="I93" s="570"/>
      <c r="J93" s="573" t="s">
        <v>1318</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470">
        <f>IF(E93*200&gt;20,20,E93*200)</f>
        <v>19.999999999999996</v>
      </c>
      <c r="F94" s="2471"/>
      <c r="G94" s="2471"/>
      <c r="H94" s="2471"/>
      <c r="I94" s="570"/>
      <c r="J94" s="573" t="s">
        <v>1319</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19.999999999999996</v>
      </c>
      <c r="AQ94" s="532" t="s">
        <v>1302</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419" t="s">
        <v>543</v>
      </c>
      <c r="C97" s="2419"/>
      <c r="D97" s="541" t="s">
        <v>1308</v>
      </c>
      <c r="E97" s="2429" t="s">
        <v>1711</v>
      </c>
      <c r="F97" s="2430"/>
      <c r="G97" s="2430"/>
      <c r="H97" s="2430"/>
      <c r="I97" s="2430"/>
      <c r="J97" s="2430"/>
      <c r="K97" s="2430"/>
      <c r="L97" s="2430"/>
      <c r="M97" s="2430"/>
      <c r="N97" s="2430"/>
      <c r="O97" s="2430"/>
      <c r="P97" s="2430"/>
      <c r="Q97" s="2430"/>
      <c r="R97" s="2430"/>
      <c r="S97" s="2430"/>
      <c r="T97" s="2430"/>
      <c r="U97" s="2430"/>
      <c r="V97" s="2430"/>
      <c r="W97" s="2430"/>
      <c r="X97" s="2430"/>
      <c r="Y97" s="2430"/>
      <c r="Z97" s="2430"/>
      <c r="AA97" s="2430"/>
      <c r="AB97" s="2430"/>
      <c r="AC97" s="2430"/>
      <c r="AD97" s="2430"/>
      <c r="AE97" s="2430"/>
      <c r="AF97" s="2430"/>
      <c r="AG97" s="2430"/>
      <c r="AH97" s="2430"/>
      <c r="AI97" s="2430"/>
      <c r="AJ97" s="2431"/>
      <c r="AK97" s="539"/>
      <c r="AL97" s="536"/>
      <c r="AM97" s="536"/>
      <c r="AN97" s="531"/>
    </row>
    <row r="98" spans="1:47" s="532" customFormat="1" ht="12.75" customHeight="1">
      <c r="A98" s="534"/>
      <c r="B98" s="535"/>
      <c r="C98" s="535"/>
      <c r="D98" s="535"/>
      <c r="E98" s="2448"/>
      <c r="F98" s="2449"/>
      <c r="G98" s="2449"/>
      <c r="H98" s="2449"/>
      <c r="I98" s="2449"/>
      <c r="J98" s="2449"/>
      <c r="K98" s="2449"/>
      <c r="L98" s="2449"/>
      <c r="M98" s="2449"/>
      <c r="N98" s="2449"/>
      <c r="O98" s="2449"/>
      <c r="P98" s="2449"/>
      <c r="Q98" s="2449"/>
      <c r="R98" s="2449"/>
      <c r="S98" s="2449"/>
      <c r="T98" s="2449"/>
      <c r="U98" s="2449"/>
      <c r="V98" s="2449"/>
      <c r="W98" s="2449"/>
      <c r="X98" s="2449"/>
      <c r="Y98" s="2449"/>
      <c r="Z98" s="2449"/>
      <c r="AA98" s="2449"/>
      <c r="AB98" s="2449"/>
      <c r="AC98" s="2449"/>
      <c r="AD98" s="2449"/>
      <c r="AE98" s="2449"/>
      <c r="AF98" s="2449"/>
      <c r="AG98" s="2449"/>
      <c r="AH98" s="2449"/>
      <c r="AI98" s="2449"/>
      <c r="AJ98" s="2450"/>
      <c r="AK98" s="539"/>
      <c r="AL98" s="536"/>
      <c r="AM98" s="536"/>
      <c r="AN98" s="531"/>
    </row>
    <row r="99" spans="1:47" s="532" customFormat="1" ht="12.75" customHeight="1">
      <c r="A99" s="534"/>
      <c r="B99" s="535"/>
      <c r="C99" s="535"/>
      <c r="D99" s="535"/>
      <c r="E99" s="2448"/>
      <c r="F99" s="2449"/>
      <c r="G99" s="2449"/>
      <c r="H99" s="2449"/>
      <c r="I99" s="2449"/>
      <c r="J99" s="2449"/>
      <c r="K99" s="2449"/>
      <c r="L99" s="2449"/>
      <c r="M99" s="2449"/>
      <c r="N99" s="2449"/>
      <c r="O99" s="2449"/>
      <c r="P99" s="2449"/>
      <c r="Q99" s="2449"/>
      <c r="R99" s="2449"/>
      <c r="S99" s="2449"/>
      <c r="T99" s="2449"/>
      <c r="U99" s="2449"/>
      <c r="V99" s="2449"/>
      <c r="W99" s="2449"/>
      <c r="X99" s="2449"/>
      <c r="Y99" s="2449"/>
      <c r="Z99" s="2449"/>
      <c r="AA99" s="2449"/>
      <c r="AB99" s="2449"/>
      <c r="AC99" s="2449"/>
      <c r="AD99" s="2449"/>
      <c r="AE99" s="2449"/>
      <c r="AF99" s="2449"/>
      <c r="AG99" s="2449"/>
      <c r="AH99" s="2449"/>
      <c r="AI99" s="2449"/>
      <c r="AJ99" s="2450"/>
      <c r="AK99" s="539"/>
      <c r="AL99" s="536"/>
      <c r="AM99" s="536"/>
      <c r="AN99" s="531"/>
    </row>
    <row r="100" spans="1:47" s="532" customFormat="1" ht="12.75" customHeight="1">
      <c r="A100" s="534"/>
      <c r="B100" s="535"/>
      <c r="C100" s="535"/>
      <c r="D100" s="535"/>
      <c r="E100" s="2448"/>
      <c r="F100" s="2449"/>
      <c r="G100" s="2449"/>
      <c r="H100" s="2449"/>
      <c r="I100" s="2449"/>
      <c r="J100" s="2449"/>
      <c r="K100" s="2449"/>
      <c r="L100" s="2449"/>
      <c r="M100" s="2449"/>
      <c r="N100" s="2449"/>
      <c r="O100" s="2449"/>
      <c r="P100" s="2449"/>
      <c r="Q100" s="2449"/>
      <c r="R100" s="2449"/>
      <c r="S100" s="2449"/>
      <c r="T100" s="2449"/>
      <c r="U100" s="2449"/>
      <c r="V100" s="2449"/>
      <c r="W100" s="2449"/>
      <c r="X100" s="2449"/>
      <c r="Y100" s="2449"/>
      <c r="Z100" s="2449"/>
      <c r="AA100" s="2449"/>
      <c r="AB100" s="2449"/>
      <c r="AC100" s="2449"/>
      <c r="AD100" s="2449"/>
      <c r="AE100" s="2449"/>
      <c r="AF100" s="2449"/>
      <c r="AG100" s="2449"/>
      <c r="AH100" s="2449"/>
      <c r="AI100" s="2449"/>
      <c r="AJ100" s="2450"/>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441">
        <f>Application!AC761</f>
        <v>0.49999999999999994</v>
      </c>
      <c r="F102" s="2442"/>
      <c r="G102" s="2442"/>
      <c r="H102" s="2442"/>
      <c r="I102" s="570"/>
      <c r="J102" s="573" t="s">
        <v>1317</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441">
        <f ca="1">SUMIF(Application!AC726:AG760,0.2,Application!G726:J760)/Application!G761+SUMIF(Application!AC726:AG760,0.25,Application!G726:J760)/Application!G761+SUMIF(Application!AC726:AG760,0.3,Application!G726:J760)/Application!G761</f>
        <v>0.49074074074074076</v>
      </c>
      <c r="F103" s="2442"/>
      <c r="G103" s="2442"/>
      <c r="H103" s="2442"/>
      <c r="I103" s="570"/>
      <c r="J103" s="573" t="s">
        <v>1320</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441">
        <f ca="1">SUMIF(Application!AC726:AG760,0.35,Application!G726:J760)/Application!G761+SUMIF(Application!AC726:AG760,0.4,Application!G726:J760)/Application!G761+SUMIF(Application!AC726:AG760,0.45,Application!G726:J760)/Application!G761+SUMIF(Application!AC726:AG760,0.5,Application!G726:J760)/Application!G761</f>
        <v>1.8518518518518517E-2</v>
      </c>
      <c r="F104" s="2442"/>
      <c r="G104" s="2442"/>
      <c r="H104" s="2442"/>
      <c r="I104" s="570"/>
      <c r="J104" s="573" t="s">
        <v>1321</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476">
        <f ca="1">IF(AND(E102&lt;=0.6,OR(AND(E103&gt;=0.1,E104&gt;=0.1),AND(E103&gt;0.1,(E103+E104)&gt;=0.2))),20,0)</f>
        <v>20</v>
      </c>
      <c r="F105" s="2477"/>
      <c r="G105" s="2477"/>
      <c r="H105" s="2477"/>
      <c r="I105" s="546"/>
      <c r="J105" s="580" t="s">
        <v>1319</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1302</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1322</v>
      </c>
      <c r="AK108" s="2458">
        <f ca="1">MAX(AP94,AP105)</f>
        <v>20</v>
      </c>
      <c r="AL108" s="2459"/>
      <c r="AM108" s="2460"/>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1323</v>
      </c>
      <c r="B111" s="535" t="s">
        <v>1324</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47" t="s">
        <v>1305</v>
      </c>
      <c r="AF111" s="2447"/>
      <c r="AG111" s="2447"/>
      <c r="AH111" s="2447"/>
      <c r="AI111" s="2447"/>
      <c r="AJ111" s="2447"/>
      <c r="AK111" s="2447"/>
      <c r="AL111" s="536"/>
      <c r="AM111" s="536"/>
      <c r="AN111" s="531"/>
      <c r="AO111" s="532" t="str">
        <f>Application!B726</f>
        <v>SRO/Studio</v>
      </c>
      <c r="AQ111" s="532">
        <f>Application!O726</f>
        <v>781</v>
      </c>
    </row>
    <row r="112" spans="1:47" s="532" customFormat="1" ht="12.75" customHeight="1">
      <c r="A112" s="536"/>
      <c r="B112" s="535" t="s">
        <v>1315</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828</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2 Bedrooms</v>
      </c>
      <c r="AQ113" s="532">
        <f>Application!O728</f>
        <v>1722</v>
      </c>
    </row>
    <row r="114" spans="1:52" s="532" customFormat="1" ht="12.75" customHeight="1">
      <c r="A114" s="536"/>
      <c r="B114" s="2419" t="s">
        <v>543</v>
      </c>
      <c r="C114" s="2419"/>
      <c r="D114" s="541" t="s">
        <v>1306</v>
      </c>
      <c r="E114" s="2429" t="s">
        <v>2555</v>
      </c>
      <c r="F114" s="2430"/>
      <c r="G114" s="2430"/>
      <c r="H114" s="2430"/>
      <c r="I114" s="2430"/>
      <c r="J114" s="2430"/>
      <c r="K114" s="2430"/>
      <c r="L114" s="2430"/>
      <c r="M114" s="2430"/>
      <c r="N114" s="2430"/>
      <c r="O114" s="2430"/>
      <c r="P114" s="2430"/>
      <c r="Q114" s="2430"/>
      <c r="R114" s="2430"/>
      <c r="S114" s="2430"/>
      <c r="T114" s="2430"/>
      <c r="U114" s="2430"/>
      <c r="V114" s="2430"/>
      <c r="W114" s="2430"/>
      <c r="X114" s="2430"/>
      <c r="Y114" s="2430"/>
      <c r="Z114" s="2430"/>
      <c r="AA114" s="2430"/>
      <c r="AB114" s="2430"/>
      <c r="AC114" s="2430"/>
      <c r="AD114" s="2430"/>
      <c r="AE114" s="2430"/>
      <c r="AF114" s="2430"/>
      <c r="AG114" s="2430"/>
      <c r="AH114" s="2430"/>
      <c r="AI114" s="2430"/>
      <c r="AJ114" s="2431"/>
      <c r="AK114" s="536"/>
      <c r="AL114" s="536"/>
      <c r="AM114" s="536"/>
      <c r="AN114" s="531"/>
      <c r="AO114" s="532" t="str">
        <f>Application!B729</f>
        <v>2 Bedrooms</v>
      </c>
      <c r="AQ114" s="532">
        <f>Application!O729</f>
        <v>2472</v>
      </c>
      <c r="AU114" s="532" t="s">
        <v>1809</v>
      </c>
      <c r="AV114" s="588" t="s">
        <v>1810</v>
      </c>
      <c r="AW114" s="532" t="s">
        <v>1811</v>
      </c>
    </row>
    <row r="115" spans="1:52" s="532" customFormat="1" ht="12.75" customHeight="1">
      <c r="A115" s="536"/>
      <c r="B115" s="535"/>
      <c r="C115" s="535"/>
      <c r="D115" s="535"/>
      <c r="E115" s="2448"/>
      <c r="F115" s="2449"/>
      <c r="G115" s="2449"/>
      <c r="H115" s="2449"/>
      <c r="I115" s="2449"/>
      <c r="J115" s="2449"/>
      <c r="K115" s="2449"/>
      <c r="L115" s="2449"/>
      <c r="M115" s="2449"/>
      <c r="N115" s="2449"/>
      <c r="O115" s="2449"/>
      <c r="P115" s="2449"/>
      <c r="Q115" s="2449"/>
      <c r="R115" s="2449"/>
      <c r="S115" s="2449"/>
      <c r="T115" s="2449"/>
      <c r="U115" s="2449"/>
      <c r="V115" s="2449"/>
      <c r="W115" s="2449"/>
      <c r="X115" s="2449"/>
      <c r="Y115" s="2449"/>
      <c r="Z115" s="2449"/>
      <c r="AA115" s="2449"/>
      <c r="AB115" s="2449"/>
      <c r="AC115" s="2449"/>
      <c r="AD115" s="2449"/>
      <c r="AE115" s="2449"/>
      <c r="AF115" s="2449"/>
      <c r="AG115" s="2449"/>
      <c r="AH115" s="2449"/>
      <c r="AI115" s="2449"/>
      <c r="AJ115" s="2450"/>
      <c r="AK115" s="536"/>
      <c r="AL115" s="536"/>
      <c r="AM115" s="536"/>
      <c r="AN115" s="531"/>
      <c r="AO115" s="532" t="str">
        <f>Application!B730</f>
        <v>3 Bedrooms</v>
      </c>
      <c r="AQ115" s="532">
        <f>Application!O730</f>
        <v>2838</v>
      </c>
      <c r="AU115" s="847" t="str">
        <f>E123</f>
        <v>Studio/SRO</v>
      </c>
      <c r="AV115" s="532">
        <f t="array" ref="AV115">SUM(IF(Application!B726:F760="SRO/Studio",Application!G726:J760))</f>
        <v>14</v>
      </c>
      <c r="AW115" s="1001">
        <f>AV115/AV121</f>
        <v>0.12962962962962962</v>
      </c>
    </row>
    <row r="116" spans="1:52" s="532" customFormat="1" ht="12.75" customHeight="1">
      <c r="A116" s="536"/>
      <c r="B116" s="535"/>
      <c r="C116" s="535"/>
      <c r="D116" s="535"/>
      <c r="E116" s="2448"/>
      <c r="F116" s="2449"/>
      <c r="G116" s="2449"/>
      <c r="H116" s="2449"/>
      <c r="I116" s="2449"/>
      <c r="J116" s="2449"/>
      <c r="K116" s="2449"/>
      <c r="L116" s="2449"/>
      <c r="M116" s="2449"/>
      <c r="N116" s="2449"/>
      <c r="O116" s="2449"/>
      <c r="P116" s="2449"/>
      <c r="Q116" s="2449"/>
      <c r="R116" s="2449"/>
      <c r="S116" s="2449"/>
      <c r="T116" s="2449"/>
      <c r="U116" s="2449"/>
      <c r="V116" s="2449"/>
      <c r="W116" s="2449"/>
      <c r="X116" s="2449"/>
      <c r="Y116" s="2449"/>
      <c r="Z116" s="2449"/>
      <c r="AA116" s="2449"/>
      <c r="AB116" s="2449"/>
      <c r="AC116" s="2449"/>
      <c r="AD116" s="2449"/>
      <c r="AE116" s="2449"/>
      <c r="AF116" s="2449"/>
      <c r="AG116" s="2449"/>
      <c r="AH116" s="2449"/>
      <c r="AI116" s="2449"/>
      <c r="AJ116" s="2450"/>
      <c r="AK116" s="536"/>
      <c r="AL116" s="536"/>
      <c r="AM116" s="536"/>
      <c r="AN116" s="531"/>
      <c r="AO116" s="532">
        <f>Application!B731</f>
        <v>0</v>
      </c>
      <c r="AQ116" s="532">
        <f>Application!O731</f>
        <v>0</v>
      </c>
      <c r="AU116" s="847" t="str">
        <f>J123</f>
        <v>1-bedroom</v>
      </c>
      <c r="AV116" s="532">
        <f t="array" ref="AV116">SUM(IF(Application!B726:F760="1 Bedroom",Application!G726:J760))</f>
        <v>39</v>
      </c>
      <c r="AW116" s="1001">
        <f>AV116/AV121</f>
        <v>0.3611111111111111</v>
      </c>
    </row>
    <row r="117" spans="1:52" s="532" customFormat="1" ht="12.75" customHeight="1">
      <c r="A117" s="536"/>
      <c r="B117" s="535"/>
      <c r="C117" s="535"/>
      <c r="D117" s="535"/>
      <c r="E117" s="2448"/>
      <c r="F117" s="2449"/>
      <c r="G117" s="2449"/>
      <c r="H117" s="2449"/>
      <c r="I117" s="2449"/>
      <c r="J117" s="2449"/>
      <c r="K117" s="2449"/>
      <c r="L117" s="2449"/>
      <c r="M117" s="2449"/>
      <c r="N117" s="2449"/>
      <c r="O117" s="2449"/>
      <c r="P117" s="2449"/>
      <c r="Q117" s="2449"/>
      <c r="R117" s="2449"/>
      <c r="S117" s="2449"/>
      <c r="T117" s="2449"/>
      <c r="U117" s="2449"/>
      <c r="V117" s="2449"/>
      <c r="W117" s="2449"/>
      <c r="X117" s="2449"/>
      <c r="Y117" s="2449"/>
      <c r="Z117" s="2449"/>
      <c r="AA117" s="2449"/>
      <c r="AB117" s="2449"/>
      <c r="AC117" s="2449"/>
      <c r="AD117" s="2449"/>
      <c r="AE117" s="2449"/>
      <c r="AF117" s="2449"/>
      <c r="AG117" s="2449"/>
      <c r="AH117" s="2449"/>
      <c r="AI117" s="2449"/>
      <c r="AJ117" s="2450"/>
      <c r="AK117" s="536"/>
      <c r="AL117" s="536"/>
      <c r="AM117" s="536"/>
      <c r="AN117" s="531"/>
      <c r="AO117" s="532">
        <f>Application!B732</f>
        <v>0</v>
      </c>
      <c r="AQ117" s="532">
        <f>Application!O732</f>
        <v>0</v>
      </c>
      <c r="AU117" s="847" t="str">
        <f>O123</f>
        <v>2-bedroom</v>
      </c>
      <c r="AV117" s="532">
        <f t="array" ref="AV117">SUM(IF(Application!B726:F760="2 Bedrooms",Application!G726:J760))</f>
        <v>28</v>
      </c>
      <c r="AW117" s="1001">
        <f>AV117/AV121</f>
        <v>0.25925925925925924</v>
      </c>
    </row>
    <row r="118" spans="1:52" s="532" customFormat="1" ht="12.75" customHeight="1">
      <c r="A118" s="536"/>
      <c r="B118" s="535"/>
      <c r="C118" s="535"/>
      <c r="D118" s="535"/>
      <c r="E118" s="2448"/>
      <c r="F118" s="2449"/>
      <c r="G118" s="2449"/>
      <c r="H118" s="2449"/>
      <c r="I118" s="2449"/>
      <c r="J118" s="2449"/>
      <c r="K118" s="2449"/>
      <c r="L118" s="2449"/>
      <c r="M118" s="2449"/>
      <c r="N118" s="2449"/>
      <c r="O118" s="2449"/>
      <c r="P118" s="2449"/>
      <c r="Q118" s="2449"/>
      <c r="R118" s="2449"/>
      <c r="S118" s="2449"/>
      <c r="T118" s="2449"/>
      <c r="U118" s="2449"/>
      <c r="V118" s="2449"/>
      <c r="W118" s="2449"/>
      <c r="X118" s="2449"/>
      <c r="Y118" s="2449"/>
      <c r="Z118" s="2449"/>
      <c r="AA118" s="2449"/>
      <c r="AB118" s="2449"/>
      <c r="AC118" s="2449"/>
      <c r="AD118" s="2449"/>
      <c r="AE118" s="2449"/>
      <c r="AF118" s="2449"/>
      <c r="AG118" s="2449"/>
      <c r="AH118" s="2449"/>
      <c r="AI118" s="2449"/>
      <c r="AJ118" s="2450"/>
      <c r="AK118" s="536"/>
      <c r="AL118" s="536"/>
      <c r="AM118" s="536"/>
      <c r="AN118" s="531"/>
      <c r="AO118" s="532">
        <f>Application!B733</f>
        <v>0</v>
      </c>
      <c r="AQ118" s="532">
        <f>Application!O733</f>
        <v>0</v>
      </c>
      <c r="AU118" s="847" t="str">
        <f>T123</f>
        <v>3-bedroom</v>
      </c>
      <c r="AV118" s="532">
        <f t="array" ref="AV118">SUM(IF(Application!B726:F760="3 Bedrooms",Application!G726:J760))</f>
        <v>27</v>
      </c>
      <c r="AW118" s="1001">
        <f>AV118/AV121</f>
        <v>0.25</v>
      </c>
    </row>
    <row r="119" spans="1:52" s="532" customFormat="1" ht="12.75" customHeight="1">
      <c r="A119" s="536"/>
      <c r="B119" s="535"/>
      <c r="C119" s="535"/>
      <c r="D119" s="535"/>
      <c r="E119" s="2448"/>
      <c r="F119" s="2449"/>
      <c r="G119" s="2449"/>
      <c r="H119" s="2449"/>
      <c r="I119" s="2449"/>
      <c r="J119" s="2449"/>
      <c r="K119" s="2449"/>
      <c r="L119" s="2449"/>
      <c r="M119" s="2449"/>
      <c r="N119" s="2449"/>
      <c r="O119" s="2449"/>
      <c r="P119" s="2449"/>
      <c r="Q119" s="2449"/>
      <c r="R119" s="2449"/>
      <c r="S119" s="2449"/>
      <c r="T119" s="2449"/>
      <c r="U119" s="2449"/>
      <c r="V119" s="2449"/>
      <c r="W119" s="2449"/>
      <c r="X119" s="2449"/>
      <c r="Y119" s="2449"/>
      <c r="Z119" s="2449"/>
      <c r="AA119" s="2449"/>
      <c r="AB119" s="2449"/>
      <c r="AC119" s="2449"/>
      <c r="AD119" s="2449"/>
      <c r="AE119" s="2449"/>
      <c r="AF119" s="2449"/>
      <c r="AG119" s="2449"/>
      <c r="AH119" s="2449"/>
      <c r="AI119" s="2449"/>
      <c r="AJ119" s="2450"/>
      <c r="AK119" s="536"/>
      <c r="AL119" s="536"/>
      <c r="AM119" s="536"/>
      <c r="AN119" s="531"/>
      <c r="AO119" s="532">
        <f>Application!B734</f>
        <v>0</v>
      </c>
      <c r="AQ119" s="532">
        <f>Application!O734</f>
        <v>0</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448"/>
      <c r="F120" s="2449"/>
      <c r="G120" s="2449"/>
      <c r="H120" s="2449"/>
      <c r="I120" s="2449"/>
      <c r="J120" s="2449"/>
      <c r="K120" s="2449"/>
      <c r="L120" s="2449"/>
      <c r="M120" s="2449"/>
      <c r="N120" s="2449"/>
      <c r="O120" s="2449"/>
      <c r="P120" s="2449"/>
      <c r="Q120" s="2449"/>
      <c r="R120" s="2449"/>
      <c r="S120" s="2449"/>
      <c r="T120" s="2449"/>
      <c r="U120" s="2449"/>
      <c r="V120" s="2449"/>
      <c r="W120" s="2449"/>
      <c r="X120" s="2449"/>
      <c r="Y120" s="2449"/>
      <c r="Z120" s="2449"/>
      <c r="AA120" s="2449"/>
      <c r="AB120" s="2449"/>
      <c r="AC120" s="2449"/>
      <c r="AD120" s="2449"/>
      <c r="AE120" s="2449"/>
      <c r="AF120" s="2449"/>
      <c r="AG120" s="2449"/>
      <c r="AH120" s="2449"/>
      <c r="AI120" s="2449"/>
      <c r="AJ120" s="2450"/>
      <c r="AK120" s="536"/>
      <c r="AL120" s="536"/>
      <c r="AM120" s="536"/>
      <c r="AN120" s="531"/>
      <c r="AO120" s="532">
        <f>Application!B735</f>
        <v>0</v>
      </c>
      <c r="AQ120" s="532">
        <f>Application!O735</f>
        <v>0</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448"/>
      <c r="F121" s="2449"/>
      <c r="G121" s="2449"/>
      <c r="H121" s="2449"/>
      <c r="I121" s="2449"/>
      <c r="J121" s="2449"/>
      <c r="K121" s="2449"/>
      <c r="L121" s="2449"/>
      <c r="M121" s="2449"/>
      <c r="N121" s="2449"/>
      <c r="O121" s="2449"/>
      <c r="P121" s="2449"/>
      <c r="Q121" s="2449"/>
      <c r="R121" s="2449"/>
      <c r="S121" s="2449"/>
      <c r="T121" s="2449"/>
      <c r="U121" s="2449"/>
      <c r="V121" s="2449"/>
      <c r="W121" s="2449"/>
      <c r="X121" s="2449"/>
      <c r="Y121" s="2449"/>
      <c r="Z121" s="2449"/>
      <c r="AA121" s="2449"/>
      <c r="AB121" s="2449"/>
      <c r="AC121" s="2449"/>
      <c r="AD121" s="2449"/>
      <c r="AE121" s="2449"/>
      <c r="AF121" s="2449"/>
      <c r="AG121" s="2449"/>
      <c r="AH121" s="2449"/>
      <c r="AI121" s="2449"/>
      <c r="AJ121" s="2450"/>
      <c r="AK121" s="536"/>
      <c r="AL121" s="536"/>
      <c r="AM121" s="536"/>
      <c r="AN121" s="531"/>
      <c r="AO121" s="532">
        <f>Application!B736</f>
        <v>0</v>
      </c>
      <c r="AQ121" s="532">
        <f>Application!O736</f>
        <v>0</v>
      </c>
      <c r="AV121" s="532">
        <f>SUM(AV115:AV120)</f>
        <v>108</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f>Application!B737</f>
        <v>0</v>
      </c>
      <c r="AQ122" s="532">
        <f>Application!O737</f>
        <v>0</v>
      </c>
    </row>
    <row r="123" spans="1:52" s="532" customFormat="1" ht="12.75" customHeight="1">
      <c r="A123" s="536"/>
      <c r="B123" s="535"/>
      <c r="C123" s="536"/>
      <c r="D123" s="536"/>
      <c r="E123" s="2441" t="s">
        <v>1574</v>
      </c>
      <c r="F123" s="2442"/>
      <c r="G123" s="2442"/>
      <c r="H123" s="2442"/>
      <c r="I123" s="570"/>
      <c r="J123" s="2442" t="s">
        <v>1617</v>
      </c>
      <c r="K123" s="2442"/>
      <c r="L123" s="2442"/>
      <c r="M123" s="2442"/>
      <c r="N123" s="570"/>
      <c r="O123" s="2442" t="s">
        <v>1618</v>
      </c>
      <c r="P123" s="2442"/>
      <c r="Q123" s="2442"/>
      <c r="R123" s="2442"/>
      <c r="S123" s="570"/>
      <c r="T123" s="2442" t="s">
        <v>1325</v>
      </c>
      <c r="U123" s="2442"/>
      <c r="V123" s="2442"/>
      <c r="W123" s="2442"/>
      <c r="X123" s="570"/>
      <c r="Y123" s="2442" t="s">
        <v>1619</v>
      </c>
      <c r="Z123" s="2442"/>
      <c r="AA123" s="2442"/>
      <c r="AB123" s="2442"/>
      <c r="AC123" s="570"/>
      <c r="AD123" s="2442" t="s">
        <v>1620</v>
      </c>
      <c r="AE123" s="2442"/>
      <c r="AF123" s="2442"/>
      <c r="AG123" s="2442"/>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1621</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478">
        <v>2123</v>
      </c>
      <c r="F126" s="2479"/>
      <c r="G126" s="2479"/>
      <c r="H126" s="2479"/>
      <c r="I126" s="855"/>
      <c r="J126" s="2479">
        <v>2399</v>
      </c>
      <c r="K126" s="2479"/>
      <c r="L126" s="2479"/>
      <c r="M126" s="2479"/>
      <c r="N126" s="855"/>
      <c r="O126" s="2479">
        <v>3235</v>
      </c>
      <c r="P126" s="2479"/>
      <c r="Q126" s="2479"/>
      <c r="R126" s="2479"/>
      <c r="S126" s="855"/>
      <c r="T126" s="2479">
        <v>3483</v>
      </c>
      <c r="U126" s="2479"/>
      <c r="V126" s="2479"/>
      <c r="W126" s="2479"/>
      <c r="X126" s="855"/>
      <c r="Y126" s="2479"/>
      <c r="Z126" s="2479"/>
      <c r="AA126" s="2479"/>
      <c r="AB126" s="2479"/>
      <c r="AC126" s="855"/>
      <c r="AD126" s="2479"/>
      <c r="AE126" s="2479"/>
      <c r="AF126" s="2479"/>
      <c r="AG126" s="2479"/>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1813</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452">
        <f>Application!DX678</f>
        <v>781</v>
      </c>
      <c r="F129" s="2453"/>
      <c r="G129" s="2453"/>
      <c r="H129" s="2453"/>
      <c r="I129" s="855"/>
      <c r="J129" s="2453">
        <f>Application!EC678</f>
        <v>828</v>
      </c>
      <c r="K129" s="2453"/>
      <c r="L129" s="2453"/>
      <c r="M129" s="2453"/>
      <c r="N129" s="855"/>
      <c r="O129" s="2453">
        <f>Application!EH678</f>
        <v>2418.4285714285716</v>
      </c>
      <c r="P129" s="2453"/>
      <c r="Q129" s="2453"/>
      <c r="R129" s="2453"/>
      <c r="S129" s="859"/>
      <c r="T129" s="2453">
        <f>Application!EM678</f>
        <v>2838</v>
      </c>
      <c r="U129" s="2453"/>
      <c r="V129" s="2453"/>
      <c r="W129" s="2453"/>
      <c r="X129" s="859"/>
      <c r="Y129" s="2453">
        <f>Application!ER678</f>
        <v>0</v>
      </c>
      <c r="Z129" s="2453"/>
      <c r="AA129" s="2453"/>
      <c r="AB129" s="2453"/>
      <c r="AC129" s="859"/>
      <c r="AD129" s="2453">
        <f>Application!EW678</f>
        <v>0</v>
      </c>
      <c r="AE129" s="2453"/>
      <c r="AF129" s="2453"/>
      <c r="AG129" s="2453"/>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1814</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651">
        <f>(E126-E129)/E126</f>
        <v>0.63212435233160624</v>
      </c>
      <c r="F132" s="2444"/>
      <c r="G132" s="2444"/>
      <c r="H132" s="2652"/>
      <c r="I132" s="570"/>
      <c r="J132" s="2651">
        <f>(J126-J129)/J126</f>
        <v>0.65485619007919971</v>
      </c>
      <c r="K132" s="2444"/>
      <c r="L132" s="2444"/>
      <c r="M132" s="2652"/>
      <c r="N132" s="570"/>
      <c r="O132" s="2651">
        <f>(O126-O129)/O126</f>
        <v>0.25241775226319274</v>
      </c>
      <c r="P132" s="2444"/>
      <c r="Q132" s="2444"/>
      <c r="R132" s="2652"/>
      <c r="S132" s="570"/>
      <c r="T132" s="2651">
        <f>(T126-T129)/T126</f>
        <v>0.18518518518518517</v>
      </c>
      <c r="U132" s="2444"/>
      <c r="V132" s="2444"/>
      <c r="W132" s="2652"/>
      <c r="X132" s="570"/>
      <c r="Y132" s="2651" t="e">
        <f>(Y126-Y129)/Y126</f>
        <v>#DIV/0!</v>
      </c>
      <c r="Z132" s="2444"/>
      <c r="AA132" s="2444"/>
      <c r="AB132" s="2652"/>
      <c r="AC132" s="570"/>
      <c r="AD132" s="2651" t="e">
        <f>(AD126-AD129)/AD126</f>
        <v>#DIV/0!</v>
      </c>
      <c r="AE132" s="2444"/>
      <c r="AF132" s="2444"/>
      <c r="AG132" s="2652"/>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1815</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467">
        <f>IF(((E132-0.1)*AW115)&gt;0,((E132-0.1)*AW115),0)</f>
        <v>6.8979082709652667E-2</v>
      </c>
      <c r="F135" s="2468"/>
      <c r="G135" s="2468"/>
      <c r="H135" s="2469"/>
      <c r="I135" s="570"/>
      <c r="J135" s="2467">
        <f>IF(((J132-0.1)*AW116)&gt;0,((J132-0.1)*AW116),0)</f>
        <v>0.20036473530637769</v>
      </c>
      <c r="K135" s="2468"/>
      <c r="L135" s="2468"/>
      <c r="M135" s="2469"/>
      <c r="N135" s="570"/>
      <c r="O135" s="2467">
        <f>IF(((O132-0.1)*AW117)&gt;0,((O132-0.1)*AW117),0)</f>
        <v>3.9515713549716634E-2</v>
      </c>
      <c r="P135" s="2468"/>
      <c r="Q135" s="2468"/>
      <c r="R135" s="2469"/>
      <c r="S135" s="570"/>
      <c r="T135" s="2467">
        <f>IF(((T132-0.1)*AW118)&gt;0,((T132-0.1)*AW118),0)</f>
        <v>2.1296296296296292E-2</v>
      </c>
      <c r="U135" s="2468"/>
      <c r="V135" s="2468"/>
      <c r="W135" s="2469"/>
      <c r="X135" s="570"/>
      <c r="Y135" s="2467" t="e">
        <f>IF(((Y132-0.1)*AW119)&gt;0,((Y132-0.1)*AW119),0)</f>
        <v>#DIV/0!</v>
      </c>
      <c r="Z135" s="2468"/>
      <c r="AA135" s="2468"/>
      <c r="AB135" s="2469"/>
      <c r="AC135" s="570"/>
      <c r="AD135" s="2467" t="e">
        <f>IF(((AD132-0.1)*AW120)&gt;0,((AD132-0.1)*AW120),0)</f>
        <v>#DIV/0!</v>
      </c>
      <c r="AE135" s="2468"/>
      <c r="AF135" s="2468"/>
      <c r="AG135" s="2469"/>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651">
        <f>ROUNDDOWN(SUMIF(E135:AG135,"&gt;0"),2)</f>
        <v>0.33</v>
      </c>
      <c r="F137" s="2444"/>
      <c r="G137" s="2444"/>
      <c r="H137" s="2652"/>
      <c r="I137" s="570"/>
      <c r="J137" s="573" t="s">
        <v>1816</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458">
        <f>IF((E137*100)&gt;10,10,E137*100)</f>
        <v>10</v>
      </c>
      <c r="F138" s="2459"/>
      <c r="G138" s="2459"/>
      <c r="H138" s="2460"/>
      <c r="I138" s="570"/>
      <c r="J138" s="573" t="s">
        <v>1319</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1326</v>
      </c>
      <c r="AK142" s="2458">
        <f>E138</f>
        <v>10</v>
      </c>
      <c r="AL142" s="2459"/>
      <c r="AM142" s="2460"/>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1327</v>
      </c>
      <c r="AE145" s="2447" t="s">
        <v>1305</v>
      </c>
      <c r="AF145" s="2447"/>
      <c r="AG145" s="2447"/>
      <c r="AH145" s="2447"/>
      <c r="AI145" s="2447"/>
      <c r="AJ145" s="2447"/>
      <c r="AK145" s="2447"/>
      <c r="AL145" s="584"/>
      <c r="AN145" s="585"/>
      <c r="AO145" s="532"/>
    </row>
    <row r="146" spans="1:42" s="535" customFormat="1" ht="12.95" customHeight="1">
      <c r="A146" s="534"/>
      <c r="AE146" s="584"/>
      <c r="AF146" s="584"/>
      <c r="AG146" s="584"/>
      <c r="AH146" s="584"/>
      <c r="AI146" s="584"/>
      <c r="AJ146" s="584"/>
      <c r="AK146" s="584"/>
      <c r="AL146" s="584"/>
      <c r="AN146" s="585"/>
    </row>
    <row r="147" spans="1:42" s="532" customFormat="1" ht="12.75" customHeight="1">
      <c r="A147" s="534"/>
      <c r="B147" s="534" t="s">
        <v>1328</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80" t="s">
        <v>1329</v>
      </c>
      <c r="AG147" s="2480"/>
      <c r="AH147" s="2480"/>
      <c r="AI147" s="2480"/>
      <c r="AJ147" s="2480"/>
      <c r="AK147" s="2480"/>
      <c r="AL147" s="2480"/>
      <c r="AM147" s="535"/>
      <c r="AN147" s="531"/>
    </row>
    <row r="148" spans="1:42" s="532" customFormat="1" ht="12.75" customHeight="1">
      <c r="A148" s="534"/>
      <c r="B148" s="534" t="s">
        <v>530</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490" t="s">
        <v>2665</v>
      </c>
      <c r="C149" s="2490"/>
      <c r="D149" s="2490"/>
      <c r="E149" s="2490"/>
      <c r="F149" s="2490"/>
      <c r="G149" s="2490"/>
      <c r="H149" s="2490"/>
      <c r="I149" s="2490"/>
      <c r="J149" s="2490"/>
      <c r="K149" s="2490"/>
      <c r="L149" s="2490"/>
      <c r="M149" s="2490"/>
      <c r="N149" s="2490"/>
      <c r="O149" s="2490"/>
      <c r="P149" s="2490"/>
      <c r="Q149" s="2490"/>
      <c r="R149" s="2490"/>
      <c r="S149" s="2490"/>
      <c r="T149" s="2490"/>
      <c r="U149" s="2490"/>
      <c r="V149" s="2490"/>
      <c r="W149" s="2490"/>
      <c r="X149" s="2490"/>
      <c r="Y149" s="2490"/>
      <c r="Z149" s="2490"/>
      <c r="AA149" s="2490"/>
      <c r="AB149" s="2490"/>
      <c r="AC149" s="2490"/>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306</v>
      </c>
      <c r="AP150" s="540"/>
    </row>
    <row r="151" spans="1:42" s="532" customFormat="1" ht="12.75" customHeight="1">
      <c r="A151" s="534"/>
      <c r="B151" s="535" t="s">
        <v>1330</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1331</v>
      </c>
      <c r="AP151" s="485">
        <v>5</v>
      </c>
    </row>
    <row r="152" spans="1:42" s="532" customFormat="1" ht="12.75" customHeight="1">
      <c r="A152" s="534"/>
      <c r="B152" s="2491" t="s">
        <v>1332</v>
      </c>
      <c r="C152" s="2491"/>
      <c r="D152" s="2491"/>
      <c r="E152" s="2491"/>
      <c r="F152" s="2491"/>
      <c r="G152" s="2491"/>
      <c r="H152" s="2491"/>
      <c r="I152" s="2491"/>
      <c r="J152" s="2491"/>
      <c r="K152" s="2491"/>
      <c r="L152" s="2491"/>
      <c r="M152" s="2491"/>
      <c r="N152" s="2491"/>
      <c r="O152" s="2491"/>
      <c r="P152" s="2491"/>
      <c r="Q152" s="2491"/>
      <c r="R152" s="2491"/>
      <c r="S152" s="2491"/>
      <c r="T152" s="2491"/>
      <c r="U152" s="2491"/>
      <c r="V152" s="2491"/>
      <c r="W152" s="2491"/>
      <c r="X152" s="2491"/>
      <c r="Y152" s="2491"/>
      <c r="Z152" s="2491"/>
      <c r="AA152" s="2491"/>
      <c r="AB152" s="2491"/>
      <c r="AC152" s="2491"/>
      <c r="AD152" s="2491"/>
      <c r="AE152" s="2491"/>
      <c r="AF152" s="2491"/>
      <c r="AG152" s="2491"/>
      <c r="AH152" s="2491"/>
      <c r="AI152" s="2491"/>
      <c r="AM152" s="535"/>
      <c r="AN152" s="531"/>
      <c r="AO152" s="472" t="s">
        <v>1332</v>
      </c>
      <c r="AP152" s="485">
        <v>7</v>
      </c>
    </row>
    <row r="153" spans="1:42" s="532" customFormat="1" ht="12.95"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2614</v>
      </c>
      <c r="AP153" s="485">
        <v>7</v>
      </c>
    </row>
    <row r="154" spans="1:42" s="532" customFormat="1" ht="12.75" customHeight="1">
      <c r="A154" s="534"/>
      <c r="B154" s="535" t="s">
        <v>1333</v>
      </c>
      <c r="AB154" s="2492" t="s">
        <v>589</v>
      </c>
      <c r="AC154" s="2492"/>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1334</v>
      </c>
      <c r="AP155" s="485"/>
    </row>
    <row r="156" spans="1:42" s="532" customFormat="1" ht="12.75" customHeight="1">
      <c r="A156" s="534"/>
      <c r="B156" s="534" t="s">
        <v>1335</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1336</v>
      </c>
      <c r="AP156" s="485">
        <v>5</v>
      </c>
    </row>
    <row r="157" spans="1:42" s="532" customFormat="1" ht="12.75" customHeight="1">
      <c r="A157" s="534"/>
      <c r="B157" s="2491" t="s">
        <v>1334</v>
      </c>
      <c r="C157" s="2491"/>
      <c r="D157" s="2491"/>
      <c r="E157" s="2491"/>
      <c r="F157" s="2491"/>
      <c r="G157" s="2491"/>
      <c r="H157" s="2491"/>
      <c r="I157" s="2491"/>
      <c r="J157" s="2491"/>
      <c r="K157" s="2491"/>
      <c r="L157" s="2491"/>
      <c r="M157" s="2491"/>
      <c r="N157" s="2491"/>
      <c r="O157" s="2491"/>
      <c r="P157" s="2491"/>
      <c r="Q157" s="2491"/>
      <c r="R157" s="2491"/>
      <c r="S157" s="2491"/>
      <c r="T157" s="2491"/>
      <c r="U157" s="2491"/>
      <c r="V157" s="2491"/>
      <c r="W157" s="2491"/>
      <c r="X157" s="2491"/>
      <c r="Y157" s="2491"/>
      <c r="Z157" s="2491"/>
      <c r="AA157" s="2491"/>
      <c r="AB157" s="2491"/>
      <c r="AC157" s="2491"/>
      <c r="AD157" s="2491"/>
      <c r="AE157" s="2491"/>
      <c r="AF157" s="2491"/>
      <c r="AG157" s="2491"/>
      <c r="AH157" s="2491"/>
      <c r="AI157" s="2491"/>
      <c r="AJ157" s="2491"/>
      <c r="AN157" s="531"/>
      <c r="AO157" s="472" t="s">
        <v>1337</v>
      </c>
      <c r="AP157" s="485">
        <v>7</v>
      </c>
    </row>
    <row r="158" spans="1:42" s="532" customFormat="1" ht="12.75" customHeight="1">
      <c r="B158" s="535" t="s">
        <v>1338</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656" t="s">
        <v>2398</v>
      </c>
      <c r="C160" s="2656"/>
      <c r="D160" s="2656"/>
      <c r="E160" s="2656"/>
      <c r="F160" s="2656"/>
      <c r="G160" s="2656"/>
      <c r="H160" s="2656"/>
      <c r="I160" s="2656"/>
      <c r="J160" s="2656"/>
      <c r="K160" s="2656"/>
      <c r="L160" s="2656"/>
      <c r="M160" s="2656"/>
      <c r="N160" s="2656"/>
      <c r="O160" s="2656"/>
      <c r="P160" s="2656"/>
      <c r="Q160" s="2656"/>
      <c r="R160" s="2656"/>
      <c r="S160" s="2656"/>
      <c r="T160" s="2656"/>
      <c r="U160" s="2656"/>
      <c r="V160" s="2656"/>
      <c r="W160" s="2656"/>
      <c r="X160" s="2656"/>
      <c r="Y160" s="2656"/>
      <c r="Z160" s="2656"/>
      <c r="AA160" s="2656"/>
      <c r="AB160" s="2656"/>
      <c r="AC160" s="2656"/>
      <c r="AD160" s="2656"/>
      <c r="AE160" s="2656"/>
      <c r="AF160" s="2656"/>
      <c r="AG160" s="2656"/>
      <c r="AH160" s="2656"/>
      <c r="AI160" s="2656"/>
      <c r="AJ160" s="2656"/>
      <c r="AK160" s="1168"/>
      <c r="AM160" s="535"/>
      <c r="AN160" s="531"/>
      <c r="AO160" s="472"/>
      <c r="AP160" s="485"/>
    </row>
    <row r="161" spans="1:42" s="532" customFormat="1" ht="12.75" customHeight="1">
      <c r="B161" s="2656"/>
      <c r="C161" s="2656"/>
      <c r="D161" s="2656"/>
      <c r="E161" s="2656"/>
      <c r="F161" s="2656"/>
      <c r="G161" s="2656"/>
      <c r="H161" s="2656"/>
      <c r="I161" s="2656"/>
      <c r="J161" s="2656"/>
      <c r="K161" s="2656"/>
      <c r="L161" s="2656"/>
      <c r="M161" s="2656"/>
      <c r="N161" s="2656"/>
      <c r="O161" s="2656"/>
      <c r="P161" s="2656"/>
      <c r="Q161" s="2656"/>
      <c r="R161" s="2656"/>
      <c r="S161" s="2656"/>
      <c r="T161" s="2656"/>
      <c r="U161" s="2656"/>
      <c r="V161" s="2656"/>
      <c r="W161" s="2656"/>
      <c r="X161" s="2656"/>
      <c r="Y161" s="2656"/>
      <c r="Z161" s="2656"/>
      <c r="AA161" s="2656"/>
      <c r="AB161" s="2656"/>
      <c r="AC161" s="2656"/>
      <c r="AD161" s="2656"/>
      <c r="AE161" s="2656"/>
      <c r="AF161" s="2656"/>
      <c r="AG161" s="2656"/>
      <c r="AH161" s="2656"/>
      <c r="AI161" s="2656"/>
      <c r="AJ161" s="2656"/>
      <c r="AK161" s="1168"/>
      <c r="AM161" s="535"/>
      <c r="AN161" s="531"/>
      <c r="AO161" s="472"/>
      <c r="AP161" s="485"/>
    </row>
    <row r="162" spans="1:42" s="532" customFormat="1" ht="12.75" customHeight="1">
      <c r="C162" s="2567" t="s">
        <v>2399</v>
      </c>
      <c r="D162" s="2567"/>
      <c r="E162" s="2567"/>
      <c r="F162" s="2567"/>
      <c r="G162" s="2567"/>
      <c r="H162" s="2567"/>
      <c r="I162" s="2567"/>
      <c r="J162" s="2567"/>
      <c r="K162" s="2567"/>
      <c r="L162" s="2567"/>
      <c r="M162" s="2567"/>
      <c r="N162" s="2567"/>
      <c r="O162" s="2567"/>
      <c r="P162" s="2567"/>
      <c r="Q162" s="2567"/>
      <c r="R162" s="2567"/>
      <c r="S162" s="2567"/>
      <c r="T162" s="2567"/>
      <c r="U162" s="2567"/>
      <c r="V162" s="2567"/>
      <c r="W162" s="2567"/>
      <c r="X162" s="2567"/>
      <c r="Y162" s="2567"/>
      <c r="Z162" s="2567"/>
      <c r="AA162" s="2567"/>
      <c r="AB162" s="2567"/>
      <c r="AC162" s="2567"/>
      <c r="AD162" s="2567"/>
      <c r="AE162" s="2567"/>
      <c r="AF162" s="2567"/>
      <c r="AG162" s="2567"/>
      <c r="AH162" s="2567"/>
      <c r="AI162" s="2567"/>
      <c r="AJ162" s="2567"/>
      <c r="AK162" s="1168"/>
      <c r="AM162" s="535"/>
      <c r="AN162" s="531"/>
      <c r="AO162" s="472"/>
      <c r="AP162" s="485"/>
    </row>
    <row r="163" spans="1:42" s="532" customFormat="1" ht="12.75" customHeight="1">
      <c r="B163" s="1168"/>
      <c r="C163" s="2489" t="s">
        <v>2397</v>
      </c>
      <c r="D163" s="2489"/>
      <c r="E163" s="2489"/>
      <c r="F163" s="2489"/>
      <c r="G163" s="2489"/>
      <c r="H163" s="2489"/>
      <c r="I163" s="2489"/>
      <c r="J163" s="2489"/>
      <c r="K163" s="2489"/>
      <c r="L163" s="2489"/>
      <c r="M163" s="2489"/>
      <c r="N163" s="2489"/>
      <c r="O163" s="2489"/>
      <c r="P163" s="2489"/>
      <c r="Q163" s="2489"/>
      <c r="R163" s="2489"/>
      <c r="S163" s="2489"/>
      <c r="T163" s="2489"/>
      <c r="U163" s="2489"/>
      <c r="V163" s="2489"/>
      <c r="W163" s="2489"/>
      <c r="X163" s="2489"/>
      <c r="Y163" s="2489"/>
      <c r="Z163" s="2489"/>
      <c r="AA163" s="1158"/>
      <c r="AB163" s="1158"/>
      <c r="AC163" s="1158"/>
      <c r="AD163" s="1158"/>
      <c r="AE163" s="1158"/>
      <c r="AF163" s="1158"/>
      <c r="AG163" s="1158"/>
      <c r="AH163" s="1158"/>
      <c r="AJ163" s="2492" t="s">
        <v>589</v>
      </c>
      <c r="AK163" s="2492"/>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1340</v>
      </c>
      <c r="AJ165" s="2495">
        <f>IF($AB$154="N/A",VLOOKUP($B$152,$AO$150:$AP$153,2,FALSE),VLOOKUP($B$157,$AO$155:$AP$157,2,FALSE))</f>
        <v>7</v>
      </c>
      <c r="AK165" s="2495"/>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1342</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80" t="s">
        <v>1343</v>
      </c>
      <c r="AG167" s="2480"/>
      <c r="AH167" s="2480"/>
      <c r="AI167" s="2480"/>
      <c r="AJ167" s="2480"/>
      <c r="AK167" s="2480"/>
      <c r="AL167" s="2480"/>
      <c r="AM167" s="596"/>
      <c r="AN167" s="591"/>
    </row>
    <row r="168" spans="1:42" s="544" customFormat="1" ht="12.75" customHeight="1">
      <c r="A168" s="532"/>
      <c r="B168" s="535" t="s">
        <v>1344</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491" t="s">
        <v>1341</v>
      </c>
      <c r="D169" s="2491"/>
      <c r="E169" s="2491"/>
      <c r="F169" s="2491"/>
      <c r="G169" s="2491"/>
      <c r="H169" s="2491"/>
      <c r="I169" s="2491"/>
      <c r="J169" s="2491"/>
      <c r="K169" s="2491"/>
      <c r="L169" s="2491"/>
      <c r="M169" s="2491"/>
      <c r="N169" s="2491"/>
      <c r="O169" s="2491"/>
      <c r="P169" s="2491"/>
      <c r="Q169" s="2491"/>
      <c r="R169" s="2491"/>
      <c r="S169" s="2491"/>
      <c r="T169" s="2491"/>
      <c r="U169" s="2491"/>
      <c r="V169" s="2491"/>
      <c r="W169" s="2491"/>
      <c r="X169" s="2491"/>
      <c r="Y169" s="2491"/>
      <c r="Z169" s="2491"/>
      <c r="AA169" s="2491"/>
      <c r="AB169" s="2491"/>
      <c r="AC169" s="2491"/>
      <c r="AD169" s="2491"/>
      <c r="AE169" s="2491"/>
      <c r="AF169" s="2491"/>
      <c r="AG169" s="2491"/>
      <c r="AH169" s="2491"/>
      <c r="AI169" s="2491"/>
      <c r="AJ169" s="532"/>
      <c r="AK169" s="532"/>
      <c r="AL169" s="532"/>
      <c r="AM169" s="596"/>
      <c r="AN169" s="590"/>
      <c r="AO169" s="472" t="s">
        <v>306</v>
      </c>
      <c r="AP169" s="472"/>
    </row>
    <row r="170" spans="1:42" s="544" customFormat="1" ht="12.95"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1339</v>
      </c>
      <c r="AP170" s="592">
        <v>2</v>
      </c>
    </row>
    <row r="171" spans="1:42" s="544" customFormat="1" ht="12.75" customHeight="1">
      <c r="A171" s="532"/>
      <c r="B171" s="532"/>
      <c r="C171" s="535" t="s">
        <v>1346</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92" t="s">
        <v>589</v>
      </c>
      <c r="AG171" s="2492"/>
      <c r="AH171" s="532"/>
      <c r="AI171" s="532"/>
      <c r="AJ171" s="532"/>
      <c r="AK171" s="532"/>
      <c r="AL171" s="532"/>
      <c r="AM171" s="596"/>
      <c r="AN171" s="590"/>
      <c r="AO171" s="472" t="s">
        <v>1341</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2115</v>
      </c>
      <c r="AP172" s="592">
        <v>3</v>
      </c>
    </row>
    <row r="173" spans="1:42" s="544" customFormat="1" ht="12.75" customHeight="1">
      <c r="A173" s="532"/>
      <c r="B173" s="532"/>
      <c r="C173" s="2491" t="s">
        <v>1334</v>
      </c>
      <c r="D173" s="2491"/>
      <c r="E173" s="2491"/>
      <c r="F173" s="2491"/>
      <c r="G173" s="2491"/>
      <c r="H173" s="2491"/>
      <c r="I173" s="2491"/>
      <c r="J173" s="2491"/>
      <c r="K173" s="2491"/>
      <c r="L173" s="2491"/>
      <c r="M173" s="2491"/>
      <c r="N173" s="2491"/>
      <c r="O173" s="2491"/>
      <c r="P173" s="2491"/>
      <c r="Q173" s="2491"/>
      <c r="R173" s="2491"/>
      <c r="S173" s="2491"/>
      <c r="T173" s="2491"/>
      <c r="U173" s="2491"/>
      <c r="V173" s="2491"/>
      <c r="W173" s="2491"/>
      <c r="X173" s="2491"/>
      <c r="Y173" s="2491"/>
      <c r="Z173" s="2491"/>
      <c r="AA173" s="2491"/>
      <c r="AB173" s="2491"/>
      <c r="AC173" s="2491"/>
      <c r="AD173" s="2491"/>
      <c r="AE173" s="532"/>
      <c r="AF173" s="532"/>
      <c r="AG173" s="532"/>
      <c r="AH173" s="532"/>
      <c r="AI173" s="532"/>
      <c r="AJ173" s="532"/>
      <c r="AK173" s="532"/>
      <c r="AL173" s="532"/>
      <c r="AM173" s="596"/>
      <c r="AN173" s="590"/>
      <c r="AO173" s="595"/>
      <c r="AP173" s="592"/>
    </row>
    <row r="174" spans="1:42" s="544" customFormat="1" ht="12.75" customHeight="1">
      <c r="A174" s="532"/>
      <c r="B174" s="532"/>
      <c r="C174" s="535" t="s">
        <v>1338</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1348</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1334</v>
      </c>
      <c r="AP176" s="472"/>
    </row>
    <row r="177" spans="1:73" s="544" customFormat="1" ht="12.75" customHeight="1">
      <c r="A177" s="532"/>
      <c r="B177" s="532"/>
      <c r="C177" s="2493" t="str">
        <f>Application!AA344</f>
        <v>WinnResidential</v>
      </c>
      <c r="D177" s="2493"/>
      <c r="E177" s="2493"/>
      <c r="F177" s="2493"/>
      <c r="G177" s="2493"/>
      <c r="H177" s="2493"/>
      <c r="I177" s="2493"/>
      <c r="J177" s="2493"/>
      <c r="K177" s="2493"/>
      <c r="L177" s="2493"/>
      <c r="M177" s="2493"/>
      <c r="N177" s="2493"/>
      <c r="O177" s="2493"/>
      <c r="P177" s="2493"/>
      <c r="Q177" s="2493"/>
      <c r="R177" s="2493"/>
      <c r="S177" s="2493"/>
      <c r="T177" s="2493"/>
      <c r="U177" s="2493"/>
      <c r="V177" s="2493"/>
      <c r="W177" s="2493"/>
      <c r="X177" s="2493"/>
      <c r="Y177" s="2493"/>
      <c r="Z177" s="2493"/>
      <c r="AA177" s="2493"/>
      <c r="AB177" s="2493"/>
      <c r="AC177" s="2493"/>
      <c r="AD177" s="2493"/>
      <c r="AE177" s="532"/>
      <c r="AF177" s="532"/>
      <c r="AG177" s="532"/>
      <c r="AH177" s="532"/>
      <c r="AI177" s="532"/>
      <c r="AJ177" s="532"/>
      <c r="AK177" s="532"/>
      <c r="AL177" s="532"/>
      <c r="AM177" s="596"/>
      <c r="AN177" s="590"/>
      <c r="AO177" s="472" t="s">
        <v>1345</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1347</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1349</v>
      </c>
      <c r="AJ179" s="2494">
        <f>IF($AF$171="N/A",VLOOKUP($C$169,$AO$169:$AP$172,2,FALSE),VLOOKUP($C$173,$AO$176:$AP$178,2,FALSE))</f>
        <v>3</v>
      </c>
      <c r="AK179" s="2494"/>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1350</v>
      </c>
      <c r="AK182" s="2458">
        <f>$AJ$165+$AJ$179</f>
        <v>10</v>
      </c>
      <c r="AL182" s="2459"/>
      <c r="AM182" s="2460"/>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1351</v>
      </c>
      <c r="AQ184" s="605">
        <v>0</v>
      </c>
    </row>
    <row r="185" spans="1:73" s="544" customFormat="1" ht="12.75" customHeight="1">
      <c r="A185" s="534" t="s">
        <v>1352</v>
      </c>
      <c r="B185" s="534" t="s">
        <v>1713</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47" t="s">
        <v>1305</v>
      </c>
      <c r="AF185" s="2447"/>
      <c r="AG185" s="2447"/>
      <c r="AH185" s="2447"/>
      <c r="AI185" s="2447"/>
      <c r="AJ185" s="2447"/>
      <c r="AK185" s="2447"/>
      <c r="AL185" s="584"/>
      <c r="AN185" s="590"/>
      <c r="AP185" s="544" t="s">
        <v>1039</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1353</v>
      </c>
      <c r="AQ186" s="544">
        <v>10</v>
      </c>
    </row>
    <row r="187" spans="1:73" s="544" customFormat="1" ht="12.75" customHeight="1">
      <c r="A187" s="532"/>
      <c r="B187" s="2488" t="s">
        <v>1039</v>
      </c>
      <c r="C187" s="2488"/>
      <c r="D187" s="2488"/>
      <c r="E187" s="2488"/>
      <c r="F187" s="2488"/>
      <c r="G187" s="2488"/>
      <c r="H187" s="2488"/>
      <c r="I187" s="2488"/>
      <c r="J187" s="2488"/>
      <c r="K187" s="2488"/>
      <c r="L187" s="2488"/>
      <c r="M187" s="2488"/>
      <c r="N187" s="2488"/>
      <c r="O187" s="2488"/>
      <c r="P187" s="2488"/>
      <c r="Q187" s="2488"/>
      <c r="R187" s="2488"/>
      <c r="S187" s="2488"/>
      <c r="T187" s="2488"/>
      <c r="U187" s="2488"/>
      <c r="V187" s="2488"/>
      <c r="W187" s="2488"/>
      <c r="X187" s="2488"/>
      <c r="Y187" s="2488"/>
      <c r="Z187" s="2488"/>
      <c r="AA187" s="2488"/>
      <c r="AB187" s="2488"/>
      <c r="AC187" s="2488"/>
      <c r="AD187" s="532"/>
      <c r="AE187" s="532"/>
      <c r="AF187" s="2480" t="s">
        <v>1354</v>
      </c>
      <c r="AG187" s="2480"/>
      <c r="AH187" s="2480"/>
      <c r="AI187" s="2480"/>
      <c r="AJ187" s="2480"/>
      <c r="AK187" s="2480"/>
      <c r="AL187" s="2480"/>
      <c r="AN187" s="590"/>
      <c r="AP187" s="544" t="s">
        <v>1041</v>
      </c>
      <c r="AQ187" s="544">
        <v>10</v>
      </c>
    </row>
    <row r="188" spans="1:73" s="544" customFormat="1" ht="12.75" customHeight="1">
      <c r="A188" s="532"/>
      <c r="B188" s="2489" t="s">
        <v>1712</v>
      </c>
      <c r="C188" s="2489"/>
      <c r="D188" s="2489"/>
      <c r="E188" s="2489"/>
      <c r="F188" s="2489"/>
      <c r="G188" s="2489"/>
      <c r="H188" s="2489"/>
      <c r="I188" s="2489"/>
      <c r="J188" s="2489"/>
      <c r="K188" s="2489"/>
      <c r="L188" s="2489"/>
      <c r="M188" s="2489"/>
      <c r="N188" s="2489"/>
      <c r="O188" s="2489"/>
      <c r="P188" s="2489"/>
      <c r="Q188" s="2489"/>
      <c r="R188" s="2489"/>
      <c r="S188" s="2489"/>
      <c r="T188" s="2490" t="s">
        <v>589</v>
      </c>
      <c r="U188" s="2490"/>
      <c r="V188" s="2490"/>
      <c r="W188" s="2490"/>
      <c r="X188" s="2490"/>
      <c r="Y188" s="2490"/>
      <c r="Z188" s="2490"/>
      <c r="AA188" s="2490"/>
      <c r="AB188" s="2490"/>
      <c r="AC188" s="2490"/>
      <c r="AD188" s="532"/>
      <c r="AE188" s="532"/>
      <c r="AF188" s="532"/>
      <c r="AG188" s="532"/>
      <c r="AH188" s="532"/>
      <c r="AI188" s="532"/>
      <c r="AJ188" s="539"/>
      <c r="AK188" s="588"/>
      <c r="AL188" s="588"/>
      <c r="AM188" s="588"/>
      <c r="AN188" s="590"/>
      <c r="AP188" s="544" t="s">
        <v>1355</v>
      </c>
      <c r="AQ188" s="544">
        <v>10</v>
      </c>
      <c r="AS188" s="544" t="s">
        <v>589</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2615</v>
      </c>
      <c r="AQ189" s="544">
        <v>10</v>
      </c>
      <c r="AS189" s="544" t="s">
        <v>1356</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1357</v>
      </c>
      <c r="AK190" s="2505">
        <f>IF(AK83&gt;0,VLOOKUP($B$187,AP184:AQ190,2,FALSE),0)</f>
        <v>10</v>
      </c>
      <c r="AL190" s="2506"/>
      <c r="AM190" s="2507"/>
      <c r="AN190" s="531"/>
      <c r="AP190" s="544" t="s">
        <v>1359</v>
      </c>
      <c r="AQ190" s="544">
        <v>10</v>
      </c>
      <c r="AS190" s="544" t="s">
        <v>1358</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1360</v>
      </c>
      <c r="B193" s="534" t="s">
        <v>1361</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47" t="s">
        <v>1362</v>
      </c>
      <c r="AF193" s="2447"/>
      <c r="AG193" s="2447"/>
      <c r="AH193" s="2447"/>
      <c r="AI193" s="2447"/>
      <c r="AJ193" s="2447"/>
      <c r="AK193" s="2447"/>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1575</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1611</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482"/>
      <c r="C198" s="2482"/>
      <c r="D198" s="2482"/>
      <c r="E198" s="2482"/>
      <c r="F198" s="2482"/>
      <c r="G198" s="2482"/>
      <c r="H198" s="2482"/>
      <c r="I198" s="2482"/>
      <c r="J198" s="2482"/>
      <c r="K198" s="2482"/>
      <c r="L198" s="2482"/>
      <c r="M198" s="2482"/>
      <c r="N198" s="2482"/>
      <c r="O198" s="2482"/>
      <c r="P198" s="2482"/>
      <c r="Q198" s="2482"/>
      <c r="R198" s="2482"/>
      <c r="S198" s="2482"/>
      <c r="T198" s="2482"/>
      <c r="U198" s="2482"/>
      <c r="V198" s="2482"/>
      <c r="W198" s="2482"/>
      <c r="X198" s="2482"/>
      <c r="Y198" s="2482"/>
      <c r="Z198" s="2482"/>
      <c r="AA198" s="2482"/>
      <c r="AB198" s="2482"/>
      <c r="AC198" s="837"/>
      <c r="AD198" s="2483"/>
      <c r="AE198" s="2483"/>
      <c r="AF198" s="2483"/>
      <c r="AG198" s="2483"/>
      <c r="AH198" s="2483"/>
      <c r="AI198" s="2483"/>
      <c r="AJ198" s="2483"/>
      <c r="AK198" s="603"/>
    </row>
    <row r="199" spans="1:37" hidden="1">
      <c r="A199" s="598"/>
      <c r="B199" s="2482"/>
      <c r="C199" s="2482"/>
      <c r="D199" s="2482"/>
      <c r="E199" s="2482"/>
      <c r="F199" s="2482"/>
      <c r="G199" s="2482"/>
      <c r="H199" s="2482"/>
      <c r="I199" s="2482"/>
      <c r="J199" s="2482"/>
      <c r="K199" s="2482"/>
      <c r="L199" s="2482"/>
      <c r="M199" s="2482"/>
      <c r="N199" s="2482"/>
      <c r="O199" s="2482"/>
      <c r="P199" s="2482"/>
      <c r="Q199" s="2482"/>
      <c r="R199" s="2482"/>
      <c r="S199" s="2482"/>
      <c r="T199" s="2482"/>
      <c r="U199" s="2482"/>
      <c r="V199" s="2482"/>
      <c r="W199" s="2482"/>
      <c r="X199" s="2482"/>
      <c r="Y199" s="2482"/>
      <c r="Z199" s="2482"/>
      <c r="AA199" s="2482"/>
      <c r="AB199" s="2482"/>
      <c r="AC199" s="837"/>
      <c r="AD199" s="2483"/>
      <c r="AE199" s="2483"/>
      <c r="AF199" s="2483"/>
      <c r="AG199" s="2483"/>
      <c r="AH199" s="2483"/>
      <c r="AI199" s="2483"/>
      <c r="AJ199" s="2483"/>
      <c r="AK199" s="603"/>
    </row>
    <row r="200" spans="1:37" hidden="1">
      <c r="A200" s="598"/>
      <c r="B200" s="2482"/>
      <c r="C200" s="2482"/>
      <c r="D200" s="2482"/>
      <c r="E200" s="2482"/>
      <c r="F200" s="2482"/>
      <c r="G200" s="2482"/>
      <c r="H200" s="2482"/>
      <c r="I200" s="2482"/>
      <c r="J200" s="2482"/>
      <c r="K200" s="2482"/>
      <c r="L200" s="2482"/>
      <c r="M200" s="2482"/>
      <c r="N200" s="2482"/>
      <c r="O200" s="2482"/>
      <c r="P200" s="2482"/>
      <c r="Q200" s="2482"/>
      <c r="R200" s="2482"/>
      <c r="S200" s="2482"/>
      <c r="T200" s="2482"/>
      <c r="U200" s="2482"/>
      <c r="V200" s="2482"/>
      <c r="W200" s="2482"/>
      <c r="X200" s="2482"/>
      <c r="Y200" s="2482"/>
      <c r="Z200" s="2482"/>
      <c r="AA200" s="2482"/>
      <c r="AB200" s="2482"/>
      <c r="AC200" s="837"/>
      <c r="AD200" s="2483"/>
      <c r="AE200" s="2483"/>
      <c r="AF200" s="2483"/>
      <c r="AG200" s="2483"/>
      <c r="AH200" s="2483"/>
      <c r="AI200" s="2483"/>
      <c r="AJ200" s="2483"/>
      <c r="AK200" s="603"/>
    </row>
    <row r="201" spans="1:37" hidden="1">
      <c r="A201" s="598"/>
      <c r="B201" s="2482"/>
      <c r="C201" s="2482"/>
      <c r="D201" s="2482"/>
      <c r="E201" s="2482"/>
      <c r="F201" s="2482"/>
      <c r="G201" s="2482"/>
      <c r="H201" s="2482"/>
      <c r="I201" s="2482"/>
      <c r="J201" s="2482"/>
      <c r="K201" s="2482"/>
      <c r="L201" s="2482"/>
      <c r="M201" s="2482"/>
      <c r="N201" s="2482"/>
      <c r="O201" s="2482"/>
      <c r="P201" s="2482"/>
      <c r="Q201" s="2482"/>
      <c r="R201" s="2482"/>
      <c r="S201" s="2482"/>
      <c r="T201" s="2482"/>
      <c r="U201" s="2482"/>
      <c r="V201" s="2482"/>
      <c r="W201" s="2482"/>
      <c r="X201" s="2482"/>
      <c r="Y201" s="2482"/>
      <c r="Z201" s="2482"/>
      <c r="AA201" s="2482"/>
      <c r="AB201" s="2482"/>
      <c r="AC201" s="837"/>
      <c r="AD201" s="2483"/>
      <c r="AE201" s="2483"/>
      <c r="AF201" s="2483"/>
      <c r="AG201" s="2483"/>
      <c r="AH201" s="2483"/>
      <c r="AI201" s="2483"/>
      <c r="AJ201" s="2483"/>
      <c r="AK201" s="603"/>
    </row>
    <row r="202" spans="1:37" hidden="1">
      <c r="A202" s="598"/>
      <c r="B202" s="2482"/>
      <c r="C202" s="2482"/>
      <c r="D202" s="2482"/>
      <c r="E202" s="2482"/>
      <c r="F202" s="2482"/>
      <c r="G202" s="2482"/>
      <c r="H202" s="2482"/>
      <c r="I202" s="2482"/>
      <c r="J202" s="2482"/>
      <c r="K202" s="2482"/>
      <c r="L202" s="2482"/>
      <c r="M202" s="2482"/>
      <c r="N202" s="2482"/>
      <c r="O202" s="2482"/>
      <c r="P202" s="2482"/>
      <c r="Q202" s="2482"/>
      <c r="R202" s="2482"/>
      <c r="S202" s="2482"/>
      <c r="T202" s="2482"/>
      <c r="U202" s="2482"/>
      <c r="V202" s="2482"/>
      <c r="W202" s="2482"/>
      <c r="X202" s="2482"/>
      <c r="Y202" s="2482"/>
      <c r="Z202" s="2482"/>
      <c r="AA202" s="2482"/>
      <c r="AB202" s="2482"/>
      <c r="AC202" s="837"/>
      <c r="AD202" s="2483"/>
      <c r="AE202" s="2483"/>
      <c r="AF202" s="2483"/>
      <c r="AG202" s="2483"/>
      <c r="AH202" s="2483"/>
      <c r="AI202" s="2483"/>
      <c r="AJ202" s="2483"/>
      <c r="AK202" s="603"/>
    </row>
    <row r="203" spans="1:37" hidden="1">
      <c r="A203" s="598"/>
      <c r="B203" s="2482"/>
      <c r="C203" s="2482"/>
      <c r="D203" s="2482"/>
      <c r="E203" s="2482"/>
      <c r="F203" s="2482"/>
      <c r="G203" s="2482"/>
      <c r="H203" s="2482"/>
      <c r="I203" s="2482"/>
      <c r="J203" s="2482"/>
      <c r="K203" s="2482"/>
      <c r="L203" s="2482"/>
      <c r="M203" s="2482"/>
      <c r="N203" s="2482"/>
      <c r="O203" s="2482"/>
      <c r="P203" s="2482"/>
      <c r="Q203" s="2482"/>
      <c r="R203" s="2482"/>
      <c r="S203" s="2482"/>
      <c r="T203" s="2482"/>
      <c r="U203" s="2482"/>
      <c r="V203" s="2482"/>
      <c r="W203" s="2482"/>
      <c r="X203" s="2482"/>
      <c r="Y203" s="2482"/>
      <c r="Z203" s="2482"/>
      <c r="AA203" s="2482"/>
      <c r="AB203" s="2482"/>
      <c r="AC203" s="837"/>
      <c r="AD203" s="2483"/>
      <c r="AE203" s="2483"/>
      <c r="AF203" s="2483"/>
      <c r="AG203" s="2483"/>
      <c r="AH203" s="2483"/>
      <c r="AI203" s="2483"/>
      <c r="AJ203" s="2483"/>
      <c r="AK203" s="603"/>
    </row>
    <row r="204" spans="1:37" hidden="1">
      <c r="A204" s="598"/>
      <c r="B204" s="2482"/>
      <c r="C204" s="2482"/>
      <c r="D204" s="2482"/>
      <c r="E204" s="2482"/>
      <c r="F204" s="2482"/>
      <c r="G204" s="2482"/>
      <c r="H204" s="2482"/>
      <c r="I204" s="2482"/>
      <c r="J204" s="2482"/>
      <c r="K204" s="2482"/>
      <c r="L204" s="2482"/>
      <c r="M204" s="2482"/>
      <c r="N204" s="2482"/>
      <c r="O204" s="2482"/>
      <c r="P204" s="2482"/>
      <c r="Q204" s="2482"/>
      <c r="R204" s="2482"/>
      <c r="S204" s="2482"/>
      <c r="T204" s="2482"/>
      <c r="U204" s="2482"/>
      <c r="V204" s="2482"/>
      <c r="W204" s="2482"/>
      <c r="X204" s="2482"/>
      <c r="Y204" s="2482"/>
      <c r="Z204" s="2482"/>
      <c r="AA204" s="2482"/>
      <c r="AB204" s="2482"/>
      <c r="AC204" s="837"/>
      <c r="AD204" s="2483"/>
      <c r="AE204" s="2483"/>
      <c r="AF204" s="2483"/>
      <c r="AG204" s="2483"/>
      <c r="AH204" s="2483"/>
      <c r="AI204" s="2483"/>
      <c r="AJ204" s="2483"/>
      <c r="AK204" s="603"/>
    </row>
    <row r="205" spans="1:37" hidden="1">
      <c r="A205" s="598"/>
      <c r="B205" s="2482"/>
      <c r="C205" s="2482"/>
      <c r="D205" s="2482"/>
      <c r="E205" s="2482"/>
      <c r="F205" s="2482"/>
      <c r="G205" s="2482"/>
      <c r="H205" s="2482"/>
      <c r="I205" s="2482"/>
      <c r="J205" s="2482"/>
      <c r="K205" s="2482"/>
      <c r="L205" s="2482"/>
      <c r="M205" s="2482"/>
      <c r="N205" s="2482"/>
      <c r="O205" s="2482"/>
      <c r="P205" s="2482"/>
      <c r="Q205" s="2482"/>
      <c r="R205" s="2482"/>
      <c r="S205" s="2482"/>
      <c r="T205" s="2482"/>
      <c r="U205" s="2482"/>
      <c r="V205" s="2482"/>
      <c r="W205" s="2482"/>
      <c r="X205" s="2482"/>
      <c r="Y205" s="2482"/>
      <c r="Z205" s="2482"/>
      <c r="AA205" s="2482"/>
      <c r="AB205" s="2482"/>
      <c r="AC205" s="837"/>
      <c r="AD205" s="2483"/>
      <c r="AE205" s="2483"/>
      <c r="AF205" s="2483"/>
      <c r="AG205" s="2483"/>
      <c r="AH205" s="2483"/>
      <c r="AI205" s="2483"/>
      <c r="AJ205" s="2483"/>
      <c r="AK205" s="603"/>
    </row>
    <row r="206" spans="1:37" hidden="1">
      <c r="A206" s="598"/>
      <c r="B206" s="2482"/>
      <c r="C206" s="2482"/>
      <c r="D206" s="2482"/>
      <c r="E206" s="2482"/>
      <c r="F206" s="2482"/>
      <c r="G206" s="2482"/>
      <c r="H206" s="2482"/>
      <c r="I206" s="2482"/>
      <c r="J206" s="2482"/>
      <c r="K206" s="2482"/>
      <c r="L206" s="2482"/>
      <c r="M206" s="2482"/>
      <c r="N206" s="2482"/>
      <c r="O206" s="2482"/>
      <c r="P206" s="2482"/>
      <c r="Q206" s="2482"/>
      <c r="R206" s="2482"/>
      <c r="S206" s="2482"/>
      <c r="T206" s="2482"/>
      <c r="U206" s="2482"/>
      <c r="V206" s="2482"/>
      <c r="W206" s="2482"/>
      <c r="X206" s="2482"/>
      <c r="Y206" s="2482"/>
      <c r="Z206" s="2482"/>
      <c r="AA206" s="2482"/>
      <c r="AB206" s="2482"/>
      <c r="AC206" s="837"/>
      <c r="AD206" s="2483"/>
      <c r="AE206" s="2483"/>
      <c r="AF206" s="2483"/>
      <c r="AG206" s="2483"/>
      <c r="AH206" s="2483"/>
      <c r="AI206" s="2483"/>
      <c r="AJ206" s="2483"/>
      <c r="AK206" s="603"/>
    </row>
    <row r="207" spans="1:37" hidden="1">
      <c r="A207" s="598"/>
      <c r="B207" s="2482"/>
      <c r="C207" s="2482"/>
      <c r="D207" s="2482"/>
      <c r="E207" s="2482"/>
      <c r="F207" s="2482"/>
      <c r="G207" s="2482"/>
      <c r="H207" s="2482"/>
      <c r="I207" s="2482"/>
      <c r="J207" s="2482"/>
      <c r="K207" s="2482"/>
      <c r="L207" s="2482"/>
      <c r="M207" s="2482"/>
      <c r="N207" s="2482"/>
      <c r="O207" s="2482"/>
      <c r="P207" s="2482"/>
      <c r="Q207" s="2482"/>
      <c r="R207" s="2482"/>
      <c r="S207" s="2482"/>
      <c r="T207" s="2482"/>
      <c r="U207" s="2482"/>
      <c r="V207" s="2482"/>
      <c r="W207" s="2482"/>
      <c r="X207" s="2482"/>
      <c r="Y207" s="2482"/>
      <c r="Z207" s="2482"/>
      <c r="AA207" s="2482"/>
      <c r="AB207" s="2482"/>
      <c r="AC207" s="837"/>
      <c r="AD207" s="2483"/>
      <c r="AE207" s="2483"/>
      <c r="AF207" s="2483"/>
      <c r="AG207" s="2483"/>
      <c r="AH207" s="2483"/>
      <c r="AI207" s="2483"/>
      <c r="AJ207" s="2483"/>
      <c r="AK207" s="603"/>
    </row>
    <row r="208" spans="1:37" hidden="1">
      <c r="A208" s="598"/>
      <c r="B208" s="2529" t="s">
        <v>1613</v>
      </c>
      <c r="C208" s="2529"/>
      <c r="D208" s="2529"/>
      <c r="E208" s="2529"/>
      <c r="F208" s="2529"/>
      <c r="G208" s="2529"/>
      <c r="H208" s="2529"/>
      <c r="I208" s="2529"/>
      <c r="J208" s="2529"/>
      <c r="K208" s="2529"/>
      <c r="L208" s="2529"/>
      <c r="M208" s="2529"/>
      <c r="N208" s="2529"/>
      <c r="O208" s="2529"/>
      <c r="P208" s="2529"/>
      <c r="Q208" s="2529"/>
      <c r="R208" s="2529"/>
      <c r="S208" s="2529"/>
      <c r="T208" s="2529"/>
      <c r="U208" s="2529"/>
      <c r="V208" s="2529"/>
      <c r="W208" s="2529"/>
      <c r="X208" s="2529"/>
      <c r="Y208" s="2529"/>
      <c r="Z208" s="2529"/>
      <c r="AA208" s="2529"/>
      <c r="AB208" s="2529"/>
      <c r="AC208" s="532"/>
      <c r="AD208" s="2512">
        <f>AB259</f>
        <v>0</v>
      </c>
      <c r="AE208" s="2512"/>
      <c r="AF208" s="2512"/>
      <c r="AG208" s="2512"/>
      <c r="AH208" s="2512"/>
      <c r="AI208" s="2512"/>
      <c r="AJ208" s="2512"/>
      <c r="AK208" s="603"/>
    </row>
    <row r="209" spans="1:37" hidden="1">
      <c r="A209" s="598"/>
      <c r="B209" s="2667" t="s">
        <v>1576</v>
      </c>
      <c r="C209" s="2667"/>
      <c r="D209" s="2667"/>
      <c r="E209" s="2667"/>
      <c r="F209" s="2667"/>
      <c r="G209" s="2667"/>
      <c r="H209" s="2667"/>
      <c r="I209" s="2667"/>
      <c r="J209" s="2667"/>
      <c r="K209" s="2667"/>
      <c r="L209" s="2667"/>
      <c r="M209" s="2667"/>
      <c r="N209" s="2667"/>
      <c r="O209" s="2667"/>
      <c r="P209" s="2667"/>
      <c r="Q209" s="2667"/>
      <c r="R209" s="2667"/>
      <c r="S209" s="2667"/>
      <c r="T209" s="2667"/>
      <c r="U209" s="2667"/>
      <c r="V209" s="2667"/>
      <c r="W209" s="2667"/>
      <c r="X209" s="2667"/>
      <c r="Y209" s="2667"/>
      <c r="Z209" s="2667"/>
      <c r="AA209" s="2667"/>
      <c r="AB209" s="2667"/>
      <c r="AC209" s="837"/>
      <c r="AD209" s="2513">
        <f>'Sources and Uses Budget'!B15</f>
        <v>0</v>
      </c>
      <c r="AE209" s="2513"/>
      <c r="AF209" s="2513"/>
      <c r="AG209" s="2513"/>
      <c r="AH209" s="2513"/>
      <c r="AI209" s="2513"/>
      <c r="AJ209" s="2513"/>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897</v>
      </c>
      <c r="AC210" s="532"/>
      <c r="AD210" s="2517">
        <f>SUM(AD198:AJ208)-AD209</f>
        <v>0</v>
      </c>
      <c r="AE210" s="2517"/>
      <c r="AF210" s="2517"/>
      <c r="AG210" s="2517"/>
      <c r="AH210" s="2517"/>
      <c r="AI210" s="2517"/>
      <c r="AJ210" s="2517"/>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1581</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1612</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1583</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1584</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1978</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1585</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1586</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1622</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486" t="s">
        <v>1593</v>
      </c>
      <c r="J221" s="2486"/>
      <c r="K221" s="2486"/>
      <c r="L221" s="532"/>
      <c r="M221" s="532"/>
      <c r="N221" s="532"/>
      <c r="O221" s="532"/>
      <c r="P221" s="532"/>
      <c r="Q221" s="532"/>
      <c r="R221" s="532"/>
      <c r="S221" s="532"/>
      <c r="T221" s="2654" t="s">
        <v>1587</v>
      </c>
      <c r="U221" s="2654"/>
      <c r="V221" s="2654"/>
      <c r="W221" s="2654"/>
      <c r="X221" s="2654"/>
      <c r="Y221" s="2654"/>
      <c r="Z221" s="840"/>
      <c r="AA221" s="485"/>
      <c r="AB221" s="2481" t="s">
        <v>1588</v>
      </c>
      <c r="AC221" s="2481"/>
      <c r="AD221" s="2481"/>
      <c r="AE221" s="2481"/>
      <c r="AF221" s="2481"/>
      <c r="AG221" s="2481"/>
      <c r="AH221" s="818"/>
      <c r="AI221" s="818"/>
      <c r="AJ221" s="818"/>
      <c r="AK221" s="603"/>
    </row>
    <row r="222" spans="1:37" hidden="1">
      <c r="A222" s="598"/>
      <c r="B222" s="2484" t="s">
        <v>1573</v>
      </c>
      <c r="C222" s="2484"/>
      <c r="D222" s="2484"/>
      <c r="E222" s="2484"/>
      <c r="F222" s="2484"/>
      <c r="G222" s="2484"/>
      <c r="I222" s="2485" t="s">
        <v>1594</v>
      </c>
      <c r="J222" s="2485"/>
      <c r="K222" s="2485"/>
      <c r="L222" s="998"/>
      <c r="N222" s="2475" t="s">
        <v>1589</v>
      </c>
      <c r="O222" s="2475"/>
      <c r="P222" s="2475"/>
      <c r="Q222" s="2475"/>
      <c r="R222" s="2475"/>
      <c r="T222" s="2475" t="s">
        <v>1590</v>
      </c>
      <c r="U222" s="2475"/>
      <c r="V222" s="2475"/>
      <c r="W222" s="2475"/>
      <c r="X222" s="2475"/>
      <c r="Y222" s="2475"/>
      <c r="Z222" s="841"/>
      <c r="AA222" s="485"/>
      <c r="AB222" s="2633" t="s">
        <v>1591</v>
      </c>
      <c r="AC222" s="2633"/>
      <c r="AD222" s="2633"/>
      <c r="AE222" s="2633"/>
      <c r="AF222" s="2633"/>
      <c r="AG222" s="2633"/>
      <c r="AH222" s="818"/>
      <c r="AI222" s="818"/>
      <c r="AJ222" s="818"/>
      <c r="AK222" s="603"/>
    </row>
    <row r="223" spans="1:37" hidden="1">
      <c r="A223" s="598"/>
      <c r="B223" s="2487" t="s">
        <v>1181</v>
      </c>
      <c r="C223" s="2487"/>
      <c r="D223" s="2487"/>
      <c r="E223" s="2487"/>
      <c r="F223" s="2487"/>
      <c r="G223" s="2487"/>
      <c r="H223" s="843"/>
      <c r="I223" s="2473"/>
      <c r="J223" s="2473"/>
      <c r="K223" s="2473"/>
      <c r="L223" s="998"/>
      <c r="N223" s="2528"/>
      <c r="O223" s="2528"/>
      <c r="P223" s="2528"/>
      <c r="Q223" s="2528"/>
      <c r="R223" s="2528"/>
      <c r="T223" s="2632"/>
      <c r="U223" s="2632"/>
      <c r="V223" s="2632"/>
      <c r="W223" s="2632"/>
      <c r="X223" s="2632"/>
      <c r="Y223" s="2632"/>
      <c r="Z223" s="842"/>
      <c r="AA223" s="842"/>
      <c r="AB223" s="2472">
        <f t="shared" ref="AB223:AB232" si="0">MAX(($T223-$N223)*$I223*12,0)</f>
        <v>0</v>
      </c>
      <c r="AC223" s="2472"/>
      <c r="AD223" s="2472"/>
      <c r="AE223" s="2472"/>
      <c r="AF223" s="2472"/>
      <c r="AG223" s="2472"/>
      <c r="AH223" s="818"/>
      <c r="AI223" s="818"/>
      <c r="AJ223" s="818"/>
      <c r="AK223" s="603"/>
    </row>
    <row r="224" spans="1:37" hidden="1">
      <c r="A224" s="598"/>
      <c r="B224" s="2487" t="s">
        <v>1181</v>
      </c>
      <c r="C224" s="2487"/>
      <c r="D224" s="2487"/>
      <c r="E224" s="2487"/>
      <c r="F224" s="2487"/>
      <c r="G224" s="2487"/>
      <c r="I224" s="2473"/>
      <c r="J224" s="2473"/>
      <c r="K224" s="2473"/>
      <c r="L224" s="998"/>
      <c r="N224" s="2528"/>
      <c r="O224" s="2528"/>
      <c r="P224" s="2528"/>
      <c r="Q224" s="2528"/>
      <c r="R224" s="2528"/>
      <c r="T224" s="2632"/>
      <c r="U224" s="2632"/>
      <c r="V224" s="2632"/>
      <c r="W224" s="2632"/>
      <c r="X224" s="2632"/>
      <c r="Y224" s="2632"/>
      <c r="Z224" s="842"/>
      <c r="AA224" s="842"/>
      <c r="AB224" s="2472">
        <f t="shared" si="0"/>
        <v>0</v>
      </c>
      <c r="AC224" s="2472"/>
      <c r="AD224" s="2472"/>
      <c r="AE224" s="2472"/>
      <c r="AF224" s="2472"/>
      <c r="AG224" s="2472"/>
      <c r="AH224" s="818"/>
      <c r="AI224" s="818"/>
      <c r="AJ224" s="818"/>
      <c r="AK224" s="603"/>
    </row>
    <row r="225" spans="1:37" hidden="1">
      <c r="A225" s="598"/>
      <c r="B225" s="2487" t="s">
        <v>1181</v>
      </c>
      <c r="C225" s="2487"/>
      <c r="D225" s="2487"/>
      <c r="E225" s="2487"/>
      <c r="F225" s="2487"/>
      <c r="G225" s="2487"/>
      <c r="I225" s="2473"/>
      <c r="J225" s="2473"/>
      <c r="K225" s="2473"/>
      <c r="L225" s="998"/>
      <c r="N225" s="2528"/>
      <c r="O225" s="2528"/>
      <c r="P225" s="2528"/>
      <c r="Q225" s="2528"/>
      <c r="R225" s="2528"/>
      <c r="T225" s="2632"/>
      <c r="U225" s="2632"/>
      <c r="V225" s="2632"/>
      <c r="W225" s="2632"/>
      <c r="X225" s="2632"/>
      <c r="Y225" s="2632"/>
      <c r="Z225" s="842"/>
      <c r="AA225" s="842"/>
      <c r="AB225" s="2472">
        <f t="shared" si="0"/>
        <v>0</v>
      </c>
      <c r="AC225" s="2472"/>
      <c r="AD225" s="2472"/>
      <c r="AE225" s="2472"/>
      <c r="AF225" s="2472"/>
      <c r="AG225" s="2472"/>
      <c r="AH225" s="818"/>
      <c r="AI225" s="818"/>
      <c r="AJ225" s="818"/>
      <c r="AK225" s="603"/>
    </row>
    <row r="226" spans="1:37" hidden="1">
      <c r="A226" s="598"/>
      <c r="B226" s="2487" t="s">
        <v>1181</v>
      </c>
      <c r="C226" s="2487"/>
      <c r="D226" s="2487"/>
      <c r="E226" s="2487"/>
      <c r="F226" s="2487"/>
      <c r="G226" s="2487"/>
      <c r="I226" s="2473"/>
      <c r="J226" s="2473"/>
      <c r="K226" s="2473"/>
      <c r="L226" s="998"/>
      <c r="N226" s="2528"/>
      <c r="O226" s="2528"/>
      <c r="P226" s="2528"/>
      <c r="Q226" s="2528"/>
      <c r="R226" s="2528"/>
      <c r="T226" s="2632"/>
      <c r="U226" s="2632"/>
      <c r="V226" s="2632"/>
      <c r="W226" s="2632"/>
      <c r="X226" s="2632"/>
      <c r="Y226" s="2632"/>
      <c r="Z226" s="842"/>
      <c r="AA226" s="842"/>
      <c r="AB226" s="2472">
        <f t="shared" si="0"/>
        <v>0</v>
      </c>
      <c r="AC226" s="2472"/>
      <c r="AD226" s="2472"/>
      <c r="AE226" s="2472"/>
      <c r="AF226" s="2472"/>
      <c r="AG226" s="2472"/>
      <c r="AH226" s="818"/>
      <c r="AI226" s="818"/>
      <c r="AJ226" s="818"/>
      <c r="AK226" s="603"/>
    </row>
    <row r="227" spans="1:37" hidden="1">
      <c r="A227" s="598"/>
      <c r="B227" s="2487" t="s">
        <v>1181</v>
      </c>
      <c r="C227" s="2487"/>
      <c r="D227" s="2487"/>
      <c r="E227" s="2487"/>
      <c r="F227" s="2487"/>
      <c r="G227" s="2487"/>
      <c r="I227" s="2473"/>
      <c r="J227" s="2473"/>
      <c r="K227" s="2473"/>
      <c r="L227" s="1005"/>
      <c r="N227" s="2528"/>
      <c r="O227" s="2528"/>
      <c r="P227" s="2528"/>
      <c r="Q227" s="2528"/>
      <c r="R227" s="2528"/>
      <c r="T227" s="2632"/>
      <c r="U227" s="2632"/>
      <c r="V227" s="2632"/>
      <c r="W227" s="2632"/>
      <c r="X227" s="2632"/>
      <c r="Y227" s="2632"/>
      <c r="Z227" s="842"/>
      <c r="AA227" s="842"/>
      <c r="AB227" s="2472">
        <f t="shared" si="0"/>
        <v>0</v>
      </c>
      <c r="AC227" s="2472"/>
      <c r="AD227" s="2472"/>
      <c r="AE227" s="2472"/>
      <c r="AF227" s="2472"/>
      <c r="AG227" s="2472"/>
      <c r="AH227" s="818"/>
      <c r="AI227" s="818"/>
      <c r="AJ227" s="818"/>
      <c r="AK227" s="603"/>
    </row>
    <row r="228" spans="1:37" hidden="1">
      <c r="A228" s="598"/>
      <c r="B228" s="2487" t="s">
        <v>1181</v>
      </c>
      <c r="C228" s="2487"/>
      <c r="D228" s="2487"/>
      <c r="E228" s="2487"/>
      <c r="F228" s="2487"/>
      <c r="G228" s="2487"/>
      <c r="I228" s="2473"/>
      <c r="J228" s="2473"/>
      <c r="K228" s="2473"/>
      <c r="L228" s="1005"/>
      <c r="N228" s="2528"/>
      <c r="O228" s="2528"/>
      <c r="P228" s="2528"/>
      <c r="Q228" s="2528"/>
      <c r="R228" s="2528"/>
      <c r="T228" s="2632"/>
      <c r="U228" s="2632"/>
      <c r="V228" s="2632"/>
      <c r="W228" s="2632"/>
      <c r="X228" s="2632"/>
      <c r="Y228" s="2632"/>
      <c r="Z228" s="842"/>
      <c r="AA228" s="842"/>
      <c r="AB228" s="2472">
        <f t="shared" si="0"/>
        <v>0</v>
      </c>
      <c r="AC228" s="2472"/>
      <c r="AD228" s="2472"/>
      <c r="AE228" s="2472"/>
      <c r="AF228" s="2472"/>
      <c r="AG228" s="2472"/>
      <c r="AH228" s="818"/>
      <c r="AI228" s="818"/>
      <c r="AJ228" s="818"/>
      <c r="AK228" s="603"/>
    </row>
    <row r="229" spans="1:37" hidden="1">
      <c r="A229" s="598"/>
      <c r="B229" s="2487" t="s">
        <v>1181</v>
      </c>
      <c r="C229" s="2487"/>
      <c r="D229" s="2487"/>
      <c r="E229" s="2487"/>
      <c r="F229" s="2487"/>
      <c r="G229" s="2487"/>
      <c r="I229" s="2473"/>
      <c r="J229" s="2473"/>
      <c r="K229" s="2473"/>
      <c r="L229" s="1005"/>
      <c r="N229" s="2528"/>
      <c r="O229" s="2528"/>
      <c r="P229" s="2528"/>
      <c r="Q229" s="2528"/>
      <c r="R229" s="2528"/>
      <c r="T229" s="2632"/>
      <c r="U229" s="2632"/>
      <c r="V229" s="2632"/>
      <c r="W229" s="2632"/>
      <c r="X229" s="2632"/>
      <c r="Y229" s="2632"/>
      <c r="Z229" s="842"/>
      <c r="AA229" s="842"/>
      <c r="AB229" s="2472">
        <f t="shared" si="0"/>
        <v>0</v>
      </c>
      <c r="AC229" s="2472"/>
      <c r="AD229" s="2472"/>
      <c r="AE229" s="2472"/>
      <c r="AF229" s="2472"/>
      <c r="AG229" s="2472"/>
      <c r="AH229" s="818"/>
      <c r="AI229" s="818"/>
      <c r="AJ229" s="818"/>
      <c r="AK229" s="603"/>
    </row>
    <row r="230" spans="1:37" hidden="1">
      <c r="A230" s="598"/>
      <c r="B230" s="2487" t="s">
        <v>1181</v>
      </c>
      <c r="C230" s="2487"/>
      <c r="D230" s="2487"/>
      <c r="E230" s="2487"/>
      <c r="F230" s="2487"/>
      <c r="G230" s="2487"/>
      <c r="I230" s="2473"/>
      <c r="J230" s="2473"/>
      <c r="K230" s="2473"/>
      <c r="L230" s="1005"/>
      <c r="N230" s="2528"/>
      <c r="O230" s="2528"/>
      <c r="P230" s="2528"/>
      <c r="Q230" s="2528"/>
      <c r="R230" s="2528"/>
      <c r="T230" s="2632"/>
      <c r="U230" s="2632"/>
      <c r="V230" s="2632"/>
      <c r="W230" s="2632"/>
      <c r="X230" s="2632"/>
      <c r="Y230" s="2632"/>
      <c r="Z230" s="842"/>
      <c r="AA230" s="842"/>
      <c r="AB230" s="2472">
        <f t="shared" si="0"/>
        <v>0</v>
      </c>
      <c r="AC230" s="2472"/>
      <c r="AD230" s="2472"/>
      <c r="AE230" s="2472"/>
      <c r="AF230" s="2472"/>
      <c r="AG230" s="2472"/>
      <c r="AH230" s="818"/>
      <c r="AI230" s="818"/>
      <c r="AJ230" s="818"/>
      <c r="AK230" s="603"/>
    </row>
    <row r="231" spans="1:37" hidden="1">
      <c r="A231" s="598"/>
      <c r="B231" s="2487" t="s">
        <v>1181</v>
      </c>
      <c r="C231" s="2487"/>
      <c r="D231" s="2487"/>
      <c r="E231" s="2487"/>
      <c r="F231" s="2487"/>
      <c r="G231" s="2487"/>
      <c r="I231" s="2473"/>
      <c r="J231" s="2473"/>
      <c r="K231" s="2473"/>
      <c r="L231" s="1005"/>
      <c r="N231" s="2528"/>
      <c r="O231" s="2528"/>
      <c r="P231" s="2528"/>
      <c r="Q231" s="2528"/>
      <c r="R231" s="2528"/>
      <c r="T231" s="2632"/>
      <c r="U231" s="2632"/>
      <c r="V231" s="2632"/>
      <c r="W231" s="2632"/>
      <c r="X231" s="2632"/>
      <c r="Y231" s="2632"/>
      <c r="Z231" s="842"/>
      <c r="AA231" s="842"/>
      <c r="AB231" s="2472">
        <f t="shared" si="0"/>
        <v>0</v>
      </c>
      <c r="AC231" s="2472"/>
      <c r="AD231" s="2472"/>
      <c r="AE231" s="2472"/>
      <c r="AF231" s="2472"/>
      <c r="AG231" s="2472"/>
      <c r="AH231" s="818"/>
      <c r="AI231" s="818"/>
      <c r="AJ231" s="818"/>
      <c r="AK231" s="603"/>
    </row>
    <row r="232" spans="1:37" hidden="1">
      <c r="A232" s="598"/>
      <c r="B232" s="2487" t="s">
        <v>1181</v>
      </c>
      <c r="C232" s="2487"/>
      <c r="D232" s="2487"/>
      <c r="E232" s="2487"/>
      <c r="F232" s="2487"/>
      <c r="G232" s="2487"/>
      <c r="I232" s="2474"/>
      <c r="J232" s="2474"/>
      <c r="K232" s="2474"/>
      <c r="L232" s="1005"/>
      <c r="N232" s="2528"/>
      <c r="O232" s="2528"/>
      <c r="P232" s="2528"/>
      <c r="Q232" s="2528"/>
      <c r="R232" s="2528"/>
      <c r="T232" s="2632"/>
      <c r="U232" s="2632"/>
      <c r="V232" s="2632"/>
      <c r="W232" s="2632"/>
      <c r="X232" s="2632"/>
      <c r="Y232" s="2632"/>
      <c r="Z232" s="842"/>
      <c r="AA232" s="842"/>
      <c r="AB232" s="2641">
        <f t="shared" si="0"/>
        <v>0</v>
      </c>
      <c r="AC232" s="2641"/>
      <c r="AD232" s="2641"/>
      <c r="AE232" s="2641"/>
      <c r="AF232" s="2641"/>
      <c r="AG232" s="2641"/>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1592</v>
      </c>
      <c r="AA233" s="844"/>
      <c r="AB233" s="2472">
        <f>SUM(AB223:AB232)</f>
        <v>0</v>
      </c>
      <c r="AC233" s="2472"/>
      <c r="AD233" s="2472"/>
      <c r="AE233" s="2472"/>
      <c r="AF233" s="2472"/>
      <c r="AG233" s="2472"/>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1582</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1610</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1608</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1602</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642"/>
      <c r="AC239" s="2642"/>
      <c r="AD239" s="2642"/>
      <c r="AE239" s="2642"/>
      <c r="AF239" s="2642"/>
      <c r="AG239" s="2642"/>
      <c r="AH239" s="603"/>
      <c r="AI239" s="603"/>
      <c r="AJ239" s="603"/>
      <c r="AK239" s="603"/>
    </row>
    <row r="240" spans="1:37" hidden="1">
      <c r="A240" s="598"/>
      <c r="B240" s="828" t="s">
        <v>1607</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1609</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1603</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642"/>
      <c r="AC242" s="2642"/>
      <c r="AD242" s="2642"/>
      <c r="AE242" s="2642"/>
      <c r="AF242" s="2642"/>
      <c r="AG242" s="2642"/>
      <c r="AH242" s="603"/>
      <c r="AI242" s="603"/>
      <c r="AJ242" s="603"/>
      <c r="AK242" s="603"/>
    </row>
    <row r="243" spans="1:37" hidden="1">
      <c r="A243" s="598"/>
      <c r="B243" s="829" t="s">
        <v>1604</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653"/>
      <c r="AC243" s="2653"/>
      <c r="AD243" s="2653"/>
      <c r="AE243" s="2653"/>
      <c r="AF243" s="2653"/>
      <c r="AG243" s="2653"/>
      <c r="AH243" s="603"/>
      <c r="AI243" s="603"/>
      <c r="AJ243" s="603"/>
      <c r="AK243" s="603"/>
    </row>
    <row r="244" spans="1:37" hidden="1">
      <c r="A244" s="598"/>
      <c r="B244" s="829" t="s">
        <v>1605</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666">
        <f>IFERROR(AB242/AB243,0)</f>
        <v>0</v>
      </c>
      <c r="AC244" s="2666"/>
      <c r="AD244" s="2666"/>
      <c r="AE244" s="2666"/>
      <c r="AF244" s="2666"/>
      <c r="AG244" s="2666"/>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1606</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641">
        <f>MAX(AB239,AB244)</f>
        <v>0</v>
      </c>
      <c r="AC246" s="2641"/>
      <c r="AD246" s="2641"/>
      <c r="AE246" s="2641"/>
      <c r="AF246" s="2641"/>
      <c r="AG246" s="2641"/>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1595</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72">
        <f>AB233+AB246</f>
        <v>0</v>
      </c>
      <c r="AC249" s="2472"/>
      <c r="AD249" s="2472"/>
      <c r="AE249" s="2472"/>
      <c r="AF249" s="2472"/>
      <c r="AG249" s="2472"/>
      <c r="AH249" s="603"/>
      <c r="AI249" s="603"/>
      <c r="AJ249" s="603"/>
      <c r="AK249" s="603"/>
    </row>
    <row r="250" spans="1:37" hidden="1">
      <c r="A250" s="598"/>
      <c r="B250" s="472" t="s">
        <v>836</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21">
        <v>0.05</v>
      </c>
      <c r="AC250" s="2521"/>
      <c r="AD250" s="2521"/>
      <c r="AE250" s="2521"/>
      <c r="AF250" s="2521"/>
      <c r="AG250" s="2521"/>
      <c r="AH250" s="603"/>
      <c r="AI250" s="603"/>
      <c r="AJ250" s="603"/>
      <c r="AK250" s="603"/>
    </row>
    <row r="251" spans="1:37" hidden="1">
      <c r="A251" s="598"/>
      <c r="B251" s="472" t="s">
        <v>1596</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522">
        <f>AB249-(AB249*AB250)</f>
        <v>0</v>
      </c>
      <c r="AC251" s="2522"/>
      <c r="AD251" s="2522"/>
      <c r="AE251" s="2522"/>
      <c r="AF251" s="2522"/>
      <c r="AG251" s="2522"/>
      <c r="AH251" s="603"/>
      <c r="AI251" s="603"/>
      <c r="AJ251" s="603"/>
      <c r="AK251" s="603"/>
    </row>
    <row r="252" spans="1:37" hidden="1">
      <c r="A252" s="598"/>
      <c r="B252" s="472" t="s">
        <v>1597</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1598</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72">
        <f>AB251/AB257</f>
        <v>0</v>
      </c>
      <c r="AC253" s="2472"/>
      <c r="AD253" s="2472"/>
      <c r="AE253" s="2472"/>
      <c r="AF253" s="2472"/>
      <c r="AG253" s="2472"/>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1599</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481">
        <v>15</v>
      </c>
      <c r="AC255" s="2481"/>
      <c r="AD255" s="2481"/>
      <c r="AE255" s="2481"/>
      <c r="AF255" s="2481"/>
      <c r="AG255" s="2481"/>
      <c r="AH255" s="603"/>
      <c r="AI255" s="603"/>
      <c r="AJ255" s="603"/>
      <c r="AK255" s="603"/>
    </row>
    <row r="256" spans="1:37" hidden="1">
      <c r="A256" s="598"/>
      <c r="B256" s="472" t="s">
        <v>1600</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23">
        <v>0.04</v>
      </c>
      <c r="AC256" s="2523"/>
      <c r="AD256" s="2523"/>
      <c r="AE256" s="2523"/>
      <c r="AF256" s="2523"/>
      <c r="AG256" s="2523"/>
      <c r="AH256" s="603"/>
      <c r="AI256" s="603"/>
      <c r="AJ256" s="603"/>
      <c r="AK256" s="603"/>
    </row>
    <row r="257" spans="1:39" hidden="1">
      <c r="A257" s="598"/>
      <c r="B257" s="472" t="s">
        <v>848</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30">
        <v>1.1499999999999999</v>
      </c>
      <c r="AC257" s="2530"/>
      <c r="AD257" s="2530"/>
      <c r="AE257" s="2530"/>
      <c r="AF257" s="2530"/>
      <c r="AG257" s="2530"/>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1601</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14">
        <f>PV(AB256/12,AB255*12,-AB253/12, ,0)</f>
        <v>0</v>
      </c>
      <c r="AC259" s="2515"/>
      <c r="AD259" s="2515"/>
      <c r="AE259" s="2515"/>
      <c r="AF259" s="2515"/>
      <c r="AG259" s="2516"/>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1577</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1580</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1579</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1578</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18">
        <f>IFERROR(('Sources and Uses Budget'!D105/'Sources and Uses Budget'!B105),0)</f>
        <v>0</v>
      </c>
      <c r="AC265" s="2519"/>
      <c r="AD265" s="2519"/>
      <c r="AE265" s="2519"/>
      <c r="AF265" s="2519"/>
      <c r="AG265" s="2520"/>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1363</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508">
        <f>AD210*(1-AB265)</f>
        <v>0</v>
      </c>
      <c r="AH267" s="2508"/>
      <c r="AI267" s="2508"/>
      <c r="AJ267" s="2508"/>
      <c r="AK267" s="2508"/>
    </row>
    <row r="268" spans="1:39" hidden="1">
      <c r="A268" s="615"/>
      <c r="B268" s="618" t="s">
        <v>1364</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508">
        <f>'Sources and Uses Budget'!C105</f>
        <v>85202321</v>
      </c>
      <c r="AH268" s="2508"/>
      <c r="AI268" s="2508"/>
      <c r="AJ268" s="2508"/>
      <c r="AK268" s="2508"/>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09">
        <f>ROUNDDOWN(IF(AND(C305="Yes",AK83=10),((AG267*2)/AG268),AG267/AG268),2)</f>
        <v>0</v>
      </c>
      <c r="AH269" s="2509"/>
      <c r="AI269" s="2509"/>
      <c r="AJ269" s="2509"/>
      <c r="AK269" s="2509"/>
    </row>
    <row r="270" spans="1:39" hidden="1">
      <c r="A270" s="615"/>
      <c r="B270" s="968" t="s">
        <v>1726</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1365</v>
      </c>
      <c r="AK272" s="2510">
        <f>IFERROR(IF(AG269=0,0,IF((AG269*100)&gt;8,8,(AG269*100))),0)</f>
        <v>0</v>
      </c>
      <c r="AL272" s="2510"/>
      <c r="AM272" s="2511"/>
    </row>
    <row r="273" spans="1:52" ht="13.5"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1360</v>
      </c>
      <c r="B275" s="534" t="s">
        <v>1367</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1305</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2564</v>
      </c>
      <c r="AI277" s="545"/>
      <c r="AJ277" s="544"/>
      <c r="AK277" s="544"/>
      <c r="AL277" s="544"/>
      <c r="AM277" s="544"/>
      <c r="AO277" s="544"/>
    </row>
    <row r="278" spans="1:52" ht="14.25" customHeight="1">
      <c r="AI278" s="545"/>
      <c r="AJ278" s="544"/>
      <c r="AK278" s="544"/>
      <c r="AL278" s="544"/>
      <c r="AM278" s="544"/>
      <c r="AO278" s="544"/>
    </row>
    <row r="279" spans="1:52" ht="13.7" customHeight="1">
      <c r="A279" s="544"/>
      <c r="B279" s="589"/>
      <c r="C279" s="2502" t="s">
        <v>543</v>
      </c>
      <c r="D279" s="2502"/>
      <c r="E279" s="541"/>
      <c r="F279" s="2657" t="s">
        <v>2556</v>
      </c>
      <c r="G279" s="2658"/>
      <c r="H279" s="2658"/>
      <c r="I279" s="2658"/>
      <c r="J279" s="2658"/>
      <c r="K279" s="2658"/>
      <c r="L279" s="2658"/>
      <c r="M279" s="2658"/>
      <c r="N279" s="2658"/>
      <c r="O279" s="2658"/>
      <c r="P279" s="2658"/>
      <c r="Q279" s="2658"/>
      <c r="R279" s="2658"/>
      <c r="S279" s="2658"/>
      <c r="T279" s="2658"/>
      <c r="U279" s="2658"/>
      <c r="V279" s="2658"/>
      <c r="W279" s="2658"/>
      <c r="X279" s="2658"/>
      <c r="Y279" s="2658"/>
      <c r="Z279" s="2658"/>
      <c r="AA279" s="2658"/>
      <c r="AB279" s="2658"/>
      <c r="AC279" s="2658"/>
      <c r="AD279" s="2659"/>
      <c r="AE279" s="544"/>
      <c r="AF279" s="628"/>
      <c r="AG279" s="2503" t="s">
        <v>1354</v>
      </c>
      <c r="AH279" s="2503"/>
      <c r="AI279" s="2503"/>
      <c r="AJ279" s="2503"/>
      <c r="AK279" s="544"/>
      <c r="AL279" s="544"/>
      <c r="AM279" s="544"/>
      <c r="AO279" s="544"/>
    </row>
    <row r="280" spans="1:52" ht="13.7" customHeight="1">
      <c r="A280" s="544"/>
      <c r="B280" s="589"/>
      <c r="C280" s="629"/>
      <c r="D280" s="544"/>
      <c r="E280" s="541"/>
      <c r="F280" s="2660"/>
      <c r="G280" s="2661"/>
      <c r="H280" s="2661"/>
      <c r="I280" s="2661"/>
      <c r="J280" s="2661"/>
      <c r="K280" s="2661"/>
      <c r="L280" s="2661"/>
      <c r="M280" s="2661"/>
      <c r="N280" s="2661"/>
      <c r="O280" s="2661"/>
      <c r="P280" s="2661"/>
      <c r="Q280" s="2661"/>
      <c r="R280" s="2661"/>
      <c r="S280" s="2661"/>
      <c r="T280" s="2661"/>
      <c r="U280" s="2661"/>
      <c r="V280" s="2661"/>
      <c r="W280" s="2661"/>
      <c r="X280" s="2661"/>
      <c r="Y280" s="2661"/>
      <c r="Z280" s="2661"/>
      <c r="AA280" s="2661"/>
      <c r="AB280" s="2661"/>
      <c r="AC280" s="2661"/>
      <c r="AD280" s="2662"/>
      <c r="AE280" s="544"/>
      <c r="AF280" s="628"/>
      <c r="AG280" s="628"/>
      <c r="AH280" s="628"/>
      <c r="AI280" s="628"/>
      <c r="AJ280" s="544"/>
      <c r="AK280" s="544"/>
      <c r="AL280" s="544"/>
      <c r="AM280" s="544"/>
      <c r="AO280" s="544"/>
    </row>
    <row r="281" spans="1:52" ht="13.7" customHeight="1">
      <c r="A281" s="544"/>
      <c r="B281" s="589"/>
      <c r="C281" s="629"/>
      <c r="D281" s="544"/>
      <c r="E281" s="541"/>
      <c r="F281" s="2660"/>
      <c r="G281" s="2661"/>
      <c r="H281" s="2661"/>
      <c r="I281" s="2661"/>
      <c r="J281" s="2661"/>
      <c r="K281" s="2661"/>
      <c r="L281" s="2661"/>
      <c r="M281" s="2661"/>
      <c r="N281" s="2661"/>
      <c r="O281" s="2661"/>
      <c r="P281" s="2661"/>
      <c r="Q281" s="2661"/>
      <c r="R281" s="2661"/>
      <c r="S281" s="2661"/>
      <c r="T281" s="2661"/>
      <c r="U281" s="2661"/>
      <c r="V281" s="2661"/>
      <c r="W281" s="2661"/>
      <c r="X281" s="2661"/>
      <c r="Y281" s="2661"/>
      <c r="Z281" s="2661"/>
      <c r="AA281" s="2661"/>
      <c r="AB281" s="2661"/>
      <c r="AC281" s="2661"/>
      <c r="AD281" s="2662"/>
      <c r="AE281" s="544"/>
      <c r="AF281" s="628"/>
      <c r="AG281" s="628"/>
      <c r="AH281" s="628"/>
      <c r="AI281" s="628"/>
      <c r="AJ281" s="544"/>
      <c r="AK281" s="544"/>
      <c r="AL281" s="544"/>
      <c r="AM281" s="544"/>
      <c r="AO281" s="544"/>
    </row>
    <row r="282" spans="1:52" ht="13.7" customHeight="1">
      <c r="A282" s="544"/>
      <c r="B282" s="589"/>
      <c r="C282" s="629"/>
      <c r="D282" s="544"/>
      <c r="E282" s="541"/>
      <c r="F282" s="2660"/>
      <c r="G282" s="2661"/>
      <c r="H282" s="2661"/>
      <c r="I282" s="2661"/>
      <c r="J282" s="2661"/>
      <c r="K282" s="2661"/>
      <c r="L282" s="2661"/>
      <c r="M282" s="2661"/>
      <c r="N282" s="2661"/>
      <c r="O282" s="2661"/>
      <c r="P282" s="2661"/>
      <c r="Q282" s="2661"/>
      <c r="R282" s="2661"/>
      <c r="S282" s="2661"/>
      <c r="T282" s="2661"/>
      <c r="U282" s="2661"/>
      <c r="V282" s="2661"/>
      <c r="W282" s="2661"/>
      <c r="X282" s="2661"/>
      <c r="Y282" s="2661"/>
      <c r="Z282" s="2661"/>
      <c r="AA282" s="2661"/>
      <c r="AB282" s="2661"/>
      <c r="AC282" s="2661"/>
      <c r="AD282" s="2662"/>
      <c r="AE282" s="544"/>
      <c r="AF282" s="628"/>
      <c r="AG282" s="628"/>
      <c r="AH282" s="628"/>
      <c r="AI282" s="628"/>
      <c r="AJ282" s="544"/>
      <c r="AK282" s="544"/>
      <c r="AL282" s="544"/>
      <c r="AM282" s="544"/>
      <c r="AO282" s="544"/>
    </row>
    <row r="283" spans="1:52" ht="13.7" customHeight="1">
      <c r="A283" s="544"/>
      <c r="B283" s="589"/>
      <c r="C283" s="629"/>
      <c r="D283" s="544"/>
      <c r="E283" s="541"/>
      <c r="F283" s="2660"/>
      <c r="G283" s="2661"/>
      <c r="H283" s="2661"/>
      <c r="I283" s="2661"/>
      <c r="J283" s="2661"/>
      <c r="K283" s="2661"/>
      <c r="L283" s="2661"/>
      <c r="M283" s="2661"/>
      <c r="N283" s="2661"/>
      <c r="O283" s="2661"/>
      <c r="P283" s="2661"/>
      <c r="Q283" s="2661"/>
      <c r="R283" s="2661"/>
      <c r="S283" s="2661"/>
      <c r="T283" s="2661"/>
      <c r="U283" s="2661"/>
      <c r="V283" s="2661"/>
      <c r="W283" s="2661"/>
      <c r="X283" s="2661"/>
      <c r="Y283" s="2661"/>
      <c r="Z283" s="2661"/>
      <c r="AA283" s="2661"/>
      <c r="AB283" s="2661"/>
      <c r="AC283" s="2661"/>
      <c r="AD283" s="2662"/>
      <c r="AE283" s="544"/>
      <c r="AF283" s="628"/>
      <c r="AG283" s="628"/>
      <c r="AH283" s="628"/>
      <c r="AI283" s="628"/>
      <c r="AJ283" s="544"/>
      <c r="AK283" s="544"/>
      <c r="AL283" s="544"/>
      <c r="AM283" s="544"/>
      <c r="AO283" s="544"/>
    </row>
    <row r="284" spans="1:52">
      <c r="A284" s="544"/>
      <c r="B284" s="589"/>
      <c r="C284" s="629"/>
      <c r="D284" s="544"/>
      <c r="E284" s="541"/>
      <c r="F284" s="2660"/>
      <c r="G284" s="2661"/>
      <c r="H284" s="2661"/>
      <c r="I284" s="2661"/>
      <c r="J284" s="2661"/>
      <c r="K284" s="2661"/>
      <c r="L284" s="2661"/>
      <c r="M284" s="2661"/>
      <c r="N284" s="2661"/>
      <c r="O284" s="2661"/>
      <c r="P284" s="2661"/>
      <c r="Q284" s="2661"/>
      <c r="R284" s="2661"/>
      <c r="S284" s="2661"/>
      <c r="T284" s="2661"/>
      <c r="U284" s="2661"/>
      <c r="V284" s="2661"/>
      <c r="W284" s="2661"/>
      <c r="X284" s="2661"/>
      <c r="Y284" s="2661"/>
      <c r="Z284" s="2661"/>
      <c r="AA284" s="2661"/>
      <c r="AB284" s="2661"/>
      <c r="AC284" s="2661"/>
      <c r="AD284" s="2662"/>
      <c r="AE284" s="544"/>
      <c r="AF284" s="628"/>
      <c r="AG284" s="628"/>
      <c r="AH284" s="628"/>
      <c r="AI284" s="628"/>
      <c r="AJ284" s="544"/>
      <c r="AK284" s="544"/>
      <c r="AL284" s="544"/>
      <c r="AM284" s="544"/>
      <c r="AO284" s="544"/>
      <c r="AP284" s="630"/>
    </row>
    <row r="285" spans="1:52">
      <c r="A285" s="544"/>
      <c r="B285" s="589"/>
      <c r="C285" s="629"/>
      <c r="D285" s="544"/>
      <c r="E285" s="541"/>
      <c r="F285" s="2660"/>
      <c r="G285" s="2661"/>
      <c r="H285" s="2661"/>
      <c r="I285" s="2661"/>
      <c r="J285" s="2661"/>
      <c r="K285" s="2661"/>
      <c r="L285" s="2661"/>
      <c r="M285" s="2661"/>
      <c r="N285" s="2661"/>
      <c r="O285" s="2661"/>
      <c r="P285" s="2661"/>
      <c r="Q285" s="2661"/>
      <c r="R285" s="2661"/>
      <c r="S285" s="2661"/>
      <c r="T285" s="2661"/>
      <c r="U285" s="2661"/>
      <c r="V285" s="2661"/>
      <c r="W285" s="2661"/>
      <c r="X285" s="2661"/>
      <c r="Y285" s="2661"/>
      <c r="Z285" s="2661"/>
      <c r="AA285" s="2661"/>
      <c r="AB285" s="2661"/>
      <c r="AC285" s="2661"/>
      <c r="AD285" s="2662"/>
      <c r="AE285" s="544"/>
      <c r="AF285" s="628"/>
      <c r="AG285" s="628"/>
      <c r="AH285" s="628"/>
      <c r="AI285" s="628"/>
      <c r="AJ285" s="544"/>
      <c r="AK285" s="544"/>
      <c r="AL285" s="544"/>
      <c r="AM285" s="544"/>
      <c r="AO285" s="544"/>
      <c r="AP285" s="630"/>
    </row>
    <row r="286" spans="1:52" ht="13.7" customHeight="1">
      <c r="A286" s="544"/>
      <c r="B286" s="589"/>
      <c r="C286" s="2504"/>
      <c r="D286" s="2504"/>
      <c r="E286" s="541"/>
      <c r="F286" s="2663"/>
      <c r="G286" s="2664"/>
      <c r="H286" s="2664"/>
      <c r="I286" s="2664"/>
      <c r="J286" s="2664"/>
      <c r="K286" s="2664"/>
      <c r="L286" s="2664"/>
      <c r="M286" s="2664"/>
      <c r="N286" s="2664"/>
      <c r="O286" s="2664"/>
      <c r="P286" s="2664"/>
      <c r="Q286" s="2664"/>
      <c r="R286" s="2664"/>
      <c r="S286" s="2664"/>
      <c r="T286" s="2664"/>
      <c r="U286" s="2664"/>
      <c r="V286" s="2664"/>
      <c r="W286" s="2664"/>
      <c r="X286" s="2664"/>
      <c r="Y286" s="2664"/>
      <c r="Z286" s="2664"/>
      <c r="AA286" s="2664"/>
      <c r="AB286" s="2664"/>
      <c r="AC286" s="2664"/>
      <c r="AD286" s="2665"/>
      <c r="AE286" s="544"/>
      <c r="AF286" s="628"/>
      <c r="AG286" s="2503"/>
      <c r="AH286" s="2503"/>
      <c r="AI286" s="2503"/>
      <c r="AJ286" s="2503"/>
      <c r="AK286" s="544"/>
      <c r="AL286" s="544"/>
      <c r="AM286" s="544"/>
    </row>
    <row r="287" spans="1:52" ht="13.7"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18" t="s">
        <v>2563</v>
      </c>
      <c r="C289" s="2418"/>
      <c r="D289" s="2418"/>
      <c r="E289" s="2418"/>
      <c r="F289" s="2418"/>
      <c r="G289" s="2418"/>
      <c r="H289" s="2418"/>
      <c r="I289" s="2418"/>
      <c r="J289" s="2418"/>
      <c r="K289" s="2418"/>
      <c r="L289" s="2418"/>
      <c r="M289" s="2418"/>
      <c r="N289" s="2418"/>
      <c r="O289" s="2418"/>
      <c r="P289" s="2418"/>
      <c r="Q289" s="2418"/>
      <c r="R289" s="2418"/>
      <c r="S289" s="2418"/>
      <c r="T289" s="2418"/>
      <c r="U289" s="2418"/>
      <c r="V289" s="2418"/>
      <c r="W289" s="2418"/>
      <c r="X289" s="2418"/>
      <c r="Y289" s="2418"/>
      <c r="Z289" s="2418"/>
      <c r="AA289" s="2418"/>
      <c r="AB289" s="2418"/>
      <c r="AC289" s="2418"/>
      <c r="AD289" s="2418"/>
      <c r="AE289" s="2418"/>
      <c r="AF289" s="2418"/>
      <c r="AG289" s="2418"/>
      <c r="AH289" s="2418"/>
      <c r="AI289" s="2418"/>
      <c r="AJ289" s="2418"/>
      <c r="AK289" s="2418"/>
      <c r="AL289" s="2418"/>
      <c r="AM289" s="544"/>
      <c r="AN289" s="73"/>
    </row>
    <row r="290" spans="1:49">
      <c r="A290" s="544"/>
      <c r="B290" s="2418"/>
      <c r="C290" s="2418"/>
      <c r="D290" s="2418"/>
      <c r="E290" s="2418"/>
      <c r="F290" s="2418"/>
      <c r="G290" s="2418"/>
      <c r="H290" s="2418"/>
      <c r="I290" s="2418"/>
      <c r="J290" s="2418"/>
      <c r="K290" s="2418"/>
      <c r="L290" s="2418"/>
      <c r="M290" s="2418"/>
      <c r="N290" s="2418"/>
      <c r="O290" s="2418"/>
      <c r="P290" s="2418"/>
      <c r="Q290" s="2418"/>
      <c r="R290" s="2418"/>
      <c r="S290" s="2418"/>
      <c r="T290" s="2418"/>
      <c r="U290" s="2418"/>
      <c r="V290" s="2418"/>
      <c r="W290" s="2418"/>
      <c r="X290" s="2418"/>
      <c r="Y290" s="2418"/>
      <c r="Z290" s="2418"/>
      <c r="AA290" s="2418"/>
      <c r="AB290" s="2418"/>
      <c r="AC290" s="2418"/>
      <c r="AD290" s="2418"/>
      <c r="AE290" s="2418"/>
      <c r="AF290" s="2418"/>
      <c r="AG290" s="2418"/>
      <c r="AH290" s="2418"/>
      <c r="AI290" s="2418"/>
      <c r="AJ290" s="2418"/>
      <c r="AK290" s="2418"/>
      <c r="AL290" s="2418"/>
      <c r="AM290" s="544"/>
      <c r="AN290" s="73"/>
    </row>
    <row r="291" spans="1:49">
      <c r="A291" s="544"/>
      <c r="B291" s="2418"/>
      <c r="C291" s="2418"/>
      <c r="D291" s="2418"/>
      <c r="E291" s="2418"/>
      <c r="F291" s="2418"/>
      <c r="G291" s="2418"/>
      <c r="H291" s="2418"/>
      <c r="I291" s="2418"/>
      <c r="J291" s="2418"/>
      <c r="K291" s="2418"/>
      <c r="L291" s="2418"/>
      <c r="M291" s="2418"/>
      <c r="N291" s="2418"/>
      <c r="O291" s="2418"/>
      <c r="P291" s="2418"/>
      <c r="Q291" s="2418"/>
      <c r="R291" s="2418"/>
      <c r="S291" s="2418"/>
      <c r="T291" s="2418"/>
      <c r="U291" s="2418"/>
      <c r="V291" s="2418"/>
      <c r="W291" s="2418"/>
      <c r="X291" s="2418"/>
      <c r="Y291" s="2418"/>
      <c r="Z291" s="2418"/>
      <c r="AA291" s="2418"/>
      <c r="AB291" s="2418"/>
      <c r="AC291" s="2418"/>
      <c r="AD291" s="2418"/>
      <c r="AE291" s="2418"/>
      <c r="AF291" s="2418"/>
      <c r="AG291" s="2418"/>
      <c r="AH291" s="2418"/>
      <c r="AI291" s="2418"/>
      <c r="AJ291" s="2418"/>
      <c r="AK291" s="2418"/>
      <c r="AL291" s="2418"/>
      <c r="AM291" s="544"/>
      <c r="AN291" s="73"/>
    </row>
    <row r="292" spans="1:49">
      <c r="A292" s="544"/>
      <c r="B292" s="2418"/>
      <c r="C292" s="2418"/>
      <c r="D292" s="2418"/>
      <c r="E292" s="2418"/>
      <c r="F292" s="2418"/>
      <c r="G292" s="2418"/>
      <c r="H292" s="2418"/>
      <c r="I292" s="2418"/>
      <c r="J292" s="2418"/>
      <c r="K292" s="2418"/>
      <c r="L292" s="2418"/>
      <c r="M292" s="2418"/>
      <c r="N292" s="2418"/>
      <c r="O292" s="2418"/>
      <c r="P292" s="2418"/>
      <c r="Q292" s="2418"/>
      <c r="R292" s="2418"/>
      <c r="S292" s="2418"/>
      <c r="T292" s="2418"/>
      <c r="U292" s="2418"/>
      <c r="V292" s="2418"/>
      <c r="W292" s="2418"/>
      <c r="X292" s="2418"/>
      <c r="Y292" s="2418"/>
      <c r="Z292" s="2418"/>
      <c r="AA292" s="2418"/>
      <c r="AB292" s="2418"/>
      <c r="AC292" s="2418"/>
      <c r="AD292" s="2418"/>
      <c r="AE292" s="2418"/>
      <c r="AF292" s="2418"/>
      <c r="AG292" s="2418"/>
      <c r="AH292" s="2418"/>
      <c r="AI292" s="2418"/>
      <c r="AJ292" s="2418"/>
      <c r="AK292" s="2418"/>
      <c r="AL292" s="2418"/>
      <c r="AM292" s="544"/>
      <c r="AN292" s="73"/>
    </row>
    <row r="293" spans="1:49">
      <c r="A293" s="544"/>
      <c r="B293" s="2418"/>
      <c r="C293" s="2418"/>
      <c r="D293" s="2418"/>
      <c r="E293" s="2418"/>
      <c r="F293" s="2418"/>
      <c r="G293" s="2418"/>
      <c r="H293" s="2418"/>
      <c r="I293" s="2418"/>
      <c r="J293" s="2418"/>
      <c r="K293" s="2418"/>
      <c r="L293" s="2418"/>
      <c r="M293" s="2418"/>
      <c r="N293" s="2418"/>
      <c r="O293" s="2418"/>
      <c r="P293" s="2418"/>
      <c r="Q293" s="2418"/>
      <c r="R293" s="2418"/>
      <c r="S293" s="2418"/>
      <c r="T293" s="2418"/>
      <c r="U293" s="2418"/>
      <c r="V293" s="2418"/>
      <c r="W293" s="2418"/>
      <c r="X293" s="2418"/>
      <c r="Y293" s="2418"/>
      <c r="Z293" s="2418"/>
      <c r="AA293" s="2418"/>
      <c r="AB293" s="2418"/>
      <c r="AC293" s="2418"/>
      <c r="AD293" s="2418"/>
      <c r="AE293" s="2418"/>
      <c r="AF293" s="2418"/>
      <c r="AG293" s="2418"/>
      <c r="AH293" s="2418"/>
      <c r="AI293" s="2418"/>
      <c r="AJ293" s="2418"/>
      <c r="AK293" s="2418"/>
      <c r="AL293" s="2418"/>
      <c r="AM293" s="544"/>
      <c r="AN293" s="73"/>
    </row>
    <row r="294" spans="1:49">
      <c r="A294" s="544"/>
      <c r="B294" s="2418"/>
      <c r="C294" s="2418"/>
      <c r="D294" s="2418"/>
      <c r="E294" s="2418"/>
      <c r="F294" s="2418"/>
      <c r="G294" s="2418"/>
      <c r="H294" s="2418"/>
      <c r="I294" s="2418"/>
      <c r="J294" s="2418"/>
      <c r="K294" s="2418"/>
      <c r="L294" s="2418"/>
      <c r="M294" s="2418"/>
      <c r="N294" s="2418"/>
      <c r="O294" s="2418"/>
      <c r="P294" s="2418"/>
      <c r="Q294" s="2418"/>
      <c r="R294" s="2418"/>
      <c r="S294" s="2418"/>
      <c r="T294" s="2418"/>
      <c r="U294" s="2418"/>
      <c r="V294" s="2418"/>
      <c r="W294" s="2418"/>
      <c r="X294" s="2418"/>
      <c r="Y294" s="2418"/>
      <c r="Z294" s="2418"/>
      <c r="AA294" s="2418"/>
      <c r="AB294" s="2418"/>
      <c r="AC294" s="2418"/>
      <c r="AD294" s="2418"/>
      <c r="AE294" s="2418"/>
      <c r="AF294" s="2418"/>
      <c r="AG294" s="2418"/>
      <c r="AH294" s="2418"/>
      <c r="AI294" s="2418"/>
      <c r="AJ294" s="2418"/>
      <c r="AK294" s="2418"/>
      <c r="AL294" s="2418"/>
      <c r="AM294" s="544"/>
      <c r="AN294" s="73"/>
    </row>
    <row r="295" spans="1:49">
      <c r="A295" s="544"/>
      <c r="B295" s="2418"/>
      <c r="C295" s="2418"/>
      <c r="D295" s="2418"/>
      <c r="E295" s="2418"/>
      <c r="F295" s="2418"/>
      <c r="G295" s="2418"/>
      <c r="H295" s="2418"/>
      <c r="I295" s="2418"/>
      <c r="J295" s="2418"/>
      <c r="K295" s="2418"/>
      <c r="L295" s="2418"/>
      <c r="M295" s="2418"/>
      <c r="N295" s="2418"/>
      <c r="O295" s="2418"/>
      <c r="P295" s="2418"/>
      <c r="Q295" s="2418"/>
      <c r="R295" s="2418"/>
      <c r="S295" s="2418"/>
      <c r="T295" s="2418"/>
      <c r="U295" s="2418"/>
      <c r="V295" s="2418"/>
      <c r="W295" s="2418"/>
      <c r="X295" s="2418"/>
      <c r="Y295" s="2418"/>
      <c r="Z295" s="2418"/>
      <c r="AA295" s="2418"/>
      <c r="AB295" s="2418"/>
      <c r="AC295" s="2418"/>
      <c r="AD295" s="2418"/>
      <c r="AE295" s="2418"/>
      <c r="AF295" s="2418"/>
      <c r="AG295" s="2418"/>
      <c r="AH295" s="2418"/>
      <c r="AI295" s="2418"/>
      <c r="AJ295" s="2418"/>
      <c r="AK295" s="2418"/>
      <c r="AL295" s="2418"/>
      <c r="AM295" s="544"/>
      <c r="AN295" s="73"/>
    </row>
    <row r="296" spans="1:49">
      <c r="A296" s="544"/>
      <c r="B296" s="2418"/>
      <c r="C296" s="2418"/>
      <c r="D296" s="2418"/>
      <c r="E296" s="2418"/>
      <c r="F296" s="2418"/>
      <c r="G296" s="2418"/>
      <c r="H296" s="2418"/>
      <c r="I296" s="2418"/>
      <c r="J296" s="2418"/>
      <c r="K296" s="2418"/>
      <c r="L296" s="2418"/>
      <c r="M296" s="2418"/>
      <c r="N296" s="2418"/>
      <c r="O296" s="2418"/>
      <c r="P296" s="2418"/>
      <c r="Q296" s="2418"/>
      <c r="R296" s="2418"/>
      <c r="S296" s="2418"/>
      <c r="T296" s="2418"/>
      <c r="U296" s="2418"/>
      <c r="V296" s="2418"/>
      <c r="W296" s="2418"/>
      <c r="X296" s="2418"/>
      <c r="Y296" s="2418"/>
      <c r="Z296" s="2418"/>
      <c r="AA296" s="2418"/>
      <c r="AB296" s="2418"/>
      <c r="AC296" s="2418"/>
      <c r="AD296" s="2418"/>
      <c r="AE296" s="2418"/>
      <c r="AF296" s="2418"/>
      <c r="AG296" s="2418"/>
      <c r="AH296" s="2418"/>
      <c r="AI296" s="2418"/>
      <c r="AJ296" s="2418"/>
      <c r="AK296" s="2418"/>
      <c r="AL296" s="2418"/>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1369</v>
      </c>
      <c r="AK298" s="2510">
        <f>IF($C$279="yes",10,0)</f>
        <v>10</v>
      </c>
      <c r="AL298" s="2510"/>
      <c r="AM298" s="2511"/>
      <c r="AN298" s="73"/>
    </row>
    <row r="299" spans="1:49" ht="13.5" thickBot="1"/>
    <row r="300" spans="1:49" ht="13.5"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1366</v>
      </c>
      <c r="B301" s="534" t="s">
        <v>2557</v>
      </c>
      <c r="AH301" s="584" t="s">
        <v>1305</v>
      </c>
    </row>
    <row r="302" spans="1:49" ht="15" customHeight="1">
      <c r="B302" s="535"/>
    </row>
    <row r="303" spans="1:49" ht="15" customHeight="1">
      <c r="B303" s="535" t="s">
        <v>1714</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633" t="s">
        <v>1371</v>
      </c>
      <c r="B305" s="1633"/>
      <c r="C305" s="2492" t="s">
        <v>543</v>
      </c>
      <c r="D305" s="2502"/>
      <c r="E305" s="541"/>
      <c r="F305" s="2524" t="s">
        <v>1372</v>
      </c>
      <c r="G305" s="2525"/>
      <c r="H305" s="2525"/>
      <c r="I305" s="2525"/>
      <c r="J305" s="2525"/>
      <c r="K305" s="2525"/>
      <c r="L305" s="2525"/>
      <c r="M305" s="2525"/>
      <c r="N305" s="2525"/>
      <c r="O305" s="2525"/>
      <c r="P305" s="2525"/>
      <c r="Q305" s="2525"/>
      <c r="R305" s="2525"/>
      <c r="S305" s="2525"/>
      <c r="T305" s="2525"/>
      <c r="U305" s="2525"/>
      <c r="V305" s="2525"/>
      <c r="W305" s="2525"/>
      <c r="X305" s="2525"/>
      <c r="Y305" s="2525"/>
      <c r="Z305" s="2525"/>
      <c r="AA305" s="2525"/>
      <c r="AB305" s="2525"/>
      <c r="AC305" s="2525"/>
      <c r="AD305" s="2526"/>
      <c r="AE305" s="635"/>
      <c r="AF305" s="544"/>
      <c r="AG305" s="2527" t="s">
        <v>1974</v>
      </c>
      <c r="AH305" s="2527"/>
      <c r="AI305" s="2527"/>
      <c r="AJ305" s="2527"/>
      <c r="AK305" s="2527"/>
      <c r="AL305" s="544"/>
      <c r="AM305" s="544"/>
      <c r="AN305" s="73"/>
      <c r="AO305" s="14"/>
      <c r="AP305" s="30"/>
      <c r="AS305" s="563"/>
      <c r="AT305" s="563"/>
      <c r="AU305" s="563"/>
      <c r="AV305" s="32"/>
      <c r="AW305" s="32"/>
    </row>
    <row r="306" spans="1:49">
      <c r="A306" s="633"/>
      <c r="B306" s="589"/>
      <c r="F306" s="2496"/>
      <c r="G306" s="2497"/>
      <c r="H306" s="2497"/>
      <c r="I306" s="2497"/>
      <c r="J306" s="2497"/>
      <c r="K306" s="2497"/>
      <c r="L306" s="2497"/>
      <c r="M306" s="2497"/>
      <c r="N306" s="2497"/>
      <c r="O306" s="2497"/>
      <c r="P306" s="2497"/>
      <c r="Q306" s="2497"/>
      <c r="R306" s="2497"/>
      <c r="S306" s="2497"/>
      <c r="T306" s="2497"/>
      <c r="U306" s="2497"/>
      <c r="V306" s="2497"/>
      <c r="W306" s="2497"/>
      <c r="X306" s="2497"/>
      <c r="Y306" s="2497"/>
      <c r="Z306" s="2497"/>
      <c r="AA306" s="2497"/>
      <c r="AB306" s="2497"/>
      <c r="AC306" s="2497"/>
      <c r="AD306" s="2498"/>
      <c r="AE306" s="635"/>
      <c r="AF306" s="545"/>
      <c r="AH306" s="545"/>
      <c r="AI306" s="545"/>
      <c r="AJ306" s="544"/>
      <c r="AK306" s="544"/>
      <c r="AL306" s="544"/>
      <c r="AM306" s="544"/>
      <c r="AN306" s="73"/>
      <c r="AO306" s="14"/>
      <c r="AP306" s="544">
        <f>IF($C$305="yes",10,IF(C305="50% Met",9,0))</f>
        <v>10</v>
      </c>
      <c r="AS306" s="563"/>
      <c r="AT306" s="563"/>
      <c r="AU306" s="563"/>
      <c r="AV306" s="32"/>
      <c r="AW306" s="32"/>
    </row>
    <row r="307" spans="1:49" ht="12.75" customHeight="1">
      <c r="A307" s="633"/>
      <c r="B307" s="589"/>
      <c r="F307" s="2496"/>
      <c r="G307" s="2497"/>
      <c r="H307" s="2497"/>
      <c r="I307" s="2497"/>
      <c r="J307" s="2497"/>
      <c r="K307" s="2497"/>
      <c r="L307" s="2497"/>
      <c r="M307" s="2497"/>
      <c r="N307" s="2497"/>
      <c r="O307" s="2497"/>
      <c r="P307" s="2497"/>
      <c r="Q307" s="2497"/>
      <c r="R307" s="2497"/>
      <c r="S307" s="2497"/>
      <c r="T307" s="2497"/>
      <c r="U307" s="2497"/>
      <c r="V307" s="2497"/>
      <c r="W307" s="2497"/>
      <c r="X307" s="2497"/>
      <c r="Y307" s="2497"/>
      <c r="Z307" s="2497"/>
      <c r="AA307" s="2497"/>
      <c r="AB307" s="2497"/>
      <c r="AC307" s="2497"/>
      <c r="AD307" s="2498"/>
      <c r="AE307" s="635"/>
      <c r="AF307" s="545"/>
      <c r="AH307" s="545"/>
      <c r="AI307" s="545"/>
      <c r="AJ307" s="544"/>
      <c r="AK307" s="544"/>
      <c r="AL307" s="544"/>
      <c r="AM307" s="544"/>
      <c r="AN307" s="73"/>
      <c r="AO307" s="14"/>
      <c r="AP307" s="544">
        <f>IF($C$315="yes",9,0)</f>
        <v>0</v>
      </c>
      <c r="AS307" s="563"/>
      <c r="AT307" s="563"/>
      <c r="AU307" s="563"/>
      <c r="AV307" s="32"/>
      <c r="AW307" s="32"/>
    </row>
    <row r="308" spans="1:49" ht="12.75" customHeight="1">
      <c r="A308" s="633"/>
      <c r="B308" s="589"/>
      <c r="F308" s="2496" t="s">
        <v>1979</v>
      </c>
      <c r="G308" s="2497"/>
      <c r="H308" s="2497"/>
      <c r="I308" s="2497"/>
      <c r="J308" s="2497"/>
      <c r="K308" s="2497"/>
      <c r="L308" s="2497"/>
      <c r="M308" s="2497"/>
      <c r="N308" s="2497"/>
      <c r="O308" s="2497"/>
      <c r="P308" s="2497"/>
      <c r="Q308" s="2497"/>
      <c r="R308" s="2497"/>
      <c r="S308" s="2497"/>
      <c r="T308" s="2497"/>
      <c r="U308" s="2497"/>
      <c r="V308" s="2497"/>
      <c r="W308" s="2497"/>
      <c r="X308" s="2497"/>
      <c r="Y308" s="2497"/>
      <c r="Z308" s="2497"/>
      <c r="AA308" s="2497"/>
      <c r="AB308" s="2497"/>
      <c r="AC308" s="2497"/>
      <c r="AD308" s="2498"/>
      <c r="AE308" s="635"/>
      <c r="AF308" s="545"/>
      <c r="AH308" s="545"/>
      <c r="AI308" s="545"/>
      <c r="AJ308" s="544"/>
      <c r="AK308" s="544"/>
      <c r="AL308" s="544"/>
      <c r="AM308" s="544"/>
      <c r="AN308" s="73"/>
      <c r="AO308" s="14"/>
      <c r="AP308" s="604">
        <f>MAX(AP306,AP307)</f>
        <v>10</v>
      </c>
      <c r="AQ308" s="567" t="s">
        <v>1307</v>
      </c>
      <c r="AS308" s="563"/>
      <c r="AT308" s="563"/>
      <c r="AU308" s="563"/>
      <c r="AV308" s="32"/>
      <c r="AW308" s="32"/>
    </row>
    <row r="309" spans="1:49">
      <c r="A309" s="633"/>
      <c r="B309" s="589"/>
      <c r="F309" s="2496"/>
      <c r="G309" s="2497"/>
      <c r="H309" s="2497"/>
      <c r="I309" s="2497"/>
      <c r="J309" s="2497"/>
      <c r="K309" s="2497"/>
      <c r="L309" s="2497"/>
      <c r="M309" s="2497"/>
      <c r="N309" s="2497"/>
      <c r="O309" s="2497"/>
      <c r="P309" s="2497"/>
      <c r="Q309" s="2497"/>
      <c r="R309" s="2497"/>
      <c r="S309" s="2497"/>
      <c r="T309" s="2497"/>
      <c r="U309" s="2497"/>
      <c r="V309" s="2497"/>
      <c r="W309" s="2497"/>
      <c r="X309" s="2497"/>
      <c r="Y309" s="2497"/>
      <c r="Z309" s="2497"/>
      <c r="AA309" s="2497"/>
      <c r="AB309" s="2497"/>
      <c r="AC309" s="2497"/>
      <c r="AD309" s="2498"/>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96" t="s">
        <v>1373</v>
      </c>
      <c r="G310" s="2497"/>
      <c r="H310" s="2497"/>
      <c r="I310" s="2497"/>
      <c r="J310" s="2497"/>
      <c r="K310" s="2497"/>
      <c r="L310" s="2497"/>
      <c r="M310" s="2497"/>
      <c r="N310" s="2497"/>
      <c r="O310" s="2497"/>
      <c r="P310" s="2497"/>
      <c r="Q310" s="2497"/>
      <c r="R310" s="2497"/>
      <c r="S310" s="2497"/>
      <c r="T310" s="2497"/>
      <c r="U310" s="2497"/>
      <c r="V310" s="2497"/>
      <c r="W310" s="2497"/>
      <c r="X310" s="2497"/>
      <c r="Y310" s="2497"/>
      <c r="Z310" s="2497"/>
      <c r="AA310" s="2497"/>
      <c r="AB310" s="2497"/>
      <c r="AC310" s="2497"/>
      <c r="AD310" s="2498"/>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96"/>
      <c r="G311" s="2497"/>
      <c r="H311" s="2497"/>
      <c r="I311" s="2497"/>
      <c r="J311" s="2497"/>
      <c r="K311" s="2497"/>
      <c r="L311" s="2497"/>
      <c r="M311" s="2497"/>
      <c r="N311" s="2497"/>
      <c r="O311" s="2497"/>
      <c r="P311" s="2497"/>
      <c r="Q311" s="2497"/>
      <c r="R311" s="2497"/>
      <c r="S311" s="2497"/>
      <c r="T311" s="2497"/>
      <c r="U311" s="2497"/>
      <c r="V311" s="2497"/>
      <c r="W311" s="2497"/>
      <c r="X311" s="2497"/>
      <c r="Y311" s="2497"/>
      <c r="Z311" s="2497"/>
      <c r="AA311" s="2497"/>
      <c r="AB311" s="2497"/>
      <c r="AC311" s="2497"/>
      <c r="AD311" s="2498"/>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96" t="s">
        <v>1374</v>
      </c>
      <c r="G312" s="2497"/>
      <c r="H312" s="2497"/>
      <c r="I312" s="2497"/>
      <c r="J312" s="2497"/>
      <c r="K312" s="2497"/>
      <c r="L312" s="2497"/>
      <c r="M312" s="2497"/>
      <c r="N312" s="2497"/>
      <c r="O312" s="2497"/>
      <c r="P312" s="2497"/>
      <c r="Q312" s="2497"/>
      <c r="R312" s="2497"/>
      <c r="S312" s="2497"/>
      <c r="T312" s="2497"/>
      <c r="U312" s="2497"/>
      <c r="V312" s="2497"/>
      <c r="W312" s="2497"/>
      <c r="X312" s="2497"/>
      <c r="Y312" s="2497"/>
      <c r="Z312" s="2497"/>
      <c r="AA312" s="2497"/>
      <c r="AB312" s="2497"/>
      <c r="AC312" s="2497"/>
      <c r="AD312" s="2498"/>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99"/>
      <c r="G313" s="2500"/>
      <c r="H313" s="2500"/>
      <c r="I313" s="2500"/>
      <c r="J313" s="2500"/>
      <c r="K313" s="2500"/>
      <c r="L313" s="2500"/>
      <c r="M313" s="2500"/>
      <c r="N313" s="2500"/>
      <c r="O313" s="2500"/>
      <c r="P313" s="2500"/>
      <c r="Q313" s="2500"/>
      <c r="R313" s="2500"/>
      <c r="S313" s="2500"/>
      <c r="T313" s="2500"/>
      <c r="U313" s="2500"/>
      <c r="V313" s="2500"/>
      <c r="W313" s="2500"/>
      <c r="X313" s="2500"/>
      <c r="Y313" s="2500"/>
      <c r="Z313" s="2500"/>
      <c r="AA313" s="2500"/>
      <c r="AB313" s="2500"/>
      <c r="AC313" s="2500"/>
      <c r="AD313" s="2501"/>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633" t="s">
        <v>1375</v>
      </c>
      <c r="B315" s="1633"/>
      <c r="C315" s="2502" t="s">
        <v>589</v>
      </c>
      <c r="D315" s="2502"/>
      <c r="E315" s="541"/>
      <c r="F315" s="962" t="s">
        <v>2558</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1377</v>
      </c>
      <c r="AH315" s="545"/>
      <c r="AI315" s="545"/>
      <c r="AJ315" s="544"/>
      <c r="AK315" s="544"/>
      <c r="AL315" s="544"/>
      <c r="AM315" s="544"/>
      <c r="AN315" s="638"/>
      <c r="AO315" s="14"/>
    </row>
    <row r="316" spans="1:49">
      <c r="A316" s="544"/>
      <c r="B316" s="545"/>
      <c r="C316" s="544"/>
      <c r="D316" s="545"/>
      <c r="E316" s="544"/>
      <c r="F316" s="2496" t="s">
        <v>1975</v>
      </c>
      <c r="G316" s="2497"/>
      <c r="H316" s="2497"/>
      <c r="I316" s="2497"/>
      <c r="J316" s="2497"/>
      <c r="K316" s="2497"/>
      <c r="L316" s="2497"/>
      <c r="M316" s="2497"/>
      <c r="N316" s="2497"/>
      <c r="O316" s="2497"/>
      <c r="P316" s="2497"/>
      <c r="Q316" s="2497"/>
      <c r="R316" s="2497"/>
      <c r="S316" s="2497"/>
      <c r="T316" s="2497"/>
      <c r="U316" s="2497"/>
      <c r="V316" s="2497"/>
      <c r="W316" s="2497"/>
      <c r="X316" s="2497"/>
      <c r="Y316" s="2497"/>
      <c r="Z316" s="2497"/>
      <c r="AA316" s="2497"/>
      <c r="AB316" s="2497"/>
      <c r="AC316" s="2497"/>
      <c r="AD316" s="2498"/>
      <c r="AE316" s="545"/>
      <c r="AF316" s="545"/>
      <c r="AG316" s="545"/>
      <c r="AH316" s="545"/>
      <c r="AI316" s="545"/>
      <c r="AJ316" s="544"/>
      <c r="AK316" s="544"/>
      <c r="AL316" s="544"/>
      <c r="AM316" s="544"/>
      <c r="AR316" s="639"/>
    </row>
    <row r="317" spans="1:49" ht="15" customHeight="1">
      <c r="A317" s="544"/>
      <c r="B317" s="545"/>
      <c r="C317" s="544"/>
      <c r="D317" s="545"/>
      <c r="E317" s="544"/>
      <c r="F317" s="2496"/>
      <c r="G317" s="2497"/>
      <c r="H317" s="2497"/>
      <c r="I317" s="2497"/>
      <c r="J317" s="2497"/>
      <c r="K317" s="2497"/>
      <c r="L317" s="2497"/>
      <c r="M317" s="2497"/>
      <c r="N317" s="2497"/>
      <c r="O317" s="2497"/>
      <c r="P317" s="2497"/>
      <c r="Q317" s="2497"/>
      <c r="R317" s="2497"/>
      <c r="S317" s="2497"/>
      <c r="T317" s="2497"/>
      <c r="U317" s="2497"/>
      <c r="V317" s="2497"/>
      <c r="W317" s="2497"/>
      <c r="X317" s="2497"/>
      <c r="Y317" s="2497"/>
      <c r="Z317" s="2497"/>
      <c r="AA317" s="2497"/>
      <c r="AB317" s="2497"/>
      <c r="AC317" s="2497"/>
      <c r="AD317" s="2498"/>
      <c r="AE317" s="545"/>
      <c r="AF317" s="545"/>
      <c r="AG317" s="545"/>
      <c r="AH317" s="545"/>
      <c r="AI317" s="545"/>
      <c r="AJ317" s="544"/>
      <c r="AK317" s="544"/>
      <c r="AL317" s="544"/>
      <c r="AM317" s="544"/>
      <c r="AR317" s="639"/>
    </row>
    <row r="318" spans="1:49">
      <c r="A318" s="544"/>
      <c r="B318" s="545"/>
      <c r="C318" s="544"/>
      <c r="D318" s="545"/>
      <c r="E318" s="544"/>
      <c r="F318" s="2496"/>
      <c r="G318" s="2497"/>
      <c r="H318" s="2497"/>
      <c r="I318" s="2497"/>
      <c r="J318" s="2497"/>
      <c r="K318" s="2497"/>
      <c r="L318" s="2497"/>
      <c r="M318" s="2497"/>
      <c r="N318" s="2497"/>
      <c r="O318" s="2497"/>
      <c r="P318" s="2497"/>
      <c r="Q318" s="2497"/>
      <c r="R318" s="2497"/>
      <c r="S318" s="2497"/>
      <c r="T318" s="2497"/>
      <c r="U318" s="2497"/>
      <c r="V318" s="2497"/>
      <c r="W318" s="2497"/>
      <c r="X318" s="2497"/>
      <c r="Y318" s="2497"/>
      <c r="Z318" s="2497"/>
      <c r="AA318" s="2497"/>
      <c r="AB318" s="2497"/>
      <c r="AC318" s="2497"/>
      <c r="AD318" s="2498"/>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99"/>
      <c r="G319" s="2500"/>
      <c r="H319" s="2500"/>
      <c r="I319" s="2500"/>
      <c r="J319" s="2500"/>
      <c r="K319" s="2500"/>
      <c r="L319" s="2500"/>
      <c r="M319" s="2500"/>
      <c r="N319" s="2500"/>
      <c r="O319" s="2500"/>
      <c r="P319" s="2500"/>
      <c r="Q319" s="2500"/>
      <c r="R319" s="2500"/>
      <c r="S319" s="2500"/>
      <c r="T319" s="2500"/>
      <c r="U319" s="2500"/>
      <c r="V319" s="2500"/>
      <c r="W319" s="2500"/>
      <c r="X319" s="2500"/>
      <c r="Y319" s="2500"/>
      <c r="Z319" s="2500"/>
      <c r="AA319" s="2500"/>
      <c r="AB319" s="2500"/>
      <c r="AC319" s="2500"/>
      <c r="AD319" s="2501"/>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633" t="s">
        <v>1378</v>
      </c>
      <c r="B323" s="1633"/>
      <c r="C323" s="2502" t="s">
        <v>589</v>
      </c>
      <c r="D323" s="2502"/>
      <c r="E323" s="541"/>
      <c r="F323" s="637" t="s">
        <v>1376</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1377</v>
      </c>
      <c r="AH323" s="545"/>
      <c r="AI323" s="545"/>
      <c r="AJ323" s="544"/>
      <c r="AK323" s="544"/>
      <c r="AL323" s="544"/>
      <c r="AM323" s="544"/>
      <c r="AN323" s="73"/>
      <c r="AO323" s="14"/>
    </row>
    <row r="324" spans="1:44" hidden="1">
      <c r="A324" s="89"/>
      <c r="B324" s="89"/>
      <c r="C324" s="721"/>
      <c r="D324" s="721"/>
      <c r="E324" s="541"/>
      <c r="F324" s="2496" t="s">
        <v>1980</v>
      </c>
      <c r="G324" s="2497"/>
      <c r="H324" s="2497"/>
      <c r="I324" s="2497"/>
      <c r="J324" s="2497"/>
      <c r="K324" s="2497"/>
      <c r="L324" s="2497"/>
      <c r="M324" s="2497"/>
      <c r="N324" s="2497"/>
      <c r="O324" s="2497"/>
      <c r="P324" s="2497"/>
      <c r="Q324" s="2497"/>
      <c r="R324" s="2497"/>
      <c r="S324" s="2497"/>
      <c r="T324" s="2497"/>
      <c r="U324" s="2497"/>
      <c r="V324" s="2497"/>
      <c r="W324" s="2497"/>
      <c r="X324" s="2497"/>
      <c r="Y324" s="2497"/>
      <c r="Z324" s="2497"/>
      <c r="AA324" s="2497"/>
      <c r="AB324" s="2497"/>
      <c r="AC324" s="2497"/>
      <c r="AD324" s="2498"/>
      <c r="AE324" s="545"/>
      <c r="AF324" s="545"/>
      <c r="AG324" s="535"/>
      <c r="AH324" s="545"/>
      <c r="AI324" s="545"/>
      <c r="AJ324" s="544"/>
      <c r="AK324" s="544"/>
      <c r="AL324" s="544"/>
      <c r="AM324" s="544"/>
      <c r="AN324" s="73"/>
      <c r="AO324" s="14"/>
      <c r="AP324" s="550" t="s">
        <v>1181</v>
      </c>
    </row>
    <row r="325" spans="1:44" hidden="1">
      <c r="F325" s="2496"/>
      <c r="G325" s="2497"/>
      <c r="H325" s="2497"/>
      <c r="I325" s="2497"/>
      <c r="J325" s="2497"/>
      <c r="K325" s="2497"/>
      <c r="L325" s="2497"/>
      <c r="M325" s="2497"/>
      <c r="N325" s="2497"/>
      <c r="O325" s="2497"/>
      <c r="P325" s="2497"/>
      <c r="Q325" s="2497"/>
      <c r="R325" s="2497"/>
      <c r="S325" s="2497"/>
      <c r="T325" s="2497"/>
      <c r="U325" s="2497"/>
      <c r="V325" s="2497"/>
      <c r="W325" s="2497"/>
      <c r="X325" s="2497"/>
      <c r="Y325" s="2497"/>
      <c r="Z325" s="2497"/>
      <c r="AA325" s="2497"/>
      <c r="AB325" s="2497"/>
      <c r="AC325" s="2497"/>
      <c r="AD325" s="2498"/>
      <c r="AE325" s="545"/>
      <c r="AF325" s="545"/>
      <c r="AH325" s="545"/>
      <c r="AI325" s="545"/>
      <c r="AJ325" s="544"/>
      <c r="AK325" s="544"/>
      <c r="AL325" s="544"/>
      <c r="AM325" s="544"/>
      <c r="AN325" s="73"/>
      <c r="AO325" s="14"/>
      <c r="AP325" s="550" t="s">
        <v>1715</v>
      </c>
    </row>
    <row r="326" spans="1:44" hidden="1">
      <c r="A326" s="544"/>
      <c r="B326" s="545"/>
      <c r="C326" s="721"/>
      <c r="D326" s="721"/>
      <c r="E326" s="541"/>
      <c r="F326" s="643" t="s">
        <v>1379</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1717</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1823</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31" t="s">
        <v>1181</v>
      </c>
      <c r="G329" s="2532"/>
      <c r="H329" s="2532"/>
      <c r="I329" s="2532"/>
      <c r="J329" s="2532"/>
      <c r="K329" s="2532"/>
      <c r="L329" s="2532"/>
      <c r="M329" s="2532"/>
      <c r="N329" s="2532"/>
      <c r="O329" s="2532"/>
      <c r="P329" s="2532"/>
      <c r="Q329" s="2532"/>
      <c r="R329" s="2532"/>
      <c r="S329" s="2532"/>
      <c r="T329" s="2532"/>
      <c r="U329" s="2532"/>
      <c r="V329" s="2532"/>
      <c r="W329" s="2532"/>
      <c r="X329" s="2532"/>
      <c r="Y329" s="2532"/>
      <c r="Z329" s="2532"/>
      <c r="AA329" s="2532"/>
      <c r="AB329" s="2532"/>
      <c r="AC329" s="2532"/>
      <c r="AD329" s="2533"/>
      <c r="AE329" s="635"/>
      <c r="AF329" s="635"/>
      <c r="AG329" s="635"/>
      <c r="AH329" s="635"/>
      <c r="AI329" s="635"/>
      <c r="AJ329" s="635"/>
      <c r="AK329" s="635"/>
      <c r="AL329" s="544"/>
      <c r="AM329" s="544"/>
      <c r="AN329" s="73"/>
      <c r="AO329" s="14"/>
      <c r="AP329" s="30"/>
    </row>
    <row r="330" spans="1:44" hidden="1">
      <c r="A330" s="544"/>
      <c r="B330" s="545"/>
      <c r="C330" s="721"/>
      <c r="D330" s="721"/>
      <c r="E330" s="541"/>
      <c r="F330" s="2531"/>
      <c r="G330" s="2532"/>
      <c r="H330" s="2532"/>
      <c r="I330" s="2532"/>
      <c r="J330" s="2532"/>
      <c r="K330" s="2532"/>
      <c r="L330" s="2532"/>
      <c r="M330" s="2532"/>
      <c r="N330" s="2532"/>
      <c r="O330" s="2532"/>
      <c r="P330" s="2532"/>
      <c r="Q330" s="2532"/>
      <c r="R330" s="2532"/>
      <c r="S330" s="2532"/>
      <c r="T330" s="2532"/>
      <c r="U330" s="2532"/>
      <c r="V330" s="2532"/>
      <c r="W330" s="2532"/>
      <c r="X330" s="2532"/>
      <c r="Y330" s="2532"/>
      <c r="Z330" s="2532"/>
      <c r="AA330" s="2532"/>
      <c r="AB330" s="2532"/>
      <c r="AC330" s="2532"/>
      <c r="AD330" s="2533"/>
      <c r="AE330" s="545"/>
      <c r="AF330" s="545"/>
      <c r="AG330" s="535"/>
      <c r="AH330" s="545"/>
      <c r="AI330" s="545"/>
      <c r="AJ330" s="544"/>
      <c r="AK330" s="544"/>
      <c r="AL330" s="544"/>
      <c r="AM330" s="544"/>
      <c r="AN330" s="73"/>
      <c r="AO330" s="14"/>
      <c r="AP330" s="30"/>
    </row>
    <row r="331" spans="1:44" hidden="1">
      <c r="A331" s="544"/>
      <c r="B331" s="545"/>
      <c r="C331" s="721"/>
      <c r="D331" s="721"/>
      <c r="E331" s="541"/>
      <c r="F331" s="2531"/>
      <c r="G331" s="2532"/>
      <c r="H331" s="2532"/>
      <c r="I331" s="2532"/>
      <c r="J331" s="2532"/>
      <c r="K331" s="2532"/>
      <c r="L331" s="2532"/>
      <c r="M331" s="2532"/>
      <c r="N331" s="2532"/>
      <c r="O331" s="2532"/>
      <c r="P331" s="2532"/>
      <c r="Q331" s="2532"/>
      <c r="R331" s="2532"/>
      <c r="S331" s="2532"/>
      <c r="T331" s="2532"/>
      <c r="U331" s="2532"/>
      <c r="V331" s="2532"/>
      <c r="W331" s="2532"/>
      <c r="X331" s="2532"/>
      <c r="Y331" s="2532"/>
      <c r="Z331" s="2532"/>
      <c r="AA331" s="2532"/>
      <c r="AB331" s="2532"/>
      <c r="AC331" s="2532"/>
      <c r="AD331" s="2533"/>
      <c r="AE331" s="545"/>
      <c r="AF331" s="545"/>
      <c r="AG331" s="535"/>
      <c r="AH331" s="545"/>
      <c r="AI331" s="545"/>
      <c r="AJ331" s="544"/>
      <c r="AK331" s="544"/>
      <c r="AL331" s="544"/>
      <c r="AM331" s="544"/>
      <c r="AN331" s="73"/>
      <c r="AO331" s="14"/>
      <c r="AP331" s="30"/>
    </row>
    <row r="332" spans="1:44" hidden="1">
      <c r="A332" s="544"/>
      <c r="B332" s="545"/>
      <c r="C332" s="721"/>
      <c r="D332" s="721"/>
      <c r="E332" s="541"/>
      <c r="F332" s="2531"/>
      <c r="G332" s="2532"/>
      <c r="H332" s="2532"/>
      <c r="I332" s="2532"/>
      <c r="J332" s="2532"/>
      <c r="K332" s="2532"/>
      <c r="L332" s="2532"/>
      <c r="M332" s="2532"/>
      <c r="N332" s="2532"/>
      <c r="O332" s="2532"/>
      <c r="P332" s="2532"/>
      <c r="Q332" s="2532"/>
      <c r="R332" s="2532"/>
      <c r="S332" s="2532"/>
      <c r="T332" s="2532"/>
      <c r="U332" s="2532"/>
      <c r="V332" s="2532"/>
      <c r="W332" s="2532"/>
      <c r="X332" s="2532"/>
      <c r="Y332" s="2532"/>
      <c r="Z332" s="2532"/>
      <c r="AA332" s="2532"/>
      <c r="AB332" s="2532"/>
      <c r="AC332" s="2532"/>
      <c r="AD332" s="2533"/>
      <c r="AE332" s="545"/>
      <c r="AF332" s="545"/>
      <c r="AG332" s="535"/>
      <c r="AH332" s="545"/>
      <c r="AI332" s="545"/>
      <c r="AJ332" s="544"/>
      <c r="AK332" s="544"/>
      <c r="AL332" s="544"/>
      <c r="AM332" s="544"/>
      <c r="AN332" s="73"/>
      <c r="AO332" s="14"/>
      <c r="AP332" s="30"/>
    </row>
    <row r="333" spans="1:44" hidden="1">
      <c r="A333" s="544"/>
      <c r="B333" s="545"/>
      <c r="C333" s="721"/>
      <c r="D333" s="721"/>
      <c r="E333" s="541"/>
      <c r="F333" s="2534"/>
      <c r="G333" s="2535"/>
      <c r="H333" s="2535"/>
      <c r="I333" s="2535"/>
      <c r="J333" s="2535"/>
      <c r="K333" s="2535"/>
      <c r="L333" s="2535"/>
      <c r="M333" s="2535"/>
      <c r="N333" s="2535"/>
      <c r="O333" s="2535"/>
      <c r="P333" s="2535"/>
      <c r="Q333" s="2535"/>
      <c r="R333" s="2535"/>
      <c r="S333" s="2535"/>
      <c r="T333" s="2535"/>
      <c r="U333" s="2535"/>
      <c r="V333" s="2535"/>
      <c r="W333" s="2535"/>
      <c r="X333" s="2535"/>
      <c r="Y333" s="2535"/>
      <c r="Z333" s="2535"/>
      <c r="AA333" s="2535"/>
      <c r="AB333" s="2535"/>
      <c r="AC333" s="2535"/>
      <c r="AD333" s="2536"/>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1716</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1181</v>
      </c>
    </row>
    <row r="337" spans="1:42" ht="12.75" hidden="1" customHeight="1">
      <c r="A337" s="544"/>
      <c r="B337" s="545"/>
      <c r="C337" s="721"/>
      <c r="D337" s="721"/>
      <c r="E337" s="541"/>
      <c r="F337" s="647"/>
      <c r="G337" s="568" t="s">
        <v>685</v>
      </c>
      <c r="H337" s="568"/>
      <c r="I337" s="2537" t="s">
        <v>1181</v>
      </c>
      <c r="J337" s="2537"/>
      <c r="K337" s="2537"/>
      <c r="L337" s="2537"/>
      <c r="M337" s="2537"/>
      <c r="N337" s="2537"/>
      <c r="O337" s="2537"/>
      <c r="P337" s="2537"/>
      <c r="Q337" s="2537"/>
      <c r="R337" s="2537"/>
      <c r="S337" s="2537"/>
      <c r="T337" s="2537"/>
      <c r="U337" s="2537"/>
      <c r="V337" s="2537"/>
      <c r="W337" s="2537"/>
      <c r="X337" s="2537"/>
      <c r="Y337" s="2537"/>
      <c r="Z337" s="2537"/>
      <c r="AA337" s="2537"/>
      <c r="AB337" s="2537"/>
      <c r="AC337" s="2537"/>
      <c r="AD337" s="2538"/>
      <c r="AE337" s="545"/>
      <c r="AF337" s="545"/>
      <c r="AG337" s="535"/>
      <c r="AH337" s="545"/>
      <c r="AI337" s="545"/>
      <c r="AJ337" s="544"/>
      <c r="AK337" s="544"/>
      <c r="AL337" s="544"/>
      <c r="AM337" s="544"/>
      <c r="AN337" s="73"/>
      <c r="AO337" s="14"/>
      <c r="AP337" s="550" t="s">
        <v>1623</v>
      </c>
    </row>
    <row r="338" spans="1:42" hidden="1">
      <c r="A338" s="544"/>
      <c r="B338" s="545"/>
      <c r="C338" s="721"/>
      <c r="D338" s="721"/>
      <c r="E338" s="541"/>
      <c r="F338" s="647"/>
      <c r="G338" s="568"/>
      <c r="H338" s="568"/>
      <c r="I338" s="2537"/>
      <c r="J338" s="2537"/>
      <c r="K338" s="2537"/>
      <c r="L338" s="2537"/>
      <c r="M338" s="2537"/>
      <c r="N338" s="2537"/>
      <c r="O338" s="2537"/>
      <c r="P338" s="2537"/>
      <c r="Q338" s="2537"/>
      <c r="R338" s="2537"/>
      <c r="S338" s="2537"/>
      <c r="T338" s="2537"/>
      <c r="U338" s="2537"/>
      <c r="V338" s="2537"/>
      <c r="W338" s="2537"/>
      <c r="X338" s="2537"/>
      <c r="Y338" s="2537"/>
      <c r="Z338" s="2537"/>
      <c r="AA338" s="2537"/>
      <c r="AB338" s="2537"/>
      <c r="AC338" s="2537"/>
      <c r="AD338" s="2538"/>
      <c r="AE338" s="545"/>
      <c r="AF338" s="545"/>
      <c r="AG338" s="535"/>
      <c r="AH338" s="545"/>
      <c r="AI338" s="545"/>
      <c r="AJ338" s="544"/>
      <c r="AK338" s="544"/>
      <c r="AL338" s="544"/>
      <c r="AM338" s="544"/>
      <c r="AN338" s="73"/>
      <c r="AO338" s="14"/>
      <c r="AP338" s="550" t="s">
        <v>1718</v>
      </c>
    </row>
    <row r="339" spans="1:42" hidden="1">
      <c r="A339" s="544"/>
      <c r="B339" s="545"/>
      <c r="C339" s="642"/>
      <c r="D339" s="642"/>
      <c r="E339" s="541"/>
      <c r="F339" s="647"/>
      <c r="G339" s="568"/>
      <c r="H339" s="568"/>
      <c r="I339" s="2537"/>
      <c r="J339" s="2537"/>
      <c r="K339" s="2537"/>
      <c r="L339" s="2537"/>
      <c r="M339" s="2537"/>
      <c r="N339" s="2537"/>
      <c r="O339" s="2537"/>
      <c r="P339" s="2537"/>
      <c r="Q339" s="2537"/>
      <c r="R339" s="2537"/>
      <c r="S339" s="2537"/>
      <c r="T339" s="2537"/>
      <c r="U339" s="2537"/>
      <c r="V339" s="2537"/>
      <c r="W339" s="2537"/>
      <c r="X339" s="2537"/>
      <c r="Y339" s="2537"/>
      <c r="Z339" s="2537"/>
      <c r="AA339" s="2537"/>
      <c r="AB339" s="2537"/>
      <c r="AC339" s="2537"/>
      <c r="AD339" s="2538"/>
      <c r="AE339" s="545"/>
      <c r="AF339" s="545"/>
      <c r="AG339" s="535"/>
      <c r="AH339" s="545"/>
      <c r="AI339" s="545"/>
      <c r="AJ339" s="544"/>
      <c r="AK339" s="544"/>
      <c r="AL339" s="544"/>
      <c r="AM339" s="544"/>
      <c r="AN339" s="73"/>
      <c r="AO339" s="14"/>
      <c r="AP339" s="550" t="s">
        <v>1720</v>
      </c>
    </row>
    <row r="340" spans="1:42" hidden="1">
      <c r="A340" s="544"/>
      <c r="B340" s="545"/>
      <c r="C340" s="642"/>
      <c r="D340" s="642"/>
      <c r="E340" s="541"/>
      <c r="F340" s="645"/>
      <c r="G340" s="545"/>
      <c r="H340" s="545"/>
      <c r="I340" s="2539"/>
      <c r="J340" s="2539"/>
      <c r="K340" s="2539"/>
      <c r="L340" s="2539"/>
      <c r="M340" s="2539"/>
      <c r="N340" s="2539"/>
      <c r="O340" s="2539"/>
      <c r="P340" s="2539"/>
      <c r="Q340" s="2539"/>
      <c r="R340" s="2539"/>
      <c r="S340" s="2539"/>
      <c r="T340" s="2539"/>
      <c r="U340" s="2539"/>
      <c r="V340" s="2539"/>
      <c r="W340" s="2539"/>
      <c r="X340" s="2539"/>
      <c r="Y340" s="2539"/>
      <c r="Z340" s="2539"/>
      <c r="AA340" s="2539"/>
      <c r="AB340" s="2539"/>
      <c r="AC340" s="2539"/>
      <c r="AD340" s="2540"/>
      <c r="AE340" s="545"/>
      <c r="AF340" s="545"/>
      <c r="AG340" s="535"/>
      <c r="AH340" s="545"/>
      <c r="AI340" s="545"/>
      <c r="AJ340" s="544"/>
      <c r="AK340" s="544"/>
      <c r="AL340" s="544"/>
      <c r="AM340" s="544"/>
      <c r="AN340" s="73"/>
      <c r="AO340" s="14"/>
      <c r="AP340" s="550" t="s">
        <v>1719</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507</v>
      </c>
      <c r="H342" s="545"/>
      <c r="I342" s="2537" t="s">
        <v>1181</v>
      </c>
      <c r="J342" s="2537"/>
      <c r="K342" s="2537"/>
      <c r="L342" s="2537"/>
      <c r="M342" s="2537"/>
      <c r="N342" s="2537"/>
      <c r="O342" s="2537"/>
      <c r="P342" s="2537"/>
      <c r="Q342" s="2537"/>
      <c r="R342" s="2537"/>
      <c r="S342" s="2537"/>
      <c r="T342" s="2537"/>
      <c r="U342" s="2537"/>
      <c r="V342" s="2537"/>
      <c r="W342" s="2537"/>
      <c r="X342" s="2537"/>
      <c r="Y342" s="2537"/>
      <c r="Z342" s="2537"/>
      <c r="AA342" s="2537"/>
      <c r="AB342" s="2537"/>
      <c r="AC342" s="2537"/>
      <c r="AD342" s="2538"/>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37"/>
      <c r="J343" s="2537"/>
      <c r="K343" s="2537"/>
      <c r="L343" s="2537"/>
      <c r="M343" s="2537"/>
      <c r="N343" s="2537"/>
      <c r="O343" s="2537"/>
      <c r="P343" s="2537"/>
      <c r="Q343" s="2537"/>
      <c r="R343" s="2537"/>
      <c r="S343" s="2537"/>
      <c r="T343" s="2537"/>
      <c r="U343" s="2537"/>
      <c r="V343" s="2537"/>
      <c r="W343" s="2537"/>
      <c r="X343" s="2537"/>
      <c r="Y343" s="2537"/>
      <c r="Z343" s="2537"/>
      <c r="AA343" s="2537"/>
      <c r="AB343" s="2537"/>
      <c r="AC343" s="2537"/>
      <c r="AD343" s="2538"/>
      <c r="AE343" s="545"/>
      <c r="AF343" s="545"/>
      <c r="AG343" s="535"/>
      <c r="AH343" s="545"/>
      <c r="AI343" s="545"/>
      <c r="AJ343" s="544"/>
      <c r="AK343" s="544"/>
      <c r="AL343" s="544"/>
      <c r="AM343" s="544"/>
      <c r="AN343" s="73"/>
      <c r="AO343" s="14"/>
      <c r="AP343" s="550" t="s">
        <v>1181</v>
      </c>
    </row>
    <row r="344" spans="1:42" hidden="1">
      <c r="A344" s="544"/>
      <c r="B344" s="545"/>
      <c r="C344" s="642"/>
      <c r="D344" s="642"/>
      <c r="E344" s="541"/>
      <c r="F344" s="648"/>
      <c r="G344" s="649"/>
      <c r="H344" s="649"/>
      <c r="I344" s="2539"/>
      <c r="J344" s="2539"/>
      <c r="K344" s="2539"/>
      <c r="L344" s="2539"/>
      <c r="M344" s="2539"/>
      <c r="N344" s="2539"/>
      <c r="O344" s="2539"/>
      <c r="P344" s="2539"/>
      <c r="Q344" s="2539"/>
      <c r="R344" s="2539"/>
      <c r="S344" s="2539"/>
      <c r="T344" s="2539"/>
      <c r="U344" s="2539"/>
      <c r="V344" s="2539"/>
      <c r="W344" s="2539"/>
      <c r="X344" s="2539"/>
      <c r="Y344" s="2539"/>
      <c r="Z344" s="2539"/>
      <c r="AA344" s="2539"/>
      <c r="AB344" s="2539"/>
      <c r="AC344" s="2539"/>
      <c r="AD344" s="2540"/>
      <c r="AE344" s="545"/>
      <c r="AF344" s="545"/>
      <c r="AG344" s="535"/>
      <c r="AH344" s="545"/>
      <c r="AI344" s="545"/>
      <c r="AJ344" s="544"/>
      <c r="AK344" s="544"/>
      <c r="AL344" s="544"/>
      <c r="AM344" s="544"/>
      <c r="AN344" s="73"/>
      <c r="AO344" s="14"/>
      <c r="AP344" s="550" t="s">
        <v>1380</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1624</v>
      </c>
    </row>
    <row r="346" spans="1:42" ht="12.75" hidden="1" customHeight="1">
      <c r="A346" s="1633" t="s">
        <v>1381</v>
      </c>
      <c r="B346" s="1633"/>
      <c r="C346" s="2502" t="s">
        <v>589</v>
      </c>
      <c r="D346" s="2502"/>
      <c r="E346" s="541"/>
      <c r="F346" s="2435" t="s">
        <v>1981</v>
      </c>
      <c r="G346" s="2436"/>
      <c r="H346" s="2436"/>
      <c r="I346" s="2436"/>
      <c r="J346" s="2436"/>
      <c r="K346" s="2436"/>
      <c r="L346" s="2436"/>
      <c r="M346" s="2436"/>
      <c r="N346" s="2436"/>
      <c r="O346" s="2436"/>
      <c r="P346" s="2436"/>
      <c r="Q346" s="2436"/>
      <c r="R346" s="2436"/>
      <c r="S346" s="2436"/>
      <c r="T346" s="2436"/>
      <c r="U346" s="2436"/>
      <c r="V346" s="2436"/>
      <c r="W346" s="2436"/>
      <c r="X346" s="2436"/>
      <c r="Y346" s="2436"/>
      <c r="Z346" s="2436"/>
      <c r="AA346" s="2436"/>
      <c r="AB346" s="2436"/>
      <c r="AC346" s="2436"/>
      <c r="AD346" s="2437"/>
      <c r="AE346" s="545"/>
      <c r="AF346" s="545"/>
      <c r="AG346" s="535" t="s">
        <v>1377</v>
      </c>
      <c r="AH346" s="545"/>
      <c r="AI346" s="545"/>
      <c r="AJ346" s="544"/>
      <c r="AK346" s="544"/>
      <c r="AL346" s="544"/>
      <c r="AM346" s="544"/>
      <c r="AN346" s="73"/>
      <c r="AO346" s="14"/>
    </row>
    <row r="347" spans="1:42" ht="15" hidden="1" customHeight="1">
      <c r="A347" s="544"/>
      <c r="B347" s="545"/>
      <c r="C347" s="545"/>
      <c r="D347" s="545"/>
      <c r="E347" s="545"/>
      <c r="F347" s="2464"/>
      <c r="G347" s="2465"/>
      <c r="H347" s="2465"/>
      <c r="I347" s="2465"/>
      <c r="J347" s="2465"/>
      <c r="K347" s="2465"/>
      <c r="L347" s="2465"/>
      <c r="M347" s="2465"/>
      <c r="N347" s="2465"/>
      <c r="O347" s="2465"/>
      <c r="P347" s="2465"/>
      <c r="Q347" s="2465"/>
      <c r="R347" s="2465"/>
      <c r="S347" s="2465"/>
      <c r="T347" s="2465"/>
      <c r="U347" s="2465"/>
      <c r="V347" s="2465"/>
      <c r="W347" s="2465"/>
      <c r="X347" s="2465"/>
      <c r="Y347" s="2465"/>
      <c r="Z347" s="2465"/>
      <c r="AA347" s="2465"/>
      <c r="AB347" s="2465"/>
      <c r="AC347" s="2465"/>
      <c r="AD347" s="2466"/>
      <c r="AE347" s="545"/>
      <c r="AF347" s="545"/>
      <c r="AG347" s="545"/>
      <c r="AH347" s="545"/>
      <c r="AI347" s="545"/>
      <c r="AJ347" s="544"/>
      <c r="AK347" s="544"/>
      <c r="AL347" s="544"/>
      <c r="AM347" s="544"/>
      <c r="AN347" s="73"/>
      <c r="AO347" s="14"/>
    </row>
    <row r="348" spans="1:42" ht="15" hidden="1" customHeight="1">
      <c r="A348" s="544"/>
      <c r="B348" s="545"/>
      <c r="C348" s="545"/>
      <c r="D348" s="545"/>
      <c r="E348" s="545"/>
      <c r="F348" s="2464"/>
      <c r="G348" s="2465"/>
      <c r="H348" s="2465"/>
      <c r="I348" s="2465"/>
      <c r="J348" s="2465"/>
      <c r="K348" s="2465"/>
      <c r="L348" s="2465"/>
      <c r="M348" s="2465"/>
      <c r="N348" s="2465"/>
      <c r="O348" s="2465"/>
      <c r="P348" s="2465"/>
      <c r="Q348" s="2465"/>
      <c r="R348" s="2465"/>
      <c r="S348" s="2465"/>
      <c r="T348" s="2465"/>
      <c r="U348" s="2465"/>
      <c r="V348" s="2465"/>
      <c r="W348" s="2465"/>
      <c r="X348" s="2465"/>
      <c r="Y348" s="2465"/>
      <c r="Z348" s="2465"/>
      <c r="AA348" s="2465"/>
      <c r="AB348" s="2465"/>
      <c r="AC348" s="2465"/>
      <c r="AD348" s="2466"/>
      <c r="AE348" s="545"/>
      <c r="AF348" s="545"/>
      <c r="AG348" s="545"/>
      <c r="AH348" s="545"/>
      <c r="AI348" s="545"/>
      <c r="AJ348" s="544"/>
      <c r="AK348" s="544"/>
      <c r="AL348" s="544"/>
      <c r="AM348" s="650"/>
      <c r="AN348" s="14"/>
      <c r="AO348" s="14"/>
    </row>
    <row r="349" spans="1:42" hidden="1">
      <c r="A349" s="544"/>
      <c r="B349" s="545"/>
      <c r="C349" s="544"/>
      <c r="D349" s="545"/>
      <c r="E349" s="544"/>
      <c r="F349" s="651" t="s">
        <v>1382</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2590</v>
      </c>
      <c r="AK351" s="2505">
        <f>IF(NOT(OR(Application!M364="Yes",Application!M365="Yes")),0,AP308)</f>
        <v>10</v>
      </c>
      <c r="AL351" s="2506"/>
      <c r="AM351" s="2507"/>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1370</v>
      </c>
      <c r="B354" s="535" t="s">
        <v>843</v>
      </c>
      <c r="C354" s="532"/>
      <c r="AC354" s="535"/>
      <c r="AE354" s="2447" t="s">
        <v>1305</v>
      </c>
      <c r="AF354" s="2447"/>
      <c r="AG354" s="2447"/>
      <c r="AH354" s="2447"/>
      <c r="AI354" s="2447"/>
      <c r="AJ354" s="2447"/>
      <c r="AK354" s="2447"/>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541" t="s">
        <v>1442</v>
      </c>
      <c r="D356" s="2541"/>
      <c r="E356" s="2541"/>
      <c r="F356" s="2541"/>
      <c r="G356" s="2541"/>
      <c r="H356" s="2541"/>
      <c r="I356" s="2541"/>
      <c r="J356" s="2541"/>
      <c r="K356" s="2541"/>
      <c r="L356" s="2541"/>
      <c r="M356" s="2541"/>
      <c r="N356" s="2541"/>
      <c r="O356" s="2541"/>
      <c r="P356" s="2541"/>
      <c r="Q356" s="2541"/>
      <c r="R356" s="2541"/>
      <c r="S356" s="2541"/>
      <c r="T356" s="2541"/>
      <c r="U356" s="2541"/>
      <c r="V356" s="2541"/>
      <c r="W356" s="2541"/>
      <c r="X356" s="2541"/>
      <c r="Y356" s="2541"/>
      <c r="Z356" s="2541"/>
      <c r="AA356" s="2541"/>
      <c r="AB356" s="2541"/>
      <c r="AC356" s="2541"/>
      <c r="AD356" s="2541"/>
      <c r="AE356" s="2541"/>
      <c r="AF356" s="2541"/>
      <c r="AG356" s="2541"/>
      <c r="AH356" s="2541"/>
      <c r="AI356" s="2541"/>
      <c r="AJ356" s="2541"/>
      <c r="AK356" s="596"/>
      <c r="AL356" s="596"/>
      <c r="AM356" s="596"/>
      <c r="AN356" s="590"/>
    </row>
    <row r="357" spans="1:44" s="544" customFormat="1" ht="12.75" customHeight="1">
      <c r="A357" s="596"/>
      <c r="B357" s="604"/>
      <c r="C357" s="2541"/>
      <c r="D357" s="2541"/>
      <c r="E357" s="2541"/>
      <c r="F357" s="2541"/>
      <c r="G357" s="2541"/>
      <c r="H357" s="2541"/>
      <c r="I357" s="2541"/>
      <c r="J357" s="2541"/>
      <c r="K357" s="2541"/>
      <c r="L357" s="2541"/>
      <c r="M357" s="2541"/>
      <c r="N357" s="2541"/>
      <c r="O357" s="2541"/>
      <c r="P357" s="2541"/>
      <c r="Q357" s="2541"/>
      <c r="R357" s="2541"/>
      <c r="S357" s="2541"/>
      <c r="T357" s="2541"/>
      <c r="U357" s="2541"/>
      <c r="V357" s="2541"/>
      <c r="W357" s="2541"/>
      <c r="X357" s="2541"/>
      <c r="Y357" s="2541"/>
      <c r="Z357" s="2541"/>
      <c r="AA357" s="2541"/>
      <c r="AB357" s="2541"/>
      <c r="AC357" s="2541"/>
      <c r="AD357" s="2541"/>
      <c r="AE357" s="2541"/>
      <c r="AF357" s="2541"/>
      <c r="AG357" s="2541"/>
      <c r="AH357" s="2541"/>
      <c r="AI357" s="2541"/>
      <c r="AJ357" s="2541"/>
      <c r="AK357" s="596"/>
      <c r="AL357" s="596"/>
      <c r="AM357" s="596"/>
      <c r="AN357" s="590"/>
    </row>
    <row r="358" spans="1:44" s="544" customFormat="1" ht="12.75" customHeight="1">
      <c r="A358" s="596"/>
      <c r="B358" s="604"/>
      <c r="C358" s="2541"/>
      <c r="D358" s="2541"/>
      <c r="E358" s="2541"/>
      <c r="F358" s="2541"/>
      <c r="G358" s="2541"/>
      <c r="H358" s="2541"/>
      <c r="I358" s="2541"/>
      <c r="J358" s="2541"/>
      <c r="K358" s="2541"/>
      <c r="L358" s="2541"/>
      <c r="M358" s="2541"/>
      <c r="N358" s="2541"/>
      <c r="O358" s="2541"/>
      <c r="P358" s="2541"/>
      <c r="Q358" s="2541"/>
      <c r="R358" s="2541"/>
      <c r="S358" s="2541"/>
      <c r="T358" s="2541"/>
      <c r="U358" s="2541"/>
      <c r="V358" s="2541"/>
      <c r="W358" s="2541"/>
      <c r="X358" s="2541"/>
      <c r="Y358" s="2541"/>
      <c r="Z358" s="2541"/>
      <c r="AA358" s="2541"/>
      <c r="AB358" s="2541"/>
      <c r="AC358" s="2541"/>
      <c r="AD358" s="2541"/>
      <c r="AE358" s="2541"/>
      <c r="AF358" s="2541"/>
      <c r="AG358" s="2541"/>
      <c r="AH358" s="2541"/>
      <c r="AI358" s="2541"/>
      <c r="AJ358" s="2541"/>
      <c r="AK358" s="596"/>
      <c r="AL358" s="596"/>
      <c r="AM358" s="596"/>
      <c r="AN358" s="590"/>
      <c r="AQ358" s="563"/>
    </row>
    <row r="359" spans="1:44" s="544" customFormat="1" ht="12.75" customHeight="1">
      <c r="A359" s="596"/>
      <c r="B359" s="604"/>
      <c r="C359" s="2541"/>
      <c r="D359" s="2541"/>
      <c r="E359" s="2541"/>
      <c r="F359" s="2541"/>
      <c r="G359" s="2541"/>
      <c r="H359" s="2541"/>
      <c r="I359" s="2541"/>
      <c r="J359" s="2541"/>
      <c r="K359" s="2541"/>
      <c r="L359" s="2541"/>
      <c r="M359" s="2541"/>
      <c r="N359" s="2541"/>
      <c r="O359" s="2541"/>
      <c r="P359" s="2541"/>
      <c r="Q359" s="2541"/>
      <c r="R359" s="2541"/>
      <c r="S359" s="2541"/>
      <c r="T359" s="2541"/>
      <c r="U359" s="2541"/>
      <c r="V359" s="2541"/>
      <c r="W359" s="2541"/>
      <c r="X359" s="2541"/>
      <c r="Y359" s="2541"/>
      <c r="Z359" s="2541"/>
      <c r="AA359" s="2541"/>
      <c r="AB359" s="2541"/>
      <c r="AC359" s="2541"/>
      <c r="AD359" s="2541"/>
      <c r="AE359" s="2541"/>
      <c r="AF359" s="2541"/>
      <c r="AG359" s="2541"/>
      <c r="AH359" s="2541"/>
      <c r="AI359" s="2541"/>
      <c r="AJ359" s="2541"/>
      <c r="AK359" s="596"/>
      <c r="AL359" s="596"/>
      <c r="AM359" s="596"/>
      <c r="AN359" s="590"/>
      <c r="AQ359" s="563"/>
    </row>
    <row r="360" spans="1:44" s="544" customFormat="1" ht="12.6" customHeight="1">
      <c r="A360" s="596"/>
      <c r="B360" s="604"/>
      <c r="C360" s="2541"/>
      <c r="D360" s="2541"/>
      <c r="E360" s="2541"/>
      <c r="F360" s="2541"/>
      <c r="G360" s="2541"/>
      <c r="H360" s="2541"/>
      <c r="I360" s="2541"/>
      <c r="J360" s="2541"/>
      <c r="K360" s="2541"/>
      <c r="L360" s="2541"/>
      <c r="M360" s="2541"/>
      <c r="N360" s="2541"/>
      <c r="O360" s="2541"/>
      <c r="P360" s="2541"/>
      <c r="Q360" s="2541"/>
      <c r="R360" s="2541"/>
      <c r="S360" s="2541"/>
      <c r="T360" s="2541"/>
      <c r="U360" s="2541"/>
      <c r="V360" s="2541"/>
      <c r="W360" s="2541"/>
      <c r="X360" s="2541"/>
      <c r="Y360" s="2541"/>
      <c r="Z360" s="2541"/>
      <c r="AA360" s="2541"/>
      <c r="AB360" s="2541"/>
      <c r="AC360" s="2541"/>
      <c r="AD360" s="2541"/>
      <c r="AE360" s="2541"/>
      <c r="AF360" s="2541"/>
      <c r="AG360" s="2541"/>
      <c r="AH360" s="2541"/>
      <c r="AI360" s="2541"/>
      <c r="AJ360" s="2541"/>
      <c r="AK360" s="596"/>
      <c r="AL360" s="596"/>
      <c r="AM360" s="596"/>
      <c r="AN360" s="590"/>
      <c r="AQ360" s="563"/>
      <c r="AR360" s="563"/>
    </row>
    <row r="361" spans="1:44" s="544" customFormat="1" ht="45.75" customHeight="1">
      <c r="A361" s="596"/>
      <c r="B361" s="604"/>
      <c r="C361" s="2541" t="s">
        <v>2040</v>
      </c>
      <c r="D361" s="2541"/>
      <c r="E361" s="2541"/>
      <c r="F361" s="2541"/>
      <c r="G361" s="2541"/>
      <c r="H361" s="2541"/>
      <c r="I361" s="2541"/>
      <c r="J361" s="2541"/>
      <c r="K361" s="2541"/>
      <c r="L361" s="2541"/>
      <c r="M361" s="2541"/>
      <c r="N361" s="2541"/>
      <c r="O361" s="2541"/>
      <c r="P361" s="2541"/>
      <c r="Q361" s="2541"/>
      <c r="R361" s="2541"/>
      <c r="S361" s="2541"/>
      <c r="T361" s="2541"/>
      <c r="U361" s="2541"/>
      <c r="V361" s="2541"/>
      <c r="W361" s="2541"/>
      <c r="X361" s="2541"/>
      <c r="Y361" s="2541"/>
      <c r="Z361" s="2541"/>
      <c r="AA361" s="2541"/>
      <c r="AB361" s="2541"/>
      <c r="AC361" s="2541"/>
      <c r="AD361" s="2541"/>
      <c r="AE361" s="2541"/>
      <c r="AF361" s="2541"/>
      <c r="AG361" s="2541"/>
      <c r="AH361" s="2541"/>
      <c r="AI361" s="2541"/>
      <c r="AJ361" s="2541"/>
      <c r="AK361" s="596"/>
      <c r="AL361" s="596"/>
      <c r="AM361" s="596"/>
      <c r="AN361" s="590"/>
      <c r="AQ361" s="563"/>
      <c r="AR361" s="563"/>
    </row>
    <row r="362" spans="1:44" s="544" customFormat="1" ht="12.6"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541" t="s">
        <v>2154</v>
      </c>
      <c r="D363" s="2541"/>
      <c r="E363" s="2541"/>
      <c r="F363" s="2541"/>
      <c r="G363" s="2541"/>
      <c r="H363" s="2541"/>
      <c r="I363" s="2541"/>
      <c r="J363" s="2541"/>
      <c r="K363" s="2541"/>
      <c r="L363" s="2541"/>
      <c r="M363" s="2541"/>
      <c r="N363" s="2541"/>
      <c r="O363" s="2541"/>
      <c r="P363" s="2541"/>
      <c r="Q363" s="2541"/>
      <c r="R363" s="2541"/>
      <c r="S363" s="2541"/>
      <c r="T363" s="2541"/>
      <c r="U363" s="2541"/>
      <c r="V363" s="2541"/>
      <c r="W363" s="2541"/>
      <c r="X363" s="2541"/>
      <c r="Y363" s="2541"/>
      <c r="Z363" s="2541"/>
      <c r="AA363" s="2541"/>
      <c r="AB363" s="2541"/>
      <c r="AC363" s="2541"/>
      <c r="AD363" s="2541"/>
      <c r="AE363" s="2541"/>
      <c r="AF363" s="2541"/>
      <c r="AG363" s="2541"/>
      <c r="AH363" s="2541"/>
      <c r="AI363" s="2541"/>
      <c r="AJ363" s="2541"/>
      <c r="AK363" s="596"/>
      <c r="AL363" s="596"/>
      <c r="AM363" s="596"/>
      <c r="AN363" s="590"/>
      <c r="AQ363" s="563"/>
      <c r="AR363" s="563"/>
    </row>
    <row r="364" spans="1:44" s="544" customFormat="1" ht="30" customHeight="1">
      <c r="A364" s="596"/>
      <c r="B364" s="604"/>
      <c r="C364" s="2541"/>
      <c r="D364" s="2541"/>
      <c r="E364" s="2541"/>
      <c r="F364" s="2541"/>
      <c r="G364" s="2541"/>
      <c r="H364" s="2541"/>
      <c r="I364" s="2541"/>
      <c r="J364" s="2541"/>
      <c r="K364" s="2541"/>
      <c r="L364" s="2541"/>
      <c r="M364" s="2541"/>
      <c r="N364" s="2541"/>
      <c r="O364" s="2541"/>
      <c r="P364" s="2541"/>
      <c r="Q364" s="2541"/>
      <c r="R364" s="2541"/>
      <c r="S364" s="2541"/>
      <c r="T364" s="2541"/>
      <c r="U364" s="2541"/>
      <c r="V364" s="2541"/>
      <c r="W364" s="2541"/>
      <c r="X364" s="2541"/>
      <c r="Y364" s="2541"/>
      <c r="Z364" s="2541"/>
      <c r="AA364" s="2541"/>
      <c r="AB364" s="2541"/>
      <c r="AC364" s="2541"/>
      <c r="AD364" s="2541"/>
      <c r="AE364" s="2541"/>
      <c r="AF364" s="2541"/>
      <c r="AG364" s="2541"/>
      <c r="AH364" s="2541"/>
      <c r="AI364" s="2541"/>
      <c r="AJ364" s="2541"/>
      <c r="AK364" s="596"/>
      <c r="AL364" s="596"/>
      <c r="AM364" s="596"/>
      <c r="AN364" s="590"/>
      <c r="AR364" s="563"/>
    </row>
    <row r="365" spans="1:44" s="544" customFormat="1" ht="12.75" customHeight="1">
      <c r="A365" s="596"/>
      <c r="B365" s="604"/>
      <c r="C365" s="2541"/>
      <c r="D365" s="2541"/>
      <c r="E365" s="2541"/>
      <c r="F365" s="2541"/>
      <c r="G365" s="2541"/>
      <c r="H365" s="2541"/>
      <c r="I365" s="2541"/>
      <c r="J365" s="2541"/>
      <c r="K365" s="2541"/>
      <c r="L365" s="2541"/>
      <c r="M365" s="2541"/>
      <c r="N365" s="2541"/>
      <c r="O365" s="2541"/>
      <c r="P365" s="2541"/>
      <c r="Q365" s="2541"/>
      <c r="R365" s="2541"/>
      <c r="S365" s="2541"/>
      <c r="T365" s="2541"/>
      <c r="U365" s="2541"/>
      <c r="V365" s="2541"/>
      <c r="W365" s="2541"/>
      <c r="X365" s="2541"/>
      <c r="Y365" s="2541"/>
      <c r="Z365" s="2541"/>
      <c r="AA365" s="2541"/>
      <c r="AB365" s="2541"/>
      <c r="AC365" s="2541"/>
      <c r="AD365" s="2541"/>
      <c r="AE365" s="2541"/>
      <c r="AF365" s="2541"/>
      <c r="AG365" s="2541"/>
      <c r="AH365" s="2541"/>
      <c r="AI365" s="2541"/>
      <c r="AJ365" s="2541"/>
      <c r="AK365" s="596"/>
      <c r="AL365" s="596"/>
      <c r="AM365" s="596"/>
      <c r="AN365" s="590"/>
      <c r="AR365" s="563"/>
    </row>
    <row r="366" spans="1:44" s="544" customFormat="1" ht="12.75" customHeight="1">
      <c r="A366" s="596"/>
      <c r="B366" s="604"/>
      <c r="C366" s="2541" t="s">
        <v>1443</v>
      </c>
      <c r="D366" s="2541"/>
      <c r="E366" s="2541"/>
      <c r="F366" s="2541"/>
      <c r="G366" s="2541"/>
      <c r="H366" s="2541"/>
      <c r="I366" s="2541"/>
      <c r="J366" s="2541"/>
      <c r="K366" s="2541"/>
      <c r="L366" s="2541"/>
      <c r="M366" s="2541"/>
      <c r="N366" s="2541"/>
      <c r="O366" s="2541"/>
      <c r="P366" s="2541"/>
      <c r="Q366" s="2541"/>
      <c r="R366" s="2541"/>
      <c r="S366" s="2541"/>
      <c r="T366" s="2541"/>
      <c r="U366" s="2541"/>
      <c r="V366" s="2541"/>
      <c r="W366" s="2541"/>
      <c r="X366" s="2541"/>
      <c r="Y366" s="2541"/>
      <c r="Z366" s="2541"/>
      <c r="AA366" s="2541"/>
      <c r="AB366" s="2541"/>
      <c r="AC366" s="2541"/>
      <c r="AD366" s="2541"/>
      <c r="AE366" s="2541"/>
      <c r="AF366" s="2541"/>
      <c r="AG366" s="2541"/>
      <c r="AH366" s="2541"/>
      <c r="AI366" s="2541"/>
      <c r="AJ366" s="2541"/>
      <c r="AK366" s="596"/>
      <c r="AL366" s="596"/>
      <c r="AM366" s="596"/>
      <c r="AN366" s="590"/>
      <c r="AQ366" s="563"/>
      <c r="AR366" s="563"/>
    </row>
    <row r="367" spans="1:44" s="544" customFormat="1" ht="12.75" customHeight="1">
      <c r="A367" s="596"/>
      <c r="B367" s="604"/>
      <c r="C367" s="2541"/>
      <c r="D367" s="2541"/>
      <c r="E367" s="2541"/>
      <c r="F367" s="2541"/>
      <c r="G367" s="2541"/>
      <c r="H367" s="2541"/>
      <c r="I367" s="2541"/>
      <c r="J367" s="2541"/>
      <c r="K367" s="2541"/>
      <c r="L367" s="2541"/>
      <c r="M367" s="2541"/>
      <c r="N367" s="2541"/>
      <c r="O367" s="2541"/>
      <c r="P367" s="2541"/>
      <c r="Q367" s="2541"/>
      <c r="R367" s="2541"/>
      <c r="S367" s="2541"/>
      <c r="T367" s="2541"/>
      <c r="U367" s="2541"/>
      <c r="V367" s="2541"/>
      <c r="W367" s="2541"/>
      <c r="X367" s="2541"/>
      <c r="Y367" s="2541"/>
      <c r="Z367" s="2541"/>
      <c r="AA367" s="2541"/>
      <c r="AB367" s="2541"/>
      <c r="AC367" s="2541"/>
      <c r="AD367" s="2541"/>
      <c r="AE367" s="2541"/>
      <c r="AF367" s="2541"/>
      <c r="AG367" s="2541"/>
      <c r="AH367" s="2541"/>
      <c r="AI367" s="2541"/>
      <c r="AJ367" s="2541"/>
      <c r="AK367" s="596"/>
      <c r="AL367" s="596"/>
      <c r="AM367" s="596"/>
      <c r="AN367" s="590"/>
      <c r="AQ367" s="563"/>
      <c r="AR367" s="563"/>
    </row>
    <row r="368" spans="1:44" s="544" customFormat="1" ht="13.35" customHeight="1">
      <c r="A368" s="596"/>
      <c r="B368" s="604"/>
      <c r="C368" s="2541"/>
      <c r="D368" s="2541"/>
      <c r="E368" s="2541"/>
      <c r="F368" s="2541"/>
      <c r="G368" s="2541"/>
      <c r="H368" s="2541"/>
      <c r="I368" s="2541"/>
      <c r="J368" s="2541"/>
      <c r="K368" s="2541"/>
      <c r="L368" s="2541"/>
      <c r="M368" s="2541"/>
      <c r="N368" s="2541"/>
      <c r="O368" s="2541"/>
      <c r="P368" s="2541"/>
      <c r="Q368" s="2541"/>
      <c r="R368" s="2541"/>
      <c r="S368" s="2541"/>
      <c r="T368" s="2541"/>
      <c r="U368" s="2541"/>
      <c r="V368" s="2541"/>
      <c r="W368" s="2541"/>
      <c r="X368" s="2541"/>
      <c r="Y368" s="2541"/>
      <c r="Z368" s="2541"/>
      <c r="AA368" s="2541"/>
      <c r="AB368" s="2541"/>
      <c r="AC368" s="2541"/>
      <c r="AD368" s="2541"/>
      <c r="AE368" s="2541"/>
      <c r="AF368" s="2541"/>
      <c r="AG368" s="2541"/>
      <c r="AH368" s="2541"/>
      <c r="AI368" s="2541"/>
      <c r="AJ368" s="2541"/>
      <c r="AK368" s="596"/>
      <c r="AL368" s="596"/>
      <c r="AM368" s="596"/>
      <c r="AN368" s="590"/>
      <c r="AQ368" s="563"/>
      <c r="AR368" s="563"/>
    </row>
    <row r="369" spans="1:46" s="544" customFormat="1" ht="12.75" customHeight="1">
      <c r="A369" s="596"/>
      <c r="B369" s="604"/>
      <c r="C369" s="2541"/>
      <c r="D369" s="2541"/>
      <c r="E369" s="2541"/>
      <c r="F369" s="2541"/>
      <c r="G369" s="2541"/>
      <c r="H369" s="2541"/>
      <c r="I369" s="2541"/>
      <c r="J369" s="2541"/>
      <c r="K369" s="2541"/>
      <c r="L369" s="2541"/>
      <c r="M369" s="2541"/>
      <c r="N369" s="2541"/>
      <c r="O369" s="2541"/>
      <c r="P369" s="2541"/>
      <c r="Q369" s="2541"/>
      <c r="R369" s="2541"/>
      <c r="S369" s="2541"/>
      <c r="T369" s="2541"/>
      <c r="U369" s="2541"/>
      <c r="V369" s="2541"/>
      <c r="W369" s="2541"/>
      <c r="X369" s="2541"/>
      <c r="Y369" s="2541"/>
      <c r="Z369" s="2541"/>
      <c r="AA369" s="2541"/>
      <c r="AB369" s="2541"/>
      <c r="AC369" s="2541"/>
      <c r="AD369" s="2541"/>
      <c r="AE369" s="2541"/>
      <c r="AF369" s="2541"/>
      <c r="AG369" s="2541"/>
      <c r="AH369" s="2541"/>
      <c r="AI369" s="2541"/>
      <c r="AJ369" s="2541"/>
      <c r="AK369" s="596"/>
      <c r="AL369" s="596"/>
      <c r="AM369" s="596"/>
      <c r="AN369" s="590"/>
      <c r="AO369" s="685"/>
      <c r="AP369" s="685"/>
      <c r="AQ369" s="563"/>
    </row>
    <row r="370" spans="1:46" s="544" customFormat="1" ht="11.85" customHeight="1">
      <c r="A370" s="596"/>
      <c r="B370" s="604"/>
      <c r="C370" s="2541"/>
      <c r="D370" s="2541"/>
      <c r="E370" s="2541"/>
      <c r="F370" s="2541"/>
      <c r="G370" s="2541"/>
      <c r="H370" s="2541"/>
      <c r="I370" s="2541"/>
      <c r="J370" s="2541"/>
      <c r="K370" s="2541"/>
      <c r="L370" s="2541"/>
      <c r="M370" s="2541"/>
      <c r="N370" s="2541"/>
      <c r="O370" s="2541"/>
      <c r="P370" s="2541"/>
      <c r="Q370" s="2541"/>
      <c r="R370" s="2541"/>
      <c r="S370" s="2541"/>
      <c r="T370" s="2541"/>
      <c r="U370" s="2541"/>
      <c r="V370" s="2541"/>
      <c r="W370" s="2541"/>
      <c r="X370" s="2541"/>
      <c r="Y370" s="2541"/>
      <c r="Z370" s="2541"/>
      <c r="AA370" s="2541"/>
      <c r="AB370" s="2541"/>
      <c r="AC370" s="2541"/>
      <c r="AD370" s="2541"/>
      <c r="AE370" s="2541"/>
      <c r="AF370" s="2541"/>
      <c r="AG370" s="2541"/>
      <c r="AH370" s="2541"/>
      <c r="AI370" s="2541"/>
      <c r="AJ370" s="2541"/>
      <c r="AK370" s="596"/>
      <c r="AL370" s="596"/>
      <c r="AM370" s="596"/>
      <c r="AN370" s="590"/>
      <c r="AO370" s="686" t="s">
        <v>112</v>
      </c>
      <c r="AP370" s="687">
        <f>IF(C394="Yes",5,0)</f>
        <v>5</v>
      </c>
      <c r="AS370" s="535" t="s">
        <v>1444</v>
      </c>
    </row>
    <row r="371" spans="1:46" s="544" customFormat="1" ht="12.75" customHeight="1">
      <c r="A371" s="596"/>
      <c r="B371" s="604"/>
      <c r="C371" s="2541"/>
      <c r="D371" s="2541"/>
      <c r="E371" s="2541"/>
      <c r="F371" s="2541"/>
      <c r="G371" s="2541"/>
      <c r="H371" s="2541"/>
      <c r="I371" s="2541"/>
      <c r="J371" s="2541"/>
      <c r="K371" s="2541"/>
      <c r="L371" s="2541"/>
      <c r="M371" s="2541"/>
      <c r="N371" s="2541"/>
      <c r="O371" s="2541"/>
      <c r="P371" s="2541"/>
      <c r="Q371" s="2541"/>
      <c r="R371" s="2541"/>
      <c r="S371" s="2541"/>
      <c r="T371" s="2541"/>
      <c r="U371" s="2541"/>
      <c r="V371" s="2541"/>
      <c r="W371" s="2541"/>
      <c r="X371" s="2541"/>
      <c r="Y371" s="2541"/>
      <c r="Z371" s="2541"/>
      <c r="AA371" s="2541"/>
      <c r="AB371" s="2541"/>
      <c r="AC371" s="2541"/>
      <c r="AD371" s="2541"/>
      <c r="AE371" s="2541"/>
      <c r="AF371" s="2541"/>
      <c r="AG371" s="2541"/>
      <c r="AH371" s="2541"/>
      <c r="AI371" s="2541"/>
      <c r="AJ371" s="2541"/>
      <c r="AK371" s="596"/>
      <c r="AL371" s="596"/>
      <c r="AM371" s="596"/>
      <c r="AN371" s="590"/>
      <c r="AO371" s="686" t="s">
        <v>113</v>
      </c>
      <c r="AP371" s="687">
        <f>IF(C402="Yes",5,0)</f>
        <v>0</v>
      </c>
      <c r="AS371" s="2571">
        <f>IF(Application!D211="Non-Targeted",(SUM(AQ379+AQ388)),AS375)</f>
        <v>10</v>
      </c>
      <c r="AT371" s="2571"/>
    </row>
    <row r="372" spans="1:46" s="544" customFormat="1" ht="12.75" customHeight="1">
      <c r="A372" s="596"/>
      <c r="B372" s="604"/>
      <c r="C372" s="2541"/>
      <c r="D372" s="2541"/>
      <c r="E372" s="2541"/>
      <c r="F372" s="2541"/>
      <c r="G372" s="2541"/>
      <c r="H372" s="2541"/>
      <c r="I372" s="2541"/>
      <c r="J372" s="2541"/>
      <c r="K372" s="2541"/>
      <c r="L372" s="2541"/>
      <c r="M372" s="2541"/>
      <c r="N372" s="2541"/>
      <c r="O372" s="2541"/>
      <c r="P372" s="2541"/>
      <c r="Q372" s="2541"/>
      <c r="R372" s="2541"/>
      <c r="S372" s="2541"/>
      <c r="T372" s="2541"/>
      <c r="U372" s="2541"/>
      <c r="V372" s="2541"/>
      <c r="W372" s="2541"/>
      <c r="X372" s="2541"/>
      <c r="Y372" s="2541"/>
      <c r="Z372" s="2541"/>
      <c r="AA372" s="2541"/>
      <c r="AB372" s="2541"/>
      <c r="AC372" s="2541"/>
      <c r="AD372" s="2541"/>
      <c r="AE372" s="2541"/>
      <c r="AF372" s="2541"/>
      <c r="AG372" s="2541"/>
      <c r="AH372" s="2541"/>
      <c r="AI372" s="2541"/>
      <c r="AJ372" s="2541"/>
      <c r="AK372" s="596"/>
      <c r="AL372" s="596"/>
      <c r="AM372" s="596"/>
      <c r="AN372" s="590"/>
      <c r="AO372" s="686" t="s">
        <v>119</v>
      </c>
      <c r="AP372" s="687">
        <f>IF(C410="Yes",7,0)</f>
        <v>0</v>
      </c>
      <c r="AS372" s="535" t="s">
        <v>1445</v>
      </c>
    </row>
    <row r="373" spans="1:46" s="544" customFormat="1" ht="12.75" customHeight="1">
      <c r="B373" s="604"/>
      <c r="C373" s="2541"/>
      <c r="D373" s="2541"/>
      <c r="E373" s="2541"/>
      <c r="F373" s="2541"/>
      <c r="G373" s="2541"/>
      <c r="H373" s="2541"/>
      <c r="I373" s="2541"/>
      <c r="J373" s="2541"/>
      <c r="K373" s="2541"/>
      <c r="L373" s="2541"/>
      <c r="M373" s="2541"/>
      <c r="N373" s="2541"/>
      <c r="O373" s="2541"/>
      <c r="P373" s="2541"/>
      <c r="Q373" s="2541"/>
      <c r="R373" s="2541"/>
      <c r="S373" s="2541"/>
      <c r="T373" s="2541"/>
      <c r="U373" s="2541"/>
      <c r="V373" s="2541"/>
      <c r="W373" s="2541"/>
      <c r="X373" s="2541"/>
      <c r="Y373" s="2541"/>
      <c r="Z373" s="2541"/>
      <c r="AA373" s="2541"/>
      <c r="AB373" s="2541"/>
      <c r="AC373" s="2541"/>
      <c r="AD373" s="2541"/>
      <c r="AE373" s="2541"/>
      <c r="AF373" s="2541"/>
      <c r="AG373" s="2541"/>
      <c r="AH373" s="2541"/>
      <c r="AI373" s="2541"/>
      <c r="AJ373" s="2541"/>
      <c r="AK373" s="596"/>
      <c r="AL373" s="596"/>
      <c r="AM373" s="596"/>
      <c r="AN373" s="590"/>
      <c r="AO373" s="590"/>
      <c r="AP373" s="687">
        <f>IF(C412="Yes",5,0)</f>
        <v>5</v>
      </c>
      <c r="AS373" s="2571">
        <f>IF(AND(AQ379&gt;0,AQ388&gt;0),(AQ379+AQ388)/2,0)</f>
        <v>0</v>
      </c>
      <c r="AT373" s="2571"/>
    </row>
    <row r="374" spans="1:46" s="544" customFormat="1" ht="12.75" customHeight="1">
      <c r="A374" s="596"/>
      <c r="B374" s="604"/>
      <c r="C374" s="2541"/>
      <c r="D374" s="2541"/>
      <c r="E374" s="2541"/>
      <c r="F374" s="2541"/>
      <c r="G374" s="2541"/>
      <c r="H374" s="2541"/>
      <c r="I374" s="2541"/>
      <c r="J374" s="2541"/>
      <c r="K374" s="2541"/>
      <c r="L374" s="2541"/>
      <c r="M374" s="2541"/>
      <c r="N374" s="2541"/>
      <c r="O374" s="2541"/>
      <c r="P374" s="2541"/>
      <c r="Q374" s="2541"/>
      <c r="R374" s="2541"/>
      <c r="S374" s="2541"/>
      <c r="T374" s="2541"/>
      <c r="U374" s="2541"/>
      <c r="V374" s="2541"/>
      <c r="W374" s="2541"/>
      <c r="X374" s="2541"/>
      <c r="Y374" s="2541"/>
      <c r="Z374" s="2541"/>
      <c r="AA374" s="2541"/>
      <c r="AB374" s="2541"/>
      <c r="AC374" s="2541"/>
      <c r="AD374" s="2541"/>
      <c r="AE374" s="2541"/>
      <c r="AF374" s="2541"/>
      <c r="AG374" s="2541"/>
      <c r="AH374" s="2541"/>
      <c r="AI374" s="2541"/>
      <c r="AJ374" s="2541"/>
      <c r="AK374" s="596"/>
      <c r="AL374" s="596"/>
      <c r="AM374" s="596"/>
      <c r="AN374" s="590"/>
      <c r="AO374" s="686" t="s">
        <v>579</v>
      </c>
      <c r="AP374" s="687">
        <f>IF(C420="Yes",5,0)</f>
        <v>0</v>
      </c>
      <c r="AS374" s="535" t="s">
        <v>1845</v>
      </c>
    </row>
    <row r="375" spans="1:46" s="544" customFormat="1" ht="12.75" customHeight="1">
      <c r="A375" s="596"/>
      <c r="B375" s="604"/>
      <c r="C375" s="2572" t="s">
        <v>2178</v>
      </c>
      <c r="D375" s="2572"/>
      <c r="E375" s="2572"/>
      <c r="F375" s="2572"/>
      <c r="G375" s="2572"/>
      <c r="H375" s="2572"/>
      <c r="I375" s="2572"/>
      <c r="J375" s="2572"/>
      <c r="K375" s="2572"/>
      <c r="L375" s="2572"/>
      <c r="M375" s="2572"/>
      <c r="N375" s="2572"/>
      <c r="O375" s="2572"/>
      <c r="P375" s="2572"/>
      <c r="Q375" s="2572"/>
      <c r="R375" s="2572"/>
      <c r="S375" s="2572"/>
      <c r="T375" s="2572"/>
      <c r="U375" s="2572"/>
      <c r="V375" s="2572"/>
      <c r="W375" s="2572"/>
      <c r="X375" s="2572"/>
      <c r="Y375" s="2572"/>
      <c r="Z375" s="2572"/>
      <c r="AA375" s="2572"/>
      <c r="AB375" s="2572"/>
      <c r="AC375" s="2572"/>
      <c r="AD375" s="2572"/>
      <c r="AE375" s="2572"/>
      <c r="AF375" s="2572"/>
      <c r="AG375" s="2572"/>
      <c r="AH375" s="2572"/>
      <c r="AI375" s="2572"/>
      <c r="AJ375" s="2572"/>
      <c r="AK375" s="596"/>
      <c r="AL375" s="596"/>
      <c r="AM375" s="596"/>
      <c r="AN375" s="590"/>
      <c r="AO375" s="590"/>
      <c r="AP375" s="687">
        <f>IF(C422="Yes",3,0)</f>
        <v>0</v>
      </c>
      <c r="AS375" s="2571">
        <f>IF(AQ379=0,AQ388,AQ379)</f>
        <v>10</v>
      </c>
      <c r="AT375" s="2571"/>
    </row>
    <row r="376" spans="1:46" s="544" customFormat="1" ht="12.75" customHeight="1">
      <c r="A376" s="596"/>
      <c r="B376" s="604"/>
      <c r="C376" s="2572"/>
      <c r="D376" s="2572"/>
      <c r="E376" s="2572"/>
      <c r="F376" s="2572"/>
      <c r="G376" s="2572"/>
      <c r="H376" s="2572"/>
      <c r="I376" s="2572"/>
      <c r="J376" s="2572"/>
      <c r="K376" s="2572"/>
      <c r="L376" s="2572"/>
      <c r="M376" s="2572"/>
      <c r="N376" s="2572"/>
      <c r="O376" s="2572"/>
      <c r="P376" s="2572"/>
      <c r="Q376" s="2572"/>
      <c r="R376" s="2572"/>
      <c r="S376" s="2572"/>
      <c r="T376" s="2572"/>
      <c r="U376" s="2572"/>
      <c r="V376" s="2572"/>
      <c r="W376" s="2572"/>
      <c r="X376" s="2572"/>
      <c r="Y376" s="2572"/>
      <c r="Z376" s="2572"/>
      <c r="AA376" s="2572"/>
      <c r="AB376" s="2572"/>
      <c r="AC376" s="2572"/>
      <c r="AD376" s="2572"/>
      <c r="AE376" s="2572"/>
      <c r="AF376" s="2572"/>
      <c r="AG376" s="2572"/>
      <c r="AH376" s="2572"/>
      <c r="AI376" s="2572"/>
      <c r="AJ376" s="2572"/>
      <c r="AK376" s="596"/>
      <c r="AL376" s="596"/>
      <c r="AM376" s="596"/>
      <c r="AN376" s="590"/>
      <c r="AO376" s="686" t="s">
        <v>761</v>
      </c>
      <c r="AP376" s="687">
        <f>IF(C425="Yes",5,0)</f>
        <v>0</v>
      </c>
    </row>
    <row r="377" spans="1:46" s="544" customFormat="1" ht="12.75" customHeight="1">
      <c r="A377" s="596"/>
      <c r="B377" s="604"/>
      <c r="C377" s="2572"/>
      <c r="D377" s="2572"/>
      <c r="E377" s="2572"/>
      <c r="F377" s="2572"/>
      <c r="G377" s="2572"/>
      <c r="H377" s="2572"/>
      <c r="I377" s="2572"/>
      <c r="J377" s="2572"/>
      <c r="K377" s="2572"/>
      <c r="L377" s="2572"/>
      <c r="M377" s="2572"/>
      <c r="N377" s="2572"/>
      <c r="O377" s="2572"/>
      <c r="P377" s="2572"/>
      <c r="Q377" s="2572"/>
      <c r="R377" s="2572"/>
      <c r="S377" s="2572"/>
      <c r="T377" s="2572"/>
      <c r="U377" s="2572"/>
      <c r="V377" s="2572"/>
      <c r="W377" s="2572"/>
      <c r="X377" s="2572"/>
      <c r="Y377" s="2572"/>
      <c r="Z377" s="2572"/>
      <c r="AA377" s="2572"/>
      <c r="AB377" s="2572"/>
      <c r="AC377" s="2572"/>
      <c r="AD377" s="2572"/>
      <c r="AE377" s="2572"/>
      <c r="AF377" s="2572"/>
      <c r="AG377" s="2572"/>
      <c r="AH377" s="2572"/>
      <c r="AI377" s="2572"/>
      <c r="AJ377" s="2572"/>
      <c r="AK377" s="596"/>
      <c r="AL377" s="596"/>
      <c r="AM377" s="596"/>
      <c r="AN377" s="590"/>
      <c r="AO377" s="686" t="s">
        <v>582</v>
      </c>
      <c r="AP377" s="687">
        <f>IF(C434="Yes",5,0)</f>
        <v>0</v>
      </c>
    </row>
    <row r="378" spans="1:46" s="544" customFormat="1" ht="11.85" customHeight="1">
      <c r="A378" s="596"/>
      <c r="B378" s="604"/>
      <c r="C378" s="2572"/>
      <c r="D378" s="2572"/>
      <c r="E378" s="2572"/>
      <c r="F378" s="2572"/>
      <c r="G378" s="2572"/>
      <c r="H378" s="2572"/>
      <c r="I378" s="2572"/>
      <c r="J378" s="2572"/>
      <c r="K378" s="2572"/>
      <c r="L378" s="2572"/>
      <c r="M378" s="2572"/>
      <c r="N378" s="2572"/>
      <c r="O378" s="2572"/>
      <c r="P378" s="2572"/>
      <c r="Q378" s="2572"/>
      <c r="R378" s="2572"/>
      <c r="S378" s="2572"/>
      <c r="T378" s="2572"/>
      <c r="U378" s="2572"/>
      <c r="V378" s="2572"/>
      <c r="W378" s="2572"/>
      <c r="X378" s="2572"/>
      <c r="Y378" s="2572"/>
      <c r="Z378" s="2572"/>
      <c r="AA378" s="2572"/>
      <c r="AB378" s="2572"/>
      <c r="AC378" s="2572"/>
      <c r="AD378" s="2572"/>
      <c r="AE378" s="2572"/>
      <c r="AF378" s="2572"/>
      <c r="AG378" s="2572"/>
      <c r="AH378" s="2572"/>
      <c r="AI378" s="2572"/>
      <c r="AJ378" s="2572"/>
      <c r="AK378" s="596"/>
      <c r="AL378" s="596"/>
      <c r="AM378" s="596"/>
      <c r="AN378" s="590"/>
      <c r="AO378" s="688"/>
      <c r="AP378" s="689">
        <f>IF(C436="Yes",3,0)</f>
        <v>0</v>
      </c>
    </row>
    <row r="379" spans="1:46" s="544" customFormat="1" ht="12.6" customHeight="1">
      <c r="A379" s="596"/>
      <c r="B379" s="604"/>
      <c r="C379" s="2572"/>
      <c r="D379" s="2572"/>
      <c r="E379" s="2572"/>
      <c r="F379" s="2572"/>
      <c r="G379" s="2572"/>
      <c r="H379" s="2572"/>
      <c r="I379" s="2572"/>
      <c r="J379" s="2572"/>
      <c r="K379" s="2572"/>
      <c r="L379" s="2572"/>
      <c r="M379" s="2572"/>
      <c r="N379" s="2572"/>
      <c r="O379" s="2572"/>
      <c r="P379" s="2572"/>
      <c r="Q379" s="2572"/>
      <c r="R379" s="2572"/>
      <c r="S379" s="2572"/>
      <c r="T379" s="2572"/>
      <c r="U379" s="2572"/>
      <c r="V379" s="2572"/>
      <c r="W379" s="2572"/>
      <c r="X379" s="2572"/>
      <c r="Y379" s="2572"/>
      <c r="Z379" s="2572"/>
      <c r="AA379" s="2572"/>
      <c r="AB379" s="2572"/>
      <c r="AC379" s="2572"/>
      <c r="AD379" s="2572"/>
      <c r="AE379" s="2572"/>
      <c r="AF379" s="2572"/>
      <c r="AG379" s="2572"/>
      <c r="AH379" s="2572"/>
      <c r="AI379" s="2572"/>
      <c r="AJ379" s="2572"/>
      <c r="AK379" s="596"/>
      <c r="AL379" s="596"/>
      <c r="AM379" s="596"/>
      <c r="AN379" s="590"/>
      <c r="AO379" s="690" t="s">
        <v>226</v>
      </c>
      <c r="AP379" s="691">
        <f>SUM(AP370:AP378)</f>
        <v>10</v>
      </c>
      <c r="AQ379" s="2573">
        <f>IF(AP379&gt;0,AP379,0)</f>
        <v>10</v>
      </c>
      <c r="AR379" s="2573"/>
    </row>
    <row r="380" spans="1:46" s="544" customFormat="1" ht="12.75" customHeight="1">
      <c r="A380" s="596"/>
      <c r="B380" s="604"/>
      <c r="C380" s="2572"/>
      <c r="D380" s="2572"/>
      <c r="E380" s="2572"/>
      <c r="F380" s="2572"/>
      <c r="G380" s="2572"/>
      <c r="H380" s="2572"/>
      <c r="I380" s="2572"/>
      <c r="J380" s="2572"/>
      <c r="K380" s="2572"/>
      <c r="L380" s="2572"/>
      <c r="M380" s="2572"/>
      <c r="N380" s="2572"/>
      <c r="O380" s="2572"/>
      <c r="P380" s="2572"/>
      <c r="Q380" s="2572"/>
      <c r="R380" s="2572"/>
      <c r="S380" s="2572"/>
      <c r="T380" s="2572"/>
      <c r="U380" s="2572"/>
      <c r="V380" s="2572"/>
      <c r="W380" s="2572"/>
      <c r="X380" s="2572"/>
      <c r="Y380" s="2572"/>
      <c r="Z380" s="2572"/>
      <c r="AA380" s="2572"/>
      <c r="AB380" s="2572"/>
      <c r="AC380" s="2572"/>
      <c r="AD380" s="2572"/>
      <c r="AE380" s="2572"/>
      <c r="AF380" s="2572"/>
      <c r="AG380" s="2572"/>
      <c r="AH380" s="2572"/>
      <c r="AI380" s="2572"/>
      <c r="AJ380" s="2572"/>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453</v>
      </c>
      <c r="AP381" s="687">
        <f>IF(C443="Yes",5,0)</f>
        <v>0</v>
      </c>
    </row>
    <row r="382" spans="1:46" s="544" customFormat="1" ht="12.75" customHeight="1">
      <c r="A382" s="596"/>
      <c r="B382" s="604"/>
      <c r="C382" s="2541" t="s">
        <v>1446</v>
      </c>
      <c r="D382" s="2541"/>
      <c r="E382" s="2541"/>
      <c r="F382" s="2541"/>
      <c r="G382" s="2541"/>
      <c r="H382" s="2541"/>
      <c r="I382" s="2541"/>
      <c r="J382" s="2541"/>
      <c r="K382" s="2541"/>
      <c r="L382" s="2541"/>
      <c r="M382" s="2541"/>
      <c r="N382" s="2541"/>
      <c r="O382" s="2541"/>
      <c r="P382" s="2541"/>
      <c r="Q382" s="2541"/>
      <c r="R382" s="2541"/>
      <c r="S382" s="2541"/>
      <c r="T382" s="2541"/>
      <c r="U382" s="2541"/>
      <c r="V382" s="2541"/>
      <c r="W382" s="2541"/>
      <c r="X382" s="2541"/>
      <c r="Y382" s="2541"/>
      <c r="Z382" s="2541"/>
      <c r="AA382" s="2541"/>
      <c r="AB382" s="2541"/>
      <c r="AC382" s="2541"/>
      <c r="AD382" s="2541"/>
      <c r="AE382" s="2541"/>
      <c r="AF382" s="2541"/>
      <c r="AG382" s="2541"/>
      <c r="AH382" s="2541"/>
      <c r="AI382" s="2541"/>
      <c r="AJ382" s="2541"/>
      <c r="AK382" s="596"/>
      <c r="AL382" s="596"/>
      <c r="AM382" s="596"/>
      <c r="AN382" s="590"/>
      <c r="AO382" s="686" t="s">
        <v>454</v>
      </c>
      <c r="AP382" s="687">
        <f>IF(C455="Yes",5,0)</f>
        <v>0</v>
      </c>
    </row>
    <row r="383" spans="1:46" s="544" customFormat="1" ht="12.75" customHeight="1">
      <c r="A383" s="596"/>
      <c r="B383" s="604"/>
      <c r="C383" s="2541"/>
      <c r="D383" s="2541"/>
      <c r="E383" s="2541"/>
      <c r="F383" s="2541"/>
      <c r="G383" s="2541"/>
      <c r="H383" s="2541"/>
      <c r="I383" s="2541"/>
      <c r="J383" s="2541"/>
      <c r="K383" s="2541"/>
      <c r="L383" s="2541"/>
      <c r="M383" s="2541"/>
      <c r="N383" s="2541"/>
      <c r="O383" s="2541"/>
      <c r="P383" s="2541"/>
      <c r="Q383" s="2541"/>
      <c r="R383" s="2541"/>
      <c r="S383" s="2541"/>
      <c r="T383" s="2541"/>
      <c r="U383" s="2541"/>
      <c r="V383" s="2541"/>
      <c r="W383" s="2541"/>
      <c r="X383" s="2541"/>
      <c r="Y383" s="2541"/>
      <c r="Z383" s="2541"/>
      <c r="AA383" s="2541"/>
      <c r="AB383" s="2541"/>
      <c r="AC383" s="2541"/>
      <c r="AD383" s="2541"/>
      <c r="AE383" s="2541"/>
      <c r="AF383" s="2541"/>
      <c r="AG383" s="2541"/>
      <c r="AH383" s="2541"/>
      <c r="AI383" s="2541"/>
      <c r="AJ383" s="2541"/>
      <c r="AK383" s="596"/>
      <c r="AL383" s="596"/>
      <c r="AM383" s="596"/>
      <c r="AN383" s="590"/>
      <c r="AO383" s="686" t="s">
        <v>459</v>
      </c>
      <c r="AP383" s="687">
        <f>IF(C462="Yes",5,0)</f>
        <v>0</v>
      </c>
    </row>
    <row r="384" spans="1:46" s="544" customFormat="1" ht="68.099999999999994" customHeight="1">
      <c r="A384" s="596"/>
      <c r="B384" s="604"/>
      <c r="C384" s="2541"/>
      <c r="D384" s="2541"/>
      <c r="E384" s="2541"/>
      <c r="F384" s="2541"/>
      <c r="G384" s="2541"/>
      <c r="H384" s="2541"/>
      <c r="I384" s="2541"/>
      <c r="J384" s="2541"/>
      <c r="K384" s="2541"/>
      <c r="L384" s="2541"/>
      <c r="M384" s="2541"/>
      <c r="N384" s="2541"/>
      <c r="O384" s="2541"/>
      <c r="P384" s="2541"/>
      <c r="Q384" s="2541"/>
      <c r="R384" s="2541"/>
      <c r="S384" s="2541"/>
      <c r="T384" s="2541"/>
      <c r="U384" s="2541"/>
      <c r="V384" s="2541"/>
      <c r="W384" s="2541"/>
      <c r="X384" s="2541"/>
      <c r="Y384" s="2541"/>
      <c r="Z384" s="2541"/>
      <c r="AA384" s="2541"/>
      <c r="AB384" s="2541"/>
      <c r="AC384" s="2541"/>
      <c r="AD384" s="2541"/>
      <c r="AE384" s="2541"/>
      <c r="AF384" s="2541"/>
      <c r="AG384" s="2541"/>
      <c r="AH384" s="2541"/>
      <c r="AI384" s="2541"/>
      <c r="AJ384" s="2541"/>
      <c r="AK384" s="596"/>
      <c r="AL384" s="596"/>
      <c r="AM384" s="596"/>
      <c r="AN384" s="590"/>
      <c r="AO384" s="686" t="s">
        <v>644</v>
      </c>
      <c r="AP384" s="692">
        <f>IF(C466="Yes",5,0)</f>
        <v>0</v>
      </c>
    </row>
    <row r="385" spans="1:81" s="544" customFormat="1" ht="12.6" customHeight="1">
      <c r="B385" s="604"/>
      <c r="C385" s="544" t="s">
        <v>1447</v>
      </c>
      <c r="AF385" s="596"/>
      <c r="AG385" s="596"/>
      <c r="AH385" s="596"/>
      <c r="AI385" s="596"/>
      <c r="AJ385" s="596"/>
      <c r="AK385" s="596"/>
      <c r="AL385" s="596"/>
      <c r="AM385" s="596"/>
      <c r="AN385" s="590"/>
      <c r="AO385" s="686" t="s">
        <v>361</v>
      </c>
      <c r="AP385" s="687">
        <f>IF(C470="Yes",5,0)</f>
        <v>0</v>
      </c>
    </row>
    <row r="386" spans="1:81" s="544" customFormat="1" ht="12.75" customHeight="1">
      <c r="A386" s="596"/>
      <c r="B386" s="604"/>
      <c r="C386" s="693" t="s">
        <v>2157</v>
      </c>
      <c r="D386" s="694"/>
      <c r="E386" s="694"/>
      <c r="F386" s="694"/>
      <c r="G386" s="694"/>
      <c r="H386" s="694"/>
      <c r="I386" s="694"/>
      <c r="J386" s="694"/>
      <c r="K386" s="694"/>
      <c r="L386" s="694"/>
      <c r="M386" s="658"/>
      <c r="N386" s="658"/>
      <c r="O386" s="695"/>
      <c r="P386" s="694"/>
      <c r="Q386" s="694"/>
      <c r="R386" s="658"/>
      <c r="S386" s="658"/>
      <c r="T386" s="694"/>
      <c r="U386" s="2637">
        <f>Application!DU810-U387</f>
        <v>190</v>
      </c>
      <c r="V386" s="2637"/>
      <c r="W386" s="2637"/>
      <c r="X386" s="694"/>
      <c r="Y386" s="694"/>
      <c r="Z386" s="694"/>
      <c r="AA386" s="696"/>
      <c r="AB386" s="697"/>
      <c r="AC386" s="697"/>
      <c r="AD386" s="697"/>
      <c r="AE386" s="596"/>
      <c r="AF386" s="596"/>
      <c r="AG386" s="596"/>
      <c r="AH386" s="596"/>
      <c r="AI386" s="596"/>
      <c r="AJ386" s="596"/>
      <c r="AK386" s="596"/>
      <c r="AL386" s="596"/>
      <c r="AM386" s="596"/>
      <c r="AN386" s="590"/>
      <c r="AO386" s="686" t="s">
        <v>362</v>
      </c>
      <c r="AP386" s="687">
        <f>IF(C479="Yes",5,0)</f>
        <v>0</v>
      </c>
    </row>
    <row r="387" spans="1:81" s="544" customFormat="1" ht="12.75" customHeight="1">
      <c r="A387" s="596"/>
      <c r="B387" s="604"/>
      <c r="C387" s="698" t="s">
        <v>2158</v>
      </c>
      <c r="D387" s="685"/>
      <c r="E387" s="685"/>
      <c r="F387" s="685"/>
      <c r="G387" s="685"/>
      <c r="H387" s="685"/>
      <c r="I387" s="685"/>
      <c r="J387" s="685"/>
      <c r="K387" s="685"/>
      <c r="L387" s="685"/>
      <c r="M387" s="685"/>
      <c r="N387" s="685"/>
      <c r="O387" s="685"/>
      <c r="P387" s="685"/>
      <c r="Q387" s="685"/>
      <c r="R387" s="685"/>
      <c r="S387" s="685"/>
      <c r="T387" s="685"/>
      <c r="U387" s="2638">
        <f>IF(Application!D211="SRO",Application!DU763,Application!AG764)</f>
        <v>0</v>
      </c>
      <c r="V387" s="2638"/>
      <c r="W387" s="2638"/>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226</v>
      </c>
      <c r="AP388" s="702">
        <f>SUM(AP381:AP386)</f>
        <v>0</v>
      </c>
      <c r="AQ388" s="2573">
        <f>IF(AP388&gt;0,AP388,0)</f>
        <v>0</v>
      </c>
      <c r="AR388" s="2573"/>
    </row>
    <row r="389" spans="1:81" s="544" customFormat="1" ht="12.75" customHeight="1">
      <c r="A389" s="596"/>
      <c r="B389" s="14"/>
      <c r="C389" s="703" t="s">
        <v>2155</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1306</v>
      </c>
      <c r="F390" s="2545" t="s">
        <v>1448</v>
      </c>
      <c r="G390" s="2545"/>
      <c r="H390" s="2545"/>
      <c r="I390" s="2545"/>
      <c r="J390" s="2545"/>
      <c r="K390" s="2545"/>
      <c r="L390" s="2545"/>
      <c r="M390" s="2545"/>
      <c r="N390" s="2545"/>
      <c r="O390" s="2545"/>
      <c r="P390" s="2545"/>
      <c r="Q390" s="2545"/>
      <c r="R390" s="2545"/>
      <c r="S390" s="2545"/>
      <c r="T390" s="2545"/>
      <c r="U390" s="2545"/>
      <c r="V390" s="2545"/>
      <c r="W390" s="2545"/>
      <c r="X390" s="2545"/>
      <c r="Y390" s="2545"/>
      <c r="Z390" s="2545"/>
      <c r="AA390" s="2545"/>
      <c r="AB390" s="2545"/>
      <c r="AC390" s="2545"/>
      <c r="AD390" s="2545"/>
      <c r="AE390" s="2545"/>
      <c r="AF390" s="2545"/>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18"/>
      <c r="G391" s="2418"/>
      <c r="H391" s="2418"/>
      <c r="I391" s="2418"/>
      <c r="J391" s="2418"/>
      <c r="K391" s="2418"/>
      <c r="L391" s="2418"/>
      <c r="M391" s="2418"/>
      <c r="N391" s="2418"/>
      <c r="O391" s="2418"/>
      <c r="P391" s="2418"/>
      <c r="Q391" s="2418"/>
      <c r="R391" s="2418"/>
      <c r="S391" s="2418"/>
      <c r="T391" s="2418"/>
      <c r="U391" s="2418"/>
      <c r="V391" s="2418"/>
      <c r="W391" s="2418"/>
      <c r="X391" s="2418"/>
      <c r="Y391" s="2418"/>
      <c r="Z391" s="2418"/>
      <c r="AA391" s="2418"/>
      <c r="AB391" s="2418"/>
      <c r="AC391" s="2418"/>
      <c r="AD391" s="2418"/>
      <c r="AE391" s="2418"/>
      <c r="AF391" s="2418"/>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18"/>
      <c r="G392" s="2418"/>
      <c r="H392" s="2418"/>
      <c r="I392" s="2418"/>
      <c r="J392" s="2418"/>
      <c r="K392" s="2418"/>
      <c r="L392" s="2418"/>
      <c r="M392" s="2418"/>
      <c r="N392" s="2418"/>
      <c r="O392" s="2418"/>
      <c r="P392" s="2418"/>
      <c r="Q392" s="2418"/>
      <c r="R392" s="2418"/>
      <c r="S392" s="2418"/>
      <c r="T392" s="2418"/>
      <c r="U392" s="2418"/>
      <c r="V392" s="2418"/>
      <c r="W392" s="2418"/>
      <c r="X392" s="2418"/>
      <c r="Y392" s="2418"/>
      <c r="Z392" s="2418"/>
      <c r="AA392" s="2418"/>
      <c r="AB392" s="2418"/>
      <c r="AC392" s="2418"/>
      <c r="AD392" s="2418"/>
      <c r="AE392" s="2418"/>
      <c r="AF392" s="2418"/>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18"/>
      <c r="G393" s="2418"/>
      <c r="H393" s="2418"/>
      <c r="I393" s="2418"/>
      <c r="J393" s="2418"/>
      <c r="K393" s="2418"/>
      <c r="L393" s="2418"/>
      <c r="M393" s="2418"/>
      <c r="N393" s="2418"/>
      <c r="O393" s="2418"/>
      <c r="P393" s="2418"/>
      <c r="Q393" s="2418"/>
      <c r="R393" s="2418"/>
      <c r="S393" s="2418"/>
      <c r="T393" s="2418"/>
      <c r="U393" s="2418"/>
      <c r="V393" s="2418"/>
      <c r="W393" s="2418"/>
      <c r="X393" s="2418"/>
      <c r="Y393" s="2418"/>
      <c r="Z393" s="2418"/>
      <c r="AA393" s="2418"/>
      <c r="AB393" s="2418"/>
      <c r="AC393" s="2418"/>
      <c r="AD393" s="2418"/>
      <c r="AE393" s="2418"/>
      <c r="AF393" s="2418"/>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542" t="s">
        <v>543</v>
      </c>
      <c r="D394" s="2502"/>
      <c r="E394" s="710"/>
      <c r="F394" s="712" t="s">
        <v>1449</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543" t="s">
        <v>1450</v>
      </c>
      <c r="AG394" s="2543"/>
      <c r="AH394" s="2543"/>
      <c r="AI394" s="2543"/>
      <c r="AJ394" s="2543"/>
      <c r="AK394" s="2543"/>
      <c r="AL394" s="2544"/>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1308</v>
      </c>
      <c r="F397" s="2545" t="s">
        <v>1451</v>
      </c>
      <c r="G397" s="2545"/>
      <c r="H397" s="2545"/>
      <c r="I397" s="2545"/>
      <c r="J397" s="2545"/>
      <c r="K397" s="2545"/>
      <c r="L397" s="2545"/>
      <c r="M397" s="2545"/>
      <c r="N397" s="2545"/>
      <c r="O397" s="2545"/>
      <c r="P397" s="2545"/>
      <c r="Q397" s="2545"/>
      <c r="R397" s="2545"/>
      <c r="S397" s="2545"/>
      <c r="T397" s="2545"/>
      <c r="U397" s="2545"/>
      <c r="V397" s="2545"/>
      <c r="W397" s="2545"/>
      <c r="X397" s="2545"/>
      <c r="Y397" s="2545"/>
      <c r="Z397" s="2545"/>
      <c r="AA397" s="2545"/>
      <c r="AB397" s="2545"/>
      <c r="AC397" s="2545"/>
      <c r="AD397" s="2545"/>
      <c r="AE397" s="2545"/>
      <c r="AF397" s="2545"/>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18"/>
      <c r="G398" s="2418"/>
      <c r="H398" s="2418"/>
      <c r="I398" s="2418"/>
      <c r="J398" s="2418"/>
      <c r="K398" s="2418"/>
      <c r="L398" s="2418"/>
      <c r="M398" s="2418"/>
      <c r="N398" s="2418"/>
      <c r="O398" s="2418"/>
      <c r="P398" s="2418"/>
      <c r="Q398" s="2418"/>
      <c r="R398" s="2418"/>
      <c r="S398" s="2418"/>
      <c r="T398" s="2418"/>
      <c r="U398" s="2418"/>
      <c r="V398" s="2418"/>
      <c r="W398" s="2418"/>
      <c r="X398" s="2418"/>
      <c r="Y398" s="2418"/>
      <c r="Z398" s="2418"/>
      <c r="AA398" s="2418"/>
      <c r="AB398" s="2418"/>
      <c r="AC398" s="2418"/>
      <c r="AD398" s="2418"/>
      <c r="AE398" s="2418"/>
      <c r="AF398" s="2418"/>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18"/>
      <c r="G399" s="2418"/>
      <c r="H399" s="2418"/>
      <c r="I399" s="2418"/>
      <c r="J399" s="2418"/>
      <c r="K399" s="2418"/>
      <c r="L399" s="2418"/>
      <c r="M399" s="2418"/>
      <c r="N399" s="2418"/>
      <c r="O399" s="2418"/>
      <c r="P399" s="2418"/>
      <c r="Q399" s="2418"/>
      <c r="R399" s="2418"/>
      <c r="S399" s="2418"/>
      <c r="T399" s="2418"/>
      <c r="U399" s="2418"/>
      <c r="V399" s="2418"/>
      <c r="W399" s="2418"/>
      <c r="X399" s="2418"/>
      <c r="Y399" s="2418"/>
      <c r="Z399" s="2418"/>
      <c r="AA399" s="2418"/>
      <c r="AB399" s="2418"/>
      <c r="AC399" s="2418"/>
      <c r="AD399" s="2418"/>
      <c r="AE399" s="2418"/>
      <c r="AF399" s="2418"/>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18"/>
      <c r="G400" s="2418"/>
      <c r="H400" s="2418"/>
      <c r="I400" s="2418"/>
      <c r="J400" s="2418"/>
      <c r="K400" s="2418"/>
      <c r="L400" s="2418"/>
      <c r="M400" s="2418"/>
      <c r="N400" s="2418"/>
      <c r="O400" s="2418"/>
      <c r="P400" s="2418"/>
      <c r="Q400" s="2418"/>
      <c r="R400" s="2418"/>
      <c r="S400" s="2418"/>
      <c r="T400" s="2418"/>
      <c r="U400" s="2418"/>
      <c r="V400" s="2418"/>
      <c r="W400" s="2418"/>
      <c r="X400" s="2418"/>
      <c r="Y400" s="2418"/>
      <c r="Z400" s="2418"/>
      <c r="AA400" s="2418"/>
      <c r="AB400" s="2418"/>
      <c r="AC400" s="2418"/>
      <c r="AD400" s="2418"/>
      <c r="AE400" s="2418"/>
      <c r="AF400" s="2418"/>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18"/>
      <c r="G401" s="2418"/>
      <c r="H401" s="2418"/>
      <c r="I401" s="2418"/>
      <c r="J401" s="2418"/>
      <c r="K401" s="2418"/>
      <c r="L401" s="2418"/>
      <c r="M401" s="2418"/>
      <c r="N401" s="2418"/>
      <c r="O401" s="2418"/>
      <c r="P401" s="2418"/>
      <c r="Q401" s="2418"/>
      <c r="R401" s="2418"/>
      <c r="S401" s="2418"/>
      <c r="T401" s="2418"/>
      <c r="U401" s="2418"/>
      <c r="V401" s="2418"/>
      <c r="W401" s="2418"/>
      <c r="X401" s="2418"/>
      <c r="Y401" s="2418"/>
      <c r="Z401" s="2418"/>
      <c r="AA401" s="2418"/>
      <c r="AB401" s="2418"/>
      <c r="AC401" s="2418"/>
      <c r="AD401" s="2418"/>
      <c r="AE401" s="2418"/>
      <c r="AF401" s="2418"/>
      <c r="AL401" s="723"/>
      <c r="AN401" s="590"/>
      <c r="BS401" s="30"/>
      <c r="BT401" s="30"/>
      <c r="BU401" s="14"/>
      <c r="BV401" s="14"/>
      <c r="BW401" s="14"/>
      <c r="BX401" s="14"/>
      <c r="BY401" s="14"/>
      <c r="BZ401" s="14"/>
      <c r="CA401" s="14"/>
      <c r="CB401" s="14"/>
      <c r="CC401" s="14"/>
    </row>
    <row r="402" spans="1:81" s="544" customFormat="1" ht="12.75" customHeight="1">
      <c r="A402" s="532"/>
      <c r="B402" s="14"/>
      <c r="C402" s="2542" t="s">
        <v>589</v>
      </c>
      <c r="D402" s="2502"/>
      <c r="E402" s="682"/>
      <c r="F402" s="712" t="s">
        <v>1452</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543" t="s">
        <v>1450</v>
      </c>
      <c r="AG402" s="2543"/>
      <c r="AH402" s="2543"/>
      <c r="AI402" s="2543"/>
      <c r="AJ402" s="2543"/>
      <c r="AK402" s="2543"/>
      <c r="AL402" s="2544"/>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1311</v>
      </c>
      <c r="F405" s="2545" t="s">
        <v>1453</v>
      </c>
      <c r="G405" s="2545"/>
      <c r="H405" s="2545"/>
      <c r="I405" s="2545"/>
      <c r="J405" s="2545"/>
      <c r="K405" s="2545"/>
      <c r="L405" s="2545"/>
      <c r="M405" s="2545"/>
      <c r="N405" s="2545"/>
      <c r="O405" s="2545"/>
      <c r="P405" s="2545"/>
      <c r="Q405" s="2545"/>
      <c r="R405" s="2545"/>
      <c r="S405" s="2545"/>
      <c r="T405" s="2545"/>
      <c r="U405" s="2545"/>
      <c r="V405" s="2545"/>
      <c r="W405" s="2545"/>
      <c r="X405" s="2545"/>
      <c r="Y405" s="2545"/>
      <c r="Z405" s="2545"/>
      <c r="AA405" s="2545"/>
      <c r="AB405" s="2545"/>
      <c r="AC405" s="2545"/>
      <c r="AD405" s="2545"/>
      <c r="AE405" s="2545"/>
      <c r="AF405" s="2545"/>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18"/>
      <c r="G406" s="2418"/>
      <c r="H406" s="2418"/>
      <c r="I406" s="2418"/>
      <c r="J406" s="2418"/>
      <c r="K406" s="2418"/>
      <c r="L406" s="2418"/>
      <c r="M406" s="2418"/>
      <c r="N406" s="2418"/>
      <c r="O406" s="2418"/>
      <c r="P406" s="2418"/>
      <c r="Q406" s="2418"/>
      <c r="R406" s="2418"/>
      <c r="S406" s="2418"/>
      <c r="T406" s="2418"/>
      <c r="U406" s="2418"/>
      <c r="V406" s="2418"/>
      <c r="W406" s="2418"/>
      <c r="X406" s="2418"/>
      <c r="Y406" s="2418"/>
      <c r="Z406" s="2418"/>
      <c r="AA406" s="2418"/>
      <c r="AB406" s="2418"/>
      <c r="AC406" s="2418"/>
      <c r="AD406" s="2418"/>
      <c r="AE406" s="2418"/>
      <c r="AF406" s="2418"/>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18"/>
      <c r="G407" s="2418"/>
      <c r="H407" s="2418"/>
      <c r="I407" s="2418"/>
      <c r="J407" s="2418"/>
      <c r="K407" s="2418"/>
      <c r="L407" s="2418"/>
      <c r="M407" s="2418"/>
      <c r="N407" s="2418"/>
      <c r="O407" s="2418"/>
      <c r="P407" s="2418"/>
      <c r="Q407" s="2418"/>
      <c r="R407" s="2418"/>
      <c r="S407" s="2418"/>
      <c r="T407" s="2418"/>
      <c r="U407" s="2418"/>
      <c r="V407" s="2418"/>
      <c r="W407" s="2418"/>
      <c r="X407" s="2418"/>
      <c r="Y407" s="2418"/>
      <c r="Z407" s="2418"/>
      <c r="AA407" s="2418"/>
      <c r="AB407" s="2418"/>
      <c r="AC407" s="2418"/>
      <c r="AD407" s="2418"/>
      <c r="AE407" s="2418"/>
      <c r="AF407" s="2418"/>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18"/>
      <c r="G408" s="2418"/>
      <c r="H408" s="2418"/>
      <c r="I408" s="2418"/>
      <c r="J408" s="2418"/>
      <c r="K408" s="2418"/>
      <c r="L408" s="2418"/>
      <c r="M408" s="2418"/>
      <c r="N408" s="2418"/>
      <c r="O408" s="2418"/>
      <c r="P408" s="2418"/>
      <c r="Q408" s="2418"/>
      <c r="R408" s="2418"/>
      <c r="S408" s="2418"/>
      <c r="T408" s="2418"/>
      <c r="U408" s="2418"/>
      <c r="V408" s="2418"/>
      <c r="W408" s="2418"/>
      <c r="X408" s="2418"/>
      <c r="Y408" s="2418"/>
      <c r="Z408" s="2418"/>
      <c r="AA408" s="2418"/>
      <c r="AB408" s="2418"/>
      <c r="AC408" s="2418"/>
      <c r="AD408" s="2418"/>
      <c r="AE408" s="2418"/>
      <c r="AF408" s="2418"/>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18"/>
      <c r="G409" s="2418"/>
      <c r="H409" s="2418"/>
      <c r="I409" s="2418"/>
      <c r="J409" s="2418"/>
      <c r="K409" s="2418"/>
      <c r="L409" s="2418"/>
      <c r="M409" s="2418"/>
      <c r="N409" s="2418"/>
      <c r="O409" s="2418"/>
      <c r="P409" s="2418"/>
      <c r="Q409" s="2418"/>
      <c r="R409" s="2418"/>
      <c r="S409" s="2418"/>
      <c r="T409" s="2418"/>
      <c r="U409" s="2418"/>
      <c r="V409" s="2418"/>
      <c r="W409" s="2418"/>
      <c r="X409" s="2418"/>
      <c r="Y409" s="2418"/>
      <c r="Z409" s="2418"/>
      <c r="AA409" s="2418"/>
      <c r="AB409" s="2418"/>
      <c r="AC409" s="2418"/>
      <c r="AD409" s="2418"/>
      <c r="AE409" s="2418"/>
      <c r="AF409" s="2418"/>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542" t="s">
        <v>589</v>
      </c>
      <c r="D410" s="2502"/>
      <c r="E410" s="682"/>
      <c r="F410" s="712" t="s">
        <v>1454</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543" t="s">
        <v>1455</v>
      </c>
      <c r="AG410" s="2543"/>
      <c r="AH410" s="2543"/>
      <c r="AI410" s="2543"/>
      <c r="AJ410" s="2543"/>
      <c r="AK410" s="2543"/>
      <c r="AL410" s="2544"/>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542" t="s">
        <v>543</v>
      </c>
      <c r="D412" s="2502"/>
      <c r="E412" s="682"/>
      <c r="F412" s="729" t="s">
        <v>1456</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543" t="s">
        <v>1450</v>
      </c>
      <c r="AG412" s="2543"/>
      <c r="AH412" s="2543"/>
      <c r="AI412" s="2543"/>
      <c r="AJ412" s="2543"/>
      <c r="AK412" s="2543"/>
      <c r="AL412" s="2544"/>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1457</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1458</v>
      </c>
      <c r="F416" s="2545" t="s">
        <v>1459</v>
      </c>
      <c r="G416" s="2545"/>
      <c r="H416" s="2545"/>
      <c r="I416" s="2545"/>
      <c r="J416" s="2545"/>
      <c r="K416" s="2545"/>
      <c r="L416" s="2545"/>
      <c r="M416" s="2545"/>
      <c r="N416" s="2545"/>
      <c r="O416" s="2545"/>
      <c r="P416" s="2545"/>
      <c r="Q416" s="2545"/>
      <c r="R416" s="2545"/>
      <c r="S416" s="2545"/>
      <c r="T416" s="2545"/>
      <c r="U416" s="2545"/>
      <c r="V416" s="2545"/>
      <c r="W416" s="2545"/>
      <c r="X416" s="2545"/>
      <c r="Y416" s="2545"/>
      <c r="Z416" s="2545"/>
      <c r="AA416" s="2545"/>
      <c r="AB416" s="2545"/>
      <c r="AC416" s="2545"/>
      <c r="AD416" s="2545"/>
      <c r="AE416" s="2545"/>
      <c r="AF416" s="2545"/>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18"/>
      <c r="G417" s="2418"/>
      <c r="H417" s="2418"/>
      <c r="I417" s="2418"/>
      <c r="J417" s="2418"/>
      <c r="K417" s="2418"/>
      <c r="L417" s="2418"/>
      <c r="M417" s="2418"/>
      <c r="N417" s="2418"/>
      <c r="O417" s="2418"/>
      <c r="P417" s="2418"/>
      <c r="Q417" s="2418"/>
      <c r="R417" s="2418"/>
      <c r="S417" s="2418"/>
      <c r="T417" s="2418"/>
      <c r="U417" s="2418"/>
      <c r="V417" s="2418"/>
      <c r="W417" s="2418"/>
      <c r="X417" s="2418"/>
      <c r="Y417" s="2418"/>
      <c r="Z417" s="2418"/>
      <c r="AA417" s="2418"/>
      <c r="AB417" s="2418"/>
      <c r="AC417" s="2418"/>
      <c r="AD417" s="2418"/>
      <c r="AE417" s="2418"/>
      <c r="AF417" s="2418"/>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18"/>
      <c r="G418" s="2418"/>
      <c r="H418" s="2418"/>
      <c r="I418" s="2418"/>
      <c r="J418" s="2418"/>
      <c r="K418" s="2418"/>
      <c r="L418" s="2418"/>
      <c r="M418" s="2418"/>
      <c r="N418" s="2418"/>
      <c r="O418" s="2418"/>
      <c r="P418" s="2418"/>
      <c r="Q418" s="2418"/>
      <c r="R418" s="2418"/>
      <c r="S418" s="2418"/>
      <c r="T418" s="2418"/>
      <c r="U418" s="2418"/>
      <c r="V418" s="2418"/>
      <c r="W418" s="2418"/>
      <c r="X418" s="2418"/>
      <c r="Y418" s="2418"/>
      <c r="Z418" s="2418"/>
      <c r="AA418" s="2418"/>
      <c r="AB418" s="2418"/>
      <c r="AC418" s="2418"/>
      <c r="AD418" s="2418"/>
      <c r="AE418" s="2418"/>
      <c r="AF418" s="2418"/>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18"/>
      <c r="G419" s="2418"/>
      <c r="H419" s="2418"/>
      <c r="I419" s="2418"/>
      <c r="J419" s="2418"/>
      <c r="K419" s="2418"/>
      <c r="L419" s="2418"/>
      <c r="M419" s="2418"/>
      <c r="N419" s="2418"/>
      <c r="O419" s="2418"/>
      <c r="P419" s="2418"/>
      <c r="Q419" s="2418"/>
      <c r="R419" s="2418"/>
      <c r="S419" s="2418"/>
      <c r="T419" s="2418"/>
      <c r="U419" s="2418"/>
      <c r="V419" s="2418"/>
      <c r="W419" s="2418"/>
      <c r="X419" s="2418"/>
      <c r="Y419" s="2418"/>
      <c r="Z419" s="2418"/>
      <c r="AA419" s="2418"/>
      <c r="AB419" s="2418"/>
      <c r="AC419" s="2418"/>
      <c r="AD419" s="2418"/>
      <c r="AE419" s="2418"/>
      <c r="AF419" s="2418"/>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542" t="s">
        <v>589</v>
      </c>
      <c r="D420" s="2502"/>
      <c r="E420" s="682"/>
      <c r="F420" s="712" t="s">
        <v>1460</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543" t="s">
        <v>1450</v>
      </c>
      <c r="AG420" s="2543"/>
      <c r="AH420" s="2543"/>
      <c r="AI420" s="2543"/>
      <c r="AJ420" s="2543"/>
      <c r="AK420" s="2543"/>
      <c r="AL420" s="2544"/>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542" t="s">
        <v>589</v>
      </c>
      <c r="D422" s="2502"/>
      <c r="E422" s="710"/>
      <c r="F422" s="712" t="s">
        <v>1461</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543" t="s">
        <v>1462</v>
      </c>
      <c r="AG422" s="2543"/>
      <c r="AH422" s="2543"/>
      <c r="AI422" s="2543"/>
      <c r="AJ422" s="2543"/>
      <c r="AK422" s="2543"/>
      <c r="AL422" s="2544"/>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542" t="s">
        <v>589</v>
      </c>
      <c r="D425" s="2502"/>
      <c r="E425" s="706" t="s">
        <v>1463</v>
      </c>
      <c r="F425" s="2545" t="s">
        <v>1464</v>
      </c>
      <c r="G425" s="2545"/>
      <c r="H425" s="2545"/>
      <c r="I425" s="2545"/>
      <c r="J425" s="2545"/>
      <c r="K425" s="2545"/>
      <c r="L425" s="2545"/>
      <c r="M425" s="2545"/>
      <c r="N425" s="2545"/>
      <c r="O425" s="2545"/>
      <c r="P425" s="2545"/>
      <c r="Q425" s="2545"/>
      <c r="R425" s="2545"/>
      <c r="S425" s="2545"/>
      <c r="T425" s="2545"/>
      <c r="U425" s="2545"/>
      <c r="V425" s="2545"/>
      <c r="W425" s="2545"/>
      <c r="X425" s="2545"/>
      <c r="Y425" s="2545"/>
      <c r="Z425" s="2545"/>
      <c r="AA425" s="2545"/>
      <c r="AB425" s="2545"/>
      <c r="AC425" s="2545"/>
      <c r="AD425" s="2545"/>
      <c r="AE425" s="2545"/>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18"/>
      <c r="G426" s="2418"/>
      <c r="H426" s="2418"/>
      <c r="I426" s="2418"/>
      <c r="J426" s="2418"/>
      <c r="K426" s="2418"/>
      <c r="L426" s="2418"/>
      <c r="M426" s="2418"/>
      <c r="N426" s="2418"/>
      <c r="O426" s="2418"/>
      <c r="P426" s="2418"/>
      <c r="Q426" s="2418"/>
      <c r="R426" s="2418"/>
      <c r="S426" s="2418"/>
      <c r="T426" s="2418"/>
      <c r="U426" s="2418"/>
      <c r="V426" s="2418"/>
      <c r="W426" s="2418"/>
      <c r="X426" s="2418"/>
      <c r="Y426" s="2418"/>
      <c r="Z426" s="2418"/>
      <c r="AA426" s="2418"/>
      <c r="AB426" s="2418"/>
      <c r="AC426" s="2418"/>
      <c r="AD426" s="2418"/>
      <c r="AE426" s="2418"/>
      <c r="AF426" s="2480" t="s">
        <v>1450</v>
      </c>
      <c r="AG426" s="2480"/>
      <c r="AH426" s="2480"/>
      <c r="AI426" s="2480"/>
      <c r="AJ426" s="2480"/>
      <c r="AK426" s="2480"/>
      <c r="AL426" s="2546"/>
      <c r="AM426" s="563"/>
      <c r="AN426" s="590"/>
      <c r="BS426" s="563"/>
      <c r="BT426" s="563"/>
      <c r="BY426" s="563"/>
      <c r="BZ426" s="563"/>
      <c r="CA426" s="563"/>
      <c r="CB426" s="563"/>
      <c r="CC426" s="563"/>
    </row>
    <row r="427" spans="1:81" s="544" customFormat="1" ht="12.75" customHeight="1">
      <c r="A427" s="532"/>
      <c r="B427" s="14"/>
      <c r="C427" s="722"/>
      <c r="D427" s="14"/>
      <c r="E427" s="682"/>
      <c r="F427" s="2418"/>
      <c r="G427" s="2418"/>
      <c r="H427" s="2418"/>
      <c r="I427" s="2418"/>
      <c r="J427" s="2418"/>
      <c r="K427" s="2418"/>
      <c r="L427" s="2418"/>
      <c r="M427" s="2418"/>
      <c r="N427" s="2418"/>
      <c r="O427" s="2418"/>
      <c r="P427" s="2418"/>
      <c r="Q427" s="2418"/>
      <c r="R427" s="2418"/>
      <c r="S427" s="2418"/>
      <c r="T427" s="2418"/>
      <c r="U427" s="2418"/>
      <c r="V427" s="2418"/>
      <c r="W427" s="2418"/>
      <c r="X427" s="2418"/>
      <c r="Y427" s="2418"/>
      <c r="Z427" s="2418"/>
      <c r="AA427" s="2418"/>
      <c r="AB427" s="2418"/>
      <c r="AC427" s="2418"/>
      <c r="AD427" s="2418"/>
      <c r="AE427" s="2418"/>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574"/>
      <c r="G428" s="2574"/>
      <c r="H428" s="2574"/>
      <c r="I428" s="2574"/>
      <c r="J428" s="2574"/>
      <c r="K428" s="2574"/>
      <c r="L428" s="2574"/>
      <c r="M428" s="2574"/>
      <c r="N428" s="2574"/>
      <c r="O428" s="2574"/>
      <c r="P428" s="2574"/>
      <c r="Q428" s="2574"/>
      <c r="R428" s="2574"/>
      <c r="S428" s="2574"/>
      <c r="T428" s="2574"/>
      <c r="U428" s="2574"/>
      <c r="V428" s="2574"/>
      <c r="W428" s="2574"/>
      <c r="X428" s="2574"/>
      <c r="Y428" s="2574"/>
      <c r="Z428" s="2574"/>
      <c r="AA428" s="2574"/>
      <c r="AB428" s="2574"/>
      <c r="AC428" s="2574"/>
      <c r="AD428" s="2574"/>
      <c r="AE428" s="2574"/>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1465</v>
      </c>
      <c r="F430" s="2545" t="s">
        <v>1466</v>
      </c>
      <c r="G430" s="2545"/>
      <c r="H430" s="2545"/>
      <c r="I430" s="2545"/>
      <c r="J430" s="2545"/>
      <c r="K430" s="2545"/>
      <c r="L430" s="2545"/>
      <c r="M430" s="2545"/>
      <c r="N430" s="2545"/>
      <c r="O430" s="2545"/>
      <c r="P430" s="2545"/>
      <c r="Q430" s="2545"/>
      <c r="R430" s="2545"/>
      <c r="S430" s="2545"/>
      <c r="T430" s="2545"/>
      <c r="U430" s="2545"/>
      <c r="V430" s="2545"/>
      <c r="W430" s="2545"/>
      <c r="X430" s="2545"/>
      <c r="Y430" s="2545"/>
      <c r="Z430" s="2545"/>
      <c r="AA430" s="2545"/>
      <c r="AB430" s="2545"/>
      <c r="AC430" s="2545"/>
      <c r="AD430" s="2545"/>
      <c r="AE430" s="2545"/>
      <c r="AF430" s="738"/>
      <c r="AG430" s="738"/>
      <c r="AH430" s="738"/>
      <c r="AI430" s="738"/>
      <c r="AJ430" s="738"/>
      <c r="AK430" s="738"/>
      <c r="AL430" s="739"/>
      <c r="AM430" s="563"/>
    </row>
    <row r="431" spans="1:81">
      <c r="A431" s="532"/>
      <c r="C431" s="722"/>
      <c r="E431" s="682"/>
      <c r="F431" s="2418"/>
      <c r="G431" s="2418"/>
      <c r="H431" s="2418"/>
      <c r="I431" s="2418"/>
      <c r="J431" s="2418"/>
      <c r="K431" s="2418"/>
      <c r="L431" s="2418"/>
      <c r="M431" s="2418"/>
      <c r="N431" s="2418"/>
      <c r="O431" s="2418"/>
      <c r="P431" s="2418"/>
      <c r="Q431" s="2418"/>
      <c r="R431" s="2418"/>
      <c r="S431" s="2418"/>
      <c r="T431" s="2418"/>
      <c r="U431" s="2418"/>
      <c r="V431" s="2418"/>
      <c r="W431" s="2418"/>
      <c r="X431" s="2418"/>
      <c r="Y431" s="2418"/>
      <c r="Z431" s="2418"/>
      <c r="AA431" s="2418"/>
      <c r="AB431" s="2418"/>
      <c r="AC431" s="2418"/>
      <c r="AD431" s="2418"/>
      <c r="AE431" s="2418"/>
      <c r="AF431" s="535"/>
      <c r="AG431" s="532"/>
      <c r="AH431" s="544"/>
      <c r="AI431" s="544"/>
      <c r="AJ431" s="544"/>
      <c r="AK431" s="544"/>
      <c r="AL431" s="723"/>
      <c r="AM431" s="563"/>
    </row>
    <row r="432" spans="1:81" s="544" customFormat="1" ht="12.75" customHeight="1">
      <c r="A432" s="532"/>
      <c r="B432" s="14"/>
      <c r="C432" s="722"/>
      <c r="D432" s="14"/>
      <c r="E432" s="682"/>
      <c r="F432" s="2418"/>
      <c r="G432" s="2418"/>
      <c r="H432" s="2418"/>
      <c r="I432" s="2418"/>
      <c r="J432" s="2418"/>
      <c r="K432" s="2418"/>
      <c r="L432" s="2418"/>
      <c r="M432" s="2418"/>
      <c r="N432" s="2418"/>
      <c r="O432" s="2418"/>
      <c r="P432" s="2418"/>
      <c r="Q432" s="2418"/>
      <c r="R432" s="2418"/>
      <c r="S432" s="2418"/>
      <c r="T432" s="2418"/>
      <c r="U432" s="2418"/>
      <c r="V432" s="2418"/>
      <c r="W432" s="2418"/>
      <c r="X432" s="2418"/>
      <c r="Y432" s="2418"/>
      <c r="Z432" s="2418"/>
      <c r="AA432" s="2418"/>
      <c r="AB432" s="2418"/>
      <c r="AC432" s="2418"/>
      <c r="AD432" s="2418"/>
      <c r="AE432" s="2418"/>
      <c r="AL432" s="723"/>
      <c r="AM432" s="563"/>
      <c r="AN432" s="590"/>
    </row>
    <row r="433" spans="1:60" s="544" customFormat="1" ht="12.75" customHeight="1">
      <c r="A433" s="532"/>
      <c r="B433" s="14"/>
      <c r="C433" s="730"/>
      <c r="F433" s="2418"/>
      <c r="G433" s="2418"/>
      <c r="H433" s="2418"/>
      <c r="I433" s="2418"/>
      <c r="J433" s="2418"/>
      <c r="K433" s="2418"/>
      <c r="L433" s="2418"/>
      <c r="M433" s="2418"/>
      <c r="N433" s="2418"/>
      <c r="O433" s="2418"/>
      <c r="P433" s="2418"/>
      <c r="Q433" s="2418"/>
      <c r="R433" s="2418"/>
      <c r="S433" s="2418"/>
      <c r="T433" s="2418"/>
      <c r="U433" s="2418"/>
      <c r="V433" s="2418"/>
      <c r="W433" s="2418"/>
      <c r="X433" s="2418"/>
      <c r="Y433" s="2418"/>
      <c r="Z433" s="2418"/>
      <c r="AA433" s="2418"/>
      <c r="AB433" s="2418"/>
      <c r="AC433" s="2418"/>
      <c r="AD433" s="2418"/>
      <c r="AE433" s="2418"/>
      <c r="AL433" s="723"/>
      <c r="AM433" s="563"/>
      <c r="AN433" s="590"/>
    </row>
    <row r="434" spans="1:60" s="544" customFormat="1" ht="12.75" customHeight="1">
      <c r="A434" s="532"/>
      <c r="B434" s="14"/>
      <c r="C434" s="2542" t="s">
        <v>589</v>
      </c>
      <c r="D434" s="2502"/>
      <c r="E434" s="682"/>
      <c r="F434" s="712" t="s">
        <v>1467</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80" t="s">
        <v>1450</v>
      </c>
      <c r="AG434" s="2480"/>
      <c r="AH434" s="2480"/>
      <c r="AI434" s="2480"/>
      <c r="AJ434" s="2480"/>
      <c r="AK434" s="2480"/>
      <c r="AL434" s="2546"/>
      <c r="AM434" s="563"/>
      <c r="AN434" s="590"/>
    </row>
    <row r="435" spans="1:60" s="544" customFormat="1" ht="12.75" customHeight="1">
      <c r="A435" s="532"/>
      <c r="B435" s="14"/>
      <c r="C435" s="730"/>
      <c r="AL435" s="723"/>
      <c r="AM435" s="563"/>
      <c r="AN435" s="590"/>
    </row>
    <row r="436" spans="1:60" s="544" customFormat="1" ht="12.75" customHeight="1">
      <c r="A436" s="532"/>
      <c r="B436" s="14"/>
      <c r="C436" s="2542" t="s">
        <v>589</v>
      </c>
      <c r="D436" s="2502"/>
      <c r="E436" s="710"/>
      <c r="F436" s="712" t="s">
        <v>1468</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80" t="s">
        <v>1462</v>
      </c>
      <c r="AG436" s="2480"/>
      <c r="AH436" s="2480"/>
      <c r="AI436" s="2480"/>
      <c r="AJ436" s="2480"/>
      <c r="AK436" s="2480"/>
      <c r="AL436" s="2546"/>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2156</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1469</v>
      </c>
      <c r="F440" s="2545" t="s">
        <v>1470</v>
      </c>
      <c r="G440" s="2545"/>
      <c r="H440" s="2545"/>
      <c r="I440" s="2545"/>
      <c r="J440" s="2545"/>
      <c r="K440" s="2545"/>
      <c r="L440" s="2545"/>
      <c r="M440" s="2545"/>
      <c r="N440" s="2545"/>
      <c r="O440" s="2545"/>
      <c r="P440" s="2545"/>
      <c r="Q440" s="2545"/>
      <c r="R440" s="2545"/>
      <c r="S440" s="2545"/>
      <c r="T440" s="2545"/>
      <c r="U440" s="2545"/>
      <c r="V440" s="2545"/>
      <c r="W440" s="2545"/>
      <c r="X440" s="2545"/>
      <c r="Y440" s="2545"/>
      <c r="Z440" s="2545"/>
      <c r="AA440" s="2545"/>
      <c r="AB440" s="2545"/>
      <c r="AC440" s="2545"/>
      <c r="AD440" s="2545"/>
      <c r="AE440" s="2545"/>
      <c r="AF440" s="705"/>
      <c r="AG440" s="705"/>
      <c r="AH440" s="705"/>
      <c r="AI440" s="705"/>
      <c r="AJ440" s="705"/>
      <c r="AK440" s="705"/>
      <c r="AL440" s="736"/>
      <c r="AM440" s="563"/>
      <c r="AN440" s="590"/>
    </row>
    <row r="441" spans="1:60" s="544" customFormat="1" ht="12.75" customHeight="1">
      <c r="A441" s="532"/>
      <c r="B441" s="14"/>
      <c r="C441" s="722"/>
      <c r="D441" s="14"/>
      <c r="E441" s="682"/>
      <c r="F441" s="2418"/>
      <c r="G441" s="2418"/>
      <c r="H441" s="2418"/>
      <c r="I441" s="2418"/>
      <c r="J441" s="2418"/>
      <c r="K441" s="2418"/>
      <c r="L441" s="2418"/>
      <c r="M441" s="2418"/>
      <c r="N441" s="2418"/>
      <c r="O441" s="2418"/>
      <c r="P441" s="2418"/>
      <c r="Q441" s="2418"/>
      <c r="R441" s="2418"/>
      <c r="S441" s="2418"/>
      <c r="T441" s="2418"/>
      <c r="U441" s="2418"/>
      <c r="V441" s="2418"/>
      <c r="W441" s="2418"/>
      <c r="X441" s="2418"/>
      <c r="Y441" s="2418"/>
      <c r="Z441" s="2418"/>
      <c r="AA441" s="2418"/>
      <c r="AB441" s="2418"/>
      <c r="AC441" s="2418"/>
      <c r="AD441" s="2418"/>
      <c r="AE441" s="2418"/>
      <c r="AF441" s="535"/>
      <c r="AG441" s="532"/>
      <c r="AL441" s="723"/>
      <c r="AM441" s="563"/>
      <c r="AN441" s="590"/>
    </row>
    <row r="442" spans="1:60" s="544" customFormat="1" ht="12.6" customHeight="1">
      <c r="A442" s="532"/>
      <c r="B442" s="14"/>
      <c r="C442" s="722"/>
      <c r="D442" s="14"/>
      <c r="E442" s="682"/>
      <c r="F442" s="2418"/>
      <c r="G442" s="2418"/>
      <c r="H442" s="2418"/>
      <c r="I442" s="2418"/>
      <c r="J442" s="2418"/>
      <c r="K442" s="2418"/>
      <c r="L442" s="2418"/>
      <c r="M442" s="2418"/>
      <c r="N442" s="2418"/>
      <c r="O442" s="2418"/>
      <c r="P442" s="2418"/>
      <c r="Q442" s="2418"/>
      <c r="R442" s="2418"/>
      <c r="S442" s="2418"/>
      <c r="T442" s="2418"/>
      <c r="U442" s="2418"/>
      <c r="V442" s="2418"/>
      <c r="W442" s="2418"/>
      <c r="X442" s="2418"/>
      <c r="Y442" s="2418"/>
      <c r="Z442" s="2418"/>
      <c r="AA442" s="2418"/>
      <c r="AB442" s="2418"/>
      <c r="AC442" s="2418"/>
      <c r="AD442" s="2418"/>
      <c r="AE442" s="2418"/>
      <c r="AL442" s="723"/>
      <c r="AM442" s="563"/>
      <c r="AN442" s="590"/>
    </row>
    <row r="443" spans="1:60" s="544" customFormat="1" ht="12.75" customHeight="1">
      <c r="A443" s="532"/>
      <c r="B443" s="14"/>
      <c r="C443" s="2542" t="s">
        <v>589</v>
      </c>
      <c r="D443" s="2502"/>
      <c r="E443" s="682"/>
      <c r="F443" s="712" t="s">
        <v>1471</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80" t="s">
        <v>1450</v>
      </c>
      <c r="AG443" s="2480"/>
      <c r="AH443" s="2480"/>
      <c r="AI443" s="2480"/>
      <c r="AJ443" s="2480"/>
      <c r="AK443" s="2480"/>
      <c r="AL443" s="2546"/>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35" customHeight="1">
      <c r="A446" s="532"/>
      <c r="C446" s="737"/>
      <c r="D446" s="738"/>
      <c r="E446" s="706" t="s">
        <v>1472</v>
      </c>
      <c r="F446" s="2545" t="s">
        <v>1473</v>
      </c>
      <c r="G446" s="2545"/>
      <c r="H446" s="2545"/>
      <c r="I446" s="2545"/>
      <c r="J446" s="2545"/>
      <c r="K446" s="2545"/>
      <c r="L446" s="2545"/>
      <c r="M446" s="2545"/>
      <c r="N446" s="2545"/>
      <c r="O446" s="2545"/>
      <c r="P446" s="2545"/>
      <c r="Q446" s="2545"/>
      <c r="R446" s="2545"/>
      <c r="S446" s="2545"/>
      <c r="T446" s="2545"/>
      <c r="U446" s="2545"/>
      <c r="V446" s="2545"/>
      <c r="W446" s="2545"/>
      <c r="X446" s="2545"/>
      <c r="Y446" s="2545"/>
      <c r="Z446" s="2545"/>
      <c r="AA446" s="2545"/>
      <c r="AB446" s="2545"/>
      <c r="AC446" s="2545"/>
      <c r="AD446" s="2545"/>
      <c r="AE446" s="2545"/>
      <c r="AF446" s="738"/>
      <c r="AG446" s="738"/>
      <c r="AH446" s="738"/>
      <c r="AI446" s="738"/>
      <c r="AJ446" s="738"/>
      <c r="AK446" s="738"/>
      <c r="AL446" s="739"/>
      <c r="AM446" s="563"/>
      <c r="AO446" s="544"/>
      <c r="AP446" s="544"/>
      <c r="BD446" s="14"/>
      <c r="BE446" s="14"/>
      <c r="BF446" s="14"/>
      <c r="BG446" s="14"/>
      <c r="BH446" s="14"/>
    </row>
    <row r="447" spans="1:60">
      <c r="A447" s="532"/>
      <c r="C447" s="722"/>
      <c r="E447" s="682"/>
      <c r="F447" s="2418"/>
      <c r="G447" s="2418"/>
      <c r="H447" s="2418"/>
      <c r="I447" s="2418"/>
      <c r="J447" s="2418"/>
      <c r="K447" s="2418"/>
      <c r="L447" s="2418"/>
      <c r="M447" s="2418"/>
      <c r="N447" s="2418"/>
      <c r="O447" s="2418"/>
      <c r="P447" s="2418"/>
      <c r="Q447" s="2418"/>
      <c r="R447" s="2418"/>
      <c r="S447" s="2418"/>
      <c r="T447" s="2418"/>
      <c r="U447" s="2418"/>
      <c r="V447" s="2418"/>
      <c r="W447" s="2418"/>
      <c r="X447" s="2418"/>
      <c r="Y447" s="2418"/>
      <c r="Z447" s="2418"/>
      <c r="AA447" s="2418"/>
      <c r="AB447" s="2418"/>
      <c r="AC447" s="2418"/>
      <c r="AD447" s="2418"/>
      <c r="AE447" s="2418"/>
      <c r="AF447" s="587"/>
      <c r="AG447" s="587"/>
      <c r="AH447" s="587"/>
      <c r="AI447" s="587"/>
      <c r="AJ447" s="587"/>
      <c r="AK447" s="587"/>
      <c r="AL447" s="741"/>
      <c r="AM447" s="563"/>
      <c r="AO447" s="544"/>
      <c r="AP447" s="544"/>
    </row>
    <row r="448" spans="1:60" s="544" customFormat="1" ht="12.75" customHeight="1">
      <c r="A448" s="532"/>
      <c r="B448" s="14"/>
      <c r="C448" s="722"/>
      <c r="D448" s="14"/>
      <c r="E448" s="682"/>
      <c r="F448" s="2418"/>
      <c r="G448" s="2418"/>
      <c r="H448" s="2418"/>
      <c r="I448" s="2418"/>
      <c r="J448" s="2418"/>
      <c r="K448" s="2418"/>
      <c r="L448" s="2418"/>
      <c r="M448" s="2418"/>
      <c r="N448" s="2418"/>
      <c r="O448" s="2418"/>
      <c r="P448" s="2418"/>
      <c r="Q448" s="2418"/>
      <c r="R448" s="2418"/>
      <c r="S448" s="2418"/>
      <c r="T448" s="2418"/>
      <c r="U448" s="2418"/>
      <c r="V448" s="2418"/>
      <c r="W448" s="2418"/>
      <c r="X448" s="2418"/>
      <c r="Y448" s="2418"/>
      <c r="Z448" s="2418"/>
      <c r="AA448" s="2418"/>
      <c r="AB448" s="2418"/>
      <c r="AC448" s="2418"/>
      <c r="AD448" s="2418"/>
      <c r="AE448" s="2418"/>
      <c r="AF448" s="587"/>
      <c r="AG448" s="587"/>
      <c r="AH448" s="587"/>
      <c r="AI448" s="587"/>
      <c r="AJ448" s="587"/>
      <c r="AK448" s="587"/>
      <c r="AL448" s="741"/>
      <c r="AM448" s="563"/>
      <c r="AN448" s="590"/>
    </row>
    <row r="449" spans="1:42" s="544" customFormat="1" ht="12.75" customHeight="1">
      <c r="A449" s="532"/>
      <c r="B449" s="14"/>
      <c r="C449" s="742"/>
      <c r="D449" s="721"/>
      <c r="E449" s="710"/>
      <c r="F449" s="2418"/>
      <c r="G449" s="2418"/>
      <c r="H449" s="2418"/>
      <c r="I449" s="2418"/>
      <c r="J449" s="2418"/>
      <c r="K449" s="2418"/>
      <c r="L449" s="2418"/>
      <c r="M449" s="2418"/>
      <c r="N449" s="2418"/>
      <c r="O449" s="2418"/>
      <c r="P449" s="2418"/>
      <c r="Q449" s="2418"/>
      <c r="R449" s="2418"/>
      <c r="S449" s="2418"/>
      <c r="T449" s="2418"/>
      <c r="U449" s="2418"/>
      <c r="V449" s="2418"/>
      <c r="W449" s="2418"/>
      <c r="X449" s="2418"/>
      <c r="Y449" s="2418"/>
      <c r="Z449" s="2418"/>
      <c r="AA449" s="2418"/>
      <c r="AB449" s="2418"/>
      <c r="AC449" s="2418"/>
      <c r="AD449" s="2418"/>
      <c r="AE449" s="2418"/>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18"/>
      <c r="G450" s="2418"/>
      <c r="H450" s="2418"/>
      <c r="I450" s="2418"/>
      <c r="J450" s="2418"/>
      <c r="K450" s="2418"/>
      <c r="L450" s="2418"/>
      <c r="M450" s="2418"/>
      <c r="N450" s="2418"/>
      <c r="O450" s="2418"/>
      <c r="P450" s="2418"/>
      <c r="Q450" s="2418"/>
      <c r="R450" s="2418"/>
      <c r="S450" s="2418"/>
      <c r="T450" s="2418"/>
      <c r="U450" s="2418"/>
      <c r="V450" s="2418"/>
      <c r="W450" s="2418"/>
      <c r="X450" s="2418"/>
      <c r="Y450" s="2418"/>
      <c r="Z450" s="2418"/>
      <c r="AA450" s="2418"/>
      <c r="AB450" s="2418"/>
      <c r="AC450" s="2418"/>
      <c r="AD450" s="2418"/>
      <c r="AE450" s="2418"/>
      <c r="AF450" s="587"/>
      <c r="AG450" s="587"/>
      <c r="AH450" s="587"/>
      <c r="AI450" s="587"/>
      <c r="AJ450" s="587"/>
      <c r="AK450" s="587"/>
      <c r="AL450" s="741"/>
      <c r="AM450" s="563"/>
      <c r="AN450" s="590"/>
    </row>
    <row r="451" spans="1:42" s="544" customFormat="1" ht="12.75" customHeight="1">
      <c r="A451" s="532"/>
      <c r="B451" s="14"/>
      <c r="C451" s="742"/>
      <c r="D451" s="721"/>
      <c r="E451" s="710"/>
      <c r="F451" s="2418"/>
      <c r="G451" s="2418"/>
      <c r="H451" s="2418"/>
      <c r="I451" s="2418"/>
      <c r="J451" s="2418"/>
      <c r="K451" s="2418"/>
      <c r="L451" s="2418"/>
      <c r="M451" s="2418"/>
      <c r="N451" s="2418"/>
      <c r="O451" s="2418"/>
      <c r="P451" s="2418"/>
      <c r="Q451" s="2418"/>
      <c r="R451" s="2418"/>
      <c r="S451" s="2418"/>
      <c r="T451" s="2418"/>
      <c r="U451" s="2418"/>
      <c r="V451" s="2418"/>
      <c r="W451" s="2418"/>
      <c r="X451" s="2418"/>
      <c r="Y451" s="2418"/>
      <c r="Z451" s="2418"/>
      <c r="AA451" s="2418"/>
      <c r="AB451" s="2418"/>
      <c r="AC451" s="2418"/>
      <c r="AD451" s="2418"/>
      <c r="AE451" s="2418"/>
      <c r="AF451" s="587"/>
      <c r="AG451" s="587"/>
      <c r="AH451" s="587"/>
      <c r="AI451" s="587"/>
      <c r="AJ451" s="587"/>
      <c r="AK451" s="587"/>
      <c r="AL451" s="741"/>
      <c r="AM451" s="563"/>
      <c r="AN451" s="590"/>
    </row>
    <row r="452" spans="1:42" s="544" customFormat="1" ht="12.75" customHeight="1">
      <c r="A452" s="532"/>
      <c r="B452" s="14"/>
      <c r="C452" s="742"/>
      <c r="D452" s="721"/>
      <c r="E452" s="710"/>
      <c r="F452" s="2418"/>
      <c r="G452" s="2418"/>
      <c r="H452" s="2418"/>
      <c r="I452" s="2418"/>
      <c r="J452" s="2418"/>
      <c r="K452" s="2418"/>
      <c r="L452" s="2418"/>
      <c r="M452" s="2418"/>
      <c r="N452" s="2418"/>
      <c r="O452" s="2418"/>
      <c r="P452" s="2418"/>
      <c r="Q452" s="2418"/>
      <c r="R452" s="2418"/>
      <c r="S452" s="2418"/>
      <c r="T452" s="2418"/>
      <c r="U452" s="2418"/>
      <c r="V452" s="2418"/>
      <c r="W452" s="2418"/>
      <c r="X452" s="2418"/>
      <c r="Y452" s="2418"/>
      <c r="Z452" s="2418"/>
      <c r="AA452" s="2418"/>
      <c r="AB452" s="2418"/>
      <c r="AC452" s="2418"/>
      <c r="AD452" s="2418"/>
      <c r="AE452" s="2418"/>
      <c r="AF452" s="587"/>
      <c r="AG452" s="587"/>
      <c r="AH452" s="587"/>
      <c r="AI452" s="587"/>
      <c r="AJ452" s="587"/>
      <c r="AK452" s="587"/>
      <c r="AL452" s="741"/>
      <c r="AM452" s="563"/>
      <c r="AN452" s="590"/>
    </row>
    <row r="453" spans="1:42" s="544" customFormat="1" ht="12.75" customHeight="1">
      <c r="A453" s="532"/>
      <c r="B453" s="14"/>
      <c r="C453" s="742"/>
      <c r="D453" s="721"/>
      <c r="E453" s="710"/>
      <c r="F453" s="2418"/>
      <c r="G453" s="2418"/>
      <c r="H453" s="2418"/>
      <c r="I453" s="2418"/>
      <c r="J453" s="2418"/>
      <c r="K453" s="2418"/>
      <c r="L453" s="2418"/>
      <c r="M453" s="2418"/>
      <c r="N453" s="2418"/>
      <c r="O453" s="2418"/>
      <c r="P453" s="2418"/>
      <c r="Q453" s="2418"/>
      <c r="R453" s="2418"/>
      <c r="S453" s="2418"/>
      <c r="T453" s="2418"/>
      <c r="U453" s="2418"/>
      <c r="V453" s="2418"/>
      <c r="W453" s="2418"/>
      <c r="X453" s="2418"/>
      <c r="Y453" s="2418"/>
      <c r="Z453" s="2418"/>
      <c r="AA453" s="2418"/>
      <c r="AB453" s="2418"/>
      <c r="AC453" s="2418"/>
      <c r="AD453" s="2418"/>
      <c r="AE453" s="2418"/>
      <c r="AF453" s="587"/>
      <c r="AG453" s="587"/>
      <c r="AH453" s="587"/>
      <c r="AI453" s="587"/>
      <c r="AJ453" s="587"/>
      <c r="AK453" s="587"/>
      <c r="AL453" s="741"/>
      <c r="AM453" s="563"/>
      <c r="AN453" s="590"/>
    </row>
    <row r="454" spans="1:42" s="544" customFormat="1" ht="17.25" customHeight="1">
      <c r="A454" s="532"/>
      <c r="B454" s="14"/>
      <c r="C454" s="742"/>
      <c r="D454" s="721"/>
      <c r="E454" s="710"/>
      <c r="F454" s="2418"/>
      <c r="G454" s="2418"/>
      <c r="H454" s="2418"/>
      <c r="I454" s="2418"/>
      <c r="J454" s="2418"/>
      <c r="K454" s="2418"/>
      <c r="L454" s="2418"/>
      <c r="M454" s="2418"/>
      <c r="N454" s="2418"/>
      <c r="O454" s="2418"/>
      <c r="P454" s="2418"/>
      <c r="Q454" s="2418"/>
      <c r="R454" s="2418"/>
      <c r="S454" s="2418"/>
      <c r="T454" s="2418"/>
      <c r="U454" s="2418"/>
      <c r="V454" s="2418"/>
      <c r="W454" s="2418"/>
      <c r="X454" s="2418"/>
      <c r="Y454" s="2418"/>
      <c r="Z454" s="2418"/>
      <c r="AA454" s="2418"/>
      <c r="AB454" s="2418"/>
      <c r="AC454" s="2418"/>
      <c r="AD454" s="2418"/>
      <c r="AE454" s="2418"/>
      <c r="AL454" s="723"/>
      <c r="AM454" s="563"/>
      <c r="AN454" s="590"/>
    </row>
    <row r="455" spans="1:42" s="544" customFormat="1" ht="12.75" customHeight="1">
      <c r="A455" s="532"/>
      <c r="B455" s="14"/>
      <c r="C455" s="2542" t="s">
        <v>589</v>
      </c>
      <c r="D455" s="2502"/>
      <c r="E455" s="710"/>
      <c r="F455" s="589" t="s">
        <v>1474</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80" t="s">
        <v>1450</v>
      </c>
      <c r="AG455" s="2480"/>
      <c r="AH455" s="2480"/>
      <c r="AI455" s="2480"/>
      <c r="AJ455" s="2480"/>
      <c r="AK455" s="2480"/>
      <c r="AL455" s="2546"/>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1475</v>
      </c>
      <c r="F458" s="2545" t="s">
        <v>1476</v>
      </c>
      <c r="G458" s="2545"/>
      <c r="H458" s="2545"/>
      <c r="I458" s="2545"/>
      <c r="J458" s="2545"/>
      <c r="K458" s="2545"/>
      <c r="L458" s="2545"/>
      <c r="M458" s="2545"/>
      <c r="N458" s="2545"/>
      <c r="O458" s="2545"/>
      <c r="P458" s="2545"/>
      <c r="Q458" s="2545"/>
      <c r="R458" s="2545"/>
      <c r="S458" s="2545"/>
      <c r="T458" s="2545"/>
      <c r="U458" s="2545"/>
      <c r="V458" s="2545"/>
      <c r="W458" s="2545"/>
      <c r="X458" s="2545"/>
      <c r="Y458" s="2545"/>
      <c r="Z458" s="2545"/>
      <c r="AA458" s="2545"/>
      <c r="AB458" s="2545"/>
      <c r="AC458" s="2545"/>
      <c r="AD458" s="2545"/>
      <c r="AE458" s="2545"/>
      <c r="AF458" s="705"/>
      <c r="AG458" s="705"/>
      <c r="AH458" s="705"/>
      <c r="AI458" s="705"/>
      <c r="AJ458" s="705"/>
      <c r="AK458" s="705"/>
      <c r="AL458" s="736"/>
      <c r="AM458" s="563"/>
      <c r="AN458" s="590"/>
    </row>
    <row r="459" spans="1:42" s="544" customFormat="1" ht="12.75" customHeight="1">
      <c r="A459" s="532"/>
      <c r="B459" s="14"/>
      <c r="C459" s="742"/>
      <c r="D459" s="721"/>
      <c r="E459" s="710"/>
      <c r="F459" s="2418"/>
      <c r="G459" s="2418"/>
      <c r="H459" s="2418"/>
      <c r="I459" s="2418"/>
      <c r="J459" s="2418"/>
      <c r="K459" s="2418"/>
      <c r="L459" s="2418"/>
      <c r="M459" s="2418"/>
      <c r="N459" s="2418"/>
      <c r="O459" s="2418"/>
      <c r="P459" s="2418"/>
      <c r="Q459" s="2418"/>
      <c r="R459" s="2418"/>
      <c r="S459" s="2418"/>
      <c r="T459" s="2418"/>
      <c r="U459" s="2418"/>
      <c r="V459" s="2418"/>
      <c r="W459" s="2418"/>
      <c r="X459" s="2418"/>
      <c r="Y459" s="2418"/>
      <c r="Z459" s="2418"/>
      <c r="AA459" s="2418"/>
      <c r="AB459" s="2418"/>
      <c r="AC459" s="2418"/>
      <c r="AD459" s="2418"/>
      <c r="AE459" s="2418"/>
      <c r="AF459" s="584"/>
      <c r="AG459" s="584"/>
      <c r="AH459" s="584"/>
      <c r="AI459" s="584"/>
      <c r="AJ459" s="584"/>
      <c r="AK459" s="584"/>
      <c r="AL459" s="711"/>
      <c r="AM459" s="563"/>
      <c r="AN459" s="590"/>
    </row>
    <row r="460" spans="1:42" s="544" customFormat="1" ht="12.75" customHeight="1">
      <c r="A460" s="532"/>
      <c r="B460" s="14"/>
      <c r="C460" s="742"/>
      <c r="D460" s="721"/>
      <c r="E460" s="710"/>
      <c r="F460" s="2418"/>
      <c r="G460" s="2418"/>
      <c r="H460" s="2418"/>
      <c r="I460" s="2418"/>
      <c r="J460" s="2418"/>
      <c r="K460" s="2418"/>
      <c r="L460" s="2418"/>
      <c r="M460" s="2418"/>
      <c r="N460" s="2418"/>
      <c r="O460" s="2418"/>
      <c r="P460" s="2418"/>
      <c r="Q460" s="2418"/>
      <c r="R460" s="2418"/>
      <c r="S460" s="2418"/>
      <c r="T460" s="2418"/>
      <c r="U460" s="2418"/>
      <c r="V460" s="2418"/>
      <c r="W460" s="2418"/>
      <c r="X460" s="2418"/>
      <c r="Y460" s="2418"/>
      <c r="Z460" s="2418"/>
      <c r="AA460" s="2418"/>
      <c r="AB460" s="2418"/>
      <c r="AC460" s="2418"/>
      <c r="AD460" s="2418"/>
      <c r="AE460" s="2418"/>
      <c r="AF460" s="584"/>
      <c r="AG460" s="584"/>
      <c r="AH460" s="584"/>
      <c r="AI460" s="584"/>
      <c r="AJ460" s="584"/>
      <c r="AK460" s="584"/>
      <c r="AL460" s="711"/>
      <c r="AM460" s="563"/>
      <c r="AN460" s="590"/>
    </row>
    <row r="461" spans="1:42" s="544" customFormat="1" ht="12.75" customHeight="1">
      <c r="A461" s="532"/>
      <c r="B461" s="14"/>
      <c r="C461" s="742"/>
      <c r="D461" s="721"/>
      <c r="E461" s="710"/>
      <c r="F461" s="2418"/>
      <c r="G461" s="2418"/>
      <c r="H461" s="2418"/>
      <c r="I461" s="2418"/>
      <c r="J461" s="2418"/>
      <c r="K461" s="2418"/>
      <c r="L461" s="2418"/>
      <c r="M461" s="2418"/>
      <c r="N461" s="2418"/>
      <c r="O461" s="2418"/>
      <c r="P461" s="2418"/>
      <c r="Q461" s="2418"/>
      <c r="R461" s="2418"/>
      <c r="S461" s="2418"/>
      <c r="T461" s="2418"/>
      <c r="U461" s="2418"/>
      <c r="V461" s="2418"/>
      <c r="W461" s="2418"/>
      <c r="X461" s="2418"/>
      <c r="Y461" s="2418"/>
      <c r="Z461" s="2418"/>
      <c r="AA461" s="2418"/>
      <c r="AB461" s="2418"/>
      <c r="AC461" s="2418"/>
      <c r="AD461" s="2418"/>
      <c r="AE461" s="2418"/>
      <c r="AL461" s="723"/>
      <c r="AM461" s="563"/>
      <c r="AN461" s="590"/>
    </row>
    <row r="462" spans="1:42" s="544" customFormat="1" ht="12.75" customHeight="1">
      <c r="A462" s="532"/>
      <c r="B462" s="14"/>
      <c r="C462" s="2542" t="s">
        <v>589</v>
      </c>
      <c r="D462" s="2502"/>
      <c r="E462" s="710"/>
      <c r="F462" s="712" t="s">
        <v>1480</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80" t="s">
        <v>1450</v>
      </c>
      <c r="AG462" s="2480"/>
      <c r="AH462" s="2480"/>
      <c r="AI462" s="2480"/>
      <c r="AJ462" s="2480"/>
      <c r="AK462" s="2480"/>
      <c r="AL462" s="2546"/>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1457</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47" t="s">
        <v>589</v>
      </c>
      <c r="D466" s="2548"/>
      <c r="E466" s="706" t="s">
        <v>1485</v>
      </c>
      <c r="F466" s="2545" t="s">
        <v>1486</v>
      </c>
      <c r="G466" s="2545"/>
      <c r="H466" s="2545"/>
      <c r="I466" s="2545"/>
      <c r="J466" s="2545"/>
      <c r="K466" s="2545"/>
      <c r="L466" s="2545"/>
      <c r="M466" s="2545"/>
      <c r="N466" s="2545"/>
      <c r="O466" s="2545"/>
      <c r="P466" s="2545"/>
      <c r="Q466" s="2545"/>
      <c r="R466" s="2545"/>
      <c r="S466" s="2545"/>
      <c r="T466" s="2545"/>
      <c r="U466" s="2545"/>
      <c r="V466" s="2545"/>
      <c r="W466" s="2545"/>
      <c r="X466" s="2545"/>
      <c r="Y466" s="2545"/>
      <c r="Z466" s="2545"/>
      <c r="AA466" s="2545"/>
      <c r="AB466" s="2545"/>
      <c r="AC466" s="2545"/>
      <c r="AD466" s="2545"/>
      <c r="AE466" s="2545"/>
      <c r="AF466" s="2630" t="s">
        <v>1450</v>
      </c>
      <c r="AG466" s="2630"/>
      <c r="AH466" s="2630"/>
      <c r="AI466" s="2630"/>
      <c r="AJ466" s="2630"/>
      <c r="AK466" s="2630"/>
      <c r="AL466" s="2631"/>
      <c r="AM466" s="563"/>
      <c r="AN466" s="744"/>
    </row>
    <row r="467" spans="1:40" s="544" customFormat="1" ht="12.75" customHeight="1">
      <c r="A467" s="532"/>
      <c r="B467" s="14"/>
      <c r="C467" s="742"/>
      <c r="D467" s="721"/>
      <c r="E467" s="710"/>
      <c r="F467" s="2418"/>
      <c r="G467" s="2418"/>
      <c r="H467" s="2418"/>
      <c r="I467" s="2418"/>
      <c r="J467" s="2418"/>
      <c r="K467" s="2418"/>
      <c r="L467" s="2418"/>
      <c r="M467" s="2418"/>
      <c r="N467" s="2418"/>
      <c r="O467" s="2418"/>
      <c r="P467" s="2418"/>
      <c r="Q467" s="2418"/>
      <c r="R467" s="2418"/>
      <c r="S467" s="2418"/>
      <c r="T467" s="2418"/>
      <c r="U467" s="2418"/>
      <c r="V467" s="2418"/>
      <c r="W467" s="2418"/>
      <c r="X467" s="2418"/>
      <c r="Y467" s="2418"/>
      <c r="Z467" s="2418"/>
      <c r="AA467" s="2418"/>
      <c r="AB467" s="2418"/>
      <c r="AC467" s="2418"/>
      <c r="AD467" s="2418"/>
      <c r="AE467" s="2418"/>
      <c r="AF467" s="584"/>
      <c r="AG467" s="584"/>
      <c r="AH467" s="584"/>
      <c r="AI467" s="584"/>
      <c r="AJ467" s="584"/>
      <c r="AK467" s="584"/>
      <c r="AL467" s="711"/>
      <c r="AM467" s="563"/>
      <c r="AN467" s="745"/>
    </row>
    <row r="468" spans="1:40" s="544" customFormat="1" ht="17.850000000000001" customHeight="1">
      <c r="A468" s="532"/>
      <c r="B468" s="14"/>
      <c r="C468" s="747"/>
      <c r="D468" s="714"/>
      <c r="E468" s="715"/>
      <c r="F468" s="2574"/>
      <c r="G468" s="2574"/>
      <c r="H468" s="2574"/>
      <c r="I468" s="2574"/>
      <c r="J468" s="2574"/>
      <c r="K468" s="2574"/>
      <c r="L468" s="2574"/>
      <c r="M468" s="2574"/>
      <c r="N468" s="2574"/>
      <c r="O468" s="2574"/>
      <c r="P468" s="2574"/>
      <c r="Q468" s="2574"/>
      <c r="R468" s="2574"/>
      <c r="S468" s="2574"/>
      <c r="T468" s="2574"/>
      <c r="U468" s="2574"/>
      <c r="V468" s="2574"/>
      <c r="W468" s="2574"/>
      <c r="X468" s="2574"/>
      <c r="Y468" s="2574"/>
      <c r="Z468" s="2574"/>
      <c r="AA468" s="2574"/>
      <c r="AB468" s="2574"/>
      <c r="AC468" s="2574"/>
      <c r="AD468" s="2574"/>
      <c r="AE468" s="2574"/>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542" t="s">
        <v>589</v>
      </c>
      <c r="D470" s="2502"/>
      <c r="E470" s="706" t="s">
        <v>1491</v>
      </c>
      <c r="F470" s="2545" t="s">
        <v>1492</v>
      </c>
      <c r="G470" s="2545"/>
      <c r="H470" s="2545"/>
      <c r="I470" s="2545"/>
      <c r="J470" s="2545"/>
      <c r="K470" s="2545"/>
      <c r="L470" s="2545"/>
      <c r="M470" s="2545"/>
      <c r="N470" s="2545"/>
      <c r="O470" s="2545"/>
      <c r="P470" s="2545"/>
      <c r="Q470" s="2545"/>
      <c r="R470" s="2545"/>
      <c r="S470" s="2545"/>
      <c r="T470" s="2545"/>
      <c r="U470" s="2545"/>
      <c r="V470" s="2545"/>
      <c r="W470" s="2545"/>
      <c r="X470" s="2545"/>
      <c r="Y470" s="2545"/>
      <c r="Z470" s="2545"/>
      <c r="AA470" s="2545"/>
      <c r="AB470" s="2545"/>
      <c r="AC470" s="2545"/>
      <c r="AD470" s="2545"/>
      <c r="AE470" s="2545"/>
      <c r="AF470" s="2630" t="s">
        <v>1450</v>
      </c>
      <c r="AG470" s="2630"/>
      <c r="AH470" s="2630"/>
      <c r="AI470" s="2630"/>
      <c r="AJ470" s="2630"/>
      <c r="AK470" s="2630"/>
      <c r="AL470" s="2631"/>
      <c r="AM470" s="563"/>
      <c r="AN470" s="531"/>
    </row>
    <row r="471" spans="1:40" s="544" customFormat="1" ht="12.75" customHeight="1">
      <c r="A471" s="532"/>
      <c r="B471" s="14"/>
      <c r="C471" s="722"/>
      <c r="D471" s="14"/>
      <c r="E471" s="682"/>
      <c r="F471" s="2418"/>
      <c r="G471" s="2418"/>
      <c r="H471" s="2418"/>
      <c r="I471" s="2418"/>
      <c r="J471" s="2418"/>
      <c r="K471" s="2418"/>
      <c r="L471" s="2418"/>
      <c r="M471" s="2418"/>
      <c r="N471" s="2418"/>
      <c r="O471" s="2418"/>
      <c r="P471" s="2418"/>
      <c r="Q471" s="2418"/>
      <c r="R471" s="2418"/>
      <c r="S471" s="2418"/>
      <c r="T471" s="2418"/>
      <c r="U471" s="2418"/>
      <c r="V471" s="2418"/>
      <c r="W471" s="2418"/>
      <c r="X471" s="2418"/>
      <c r="Y471" s="2418"/>
      <c r="Z471" s="2418"/>
      <c r="AA471" s="2418"/>
      <c r="AB471" s="2418"/>
      <c r="AC471" s="2418"/>
      <c r="AD471" s="2418"/>
      <c r="AE471" s="2418"/>
      <c r="AF471" s="535"/>
      <c r="AG471" s="532"/>
      <c r="AL471" s="723"/>
      <c r="AM471" s="563"/>
      <c r="AN471" s="531"/>
    </row>
    <row r="472" spans="1:40" s="544" customFormat="1" ht="12.75" customHeight="1">
      <c r="A472" s="532"/>
      <c r="B472" s="14"/>
      <c r="C472" s="722"/>
      <c r="D472" s="14"/>
      <c r="E472" s="682"/>
      <c r="F472" s="2418"/>
      <c r="G472" s="2418"/>
      <c r="H472" s="2418"/>
      <c r="I472" s="2418"/>
      <c r="J472" s="2418"/>
      <c r="K472" s="2418"/>
      <c r="L472" s="2418"/>
      <c r="M472" s="2418"/>
      <c r="N472" s="2418"/>
      <c r="O472" s="2418"/>
      <c r="P472" s="2418"/>
      <c r="Q472" s="2418"/>
      <c r="R472" s="2418"/>
      <c r="S472" s="2418"/>
      <c r="T472" s="2418"/>
      <c r="U472" s="2418"/>
      <c r="V472" s="2418"/>
      <c r="W472" s="2418"/>
      <c r="X472" s="2418"/>
      <c r="Y472" s="2418"/>
      <c r="Z472" s="2418"/>
      <c r="AA472" s="2418"/>
      <c r="AB472" s="2418"/>
      <c r="AC472" s="2418"/>
      <c r="AD472" s="2418"/>
      <c r="AE472" s="2418"/>
      <c r="AF472" s="535"/>
      <c r="AG472" s="532"/>
      <c r="AL472" s="723"/>
      <c r="AM472" s="563"/>
      <c r="AN472" s="531"/>
    </row>
    <row r="473" spans="1:40" s="544" customFormat="1" ht="12.75" customHeight="1">
      <c r="A473" s="532"/>
      <c r="B473" s="14"/>
      <c r="C473" s="747"/>
      <c r="D473" s="714"/>
      <c r="E473" s="715"/>
      <c r="F473" s="2574"/>
      <c r="G473" s="2574"/>
      <c r="H473" s="2574"/>
      <c r="I473" s="2574"/>
      <c r="J473" s="2574"/>
      <c r="K473" s="2574"/>
      <c r="L473" s="2574"/>
      <c r="M473" s="2574"/>
      <c r="N473" s="2574"/>
      <c r="O473" s="2574"/>
      <c r="P473" s="2574"/>
      <c r="Q473" s="2574"/>
      <c r="R473" s="2574"/>
      <c r="S473" s="2574"/>
      <c r="T473" s="2574"/>
      <c r="U473" s="2574"/>
      <c r="V473" s="2574"/>
      <c r="W473" s="2574"/>
      <c r="X473" s="2574"/>
      <c r="Y473" s="2574"/>
      <c r="Z473" s="2574"/>
      <c r="AA473" s="2574"/>
      <c r="AB473" s="2574"/>
      <c r="AC473" s="2574"/>
      <c r="AD473" s="2574"/>
      <c r="AE473" s="2574"/>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1494</v>
      </c>
      <c r="F475" s="2545" t="s">
        <v>1495</v>
      </c>
      <c r="G475" s="2545"/>
      <c r="H475" s="2545"/>
      <c r="I475" s="2545"/>
      <c r="J475" s="2545"/>
      <c r="K475" s="2545"/>
      <c r="L475" s="2545"/>
      <c r="M475" s="2545"/>
      <c r="N475" s="2545"/>
      <c r="O475" s="2545"/>
      <c r="P475" s="2545"/>
      <c r="Q475" s="2545"/>
      <c r="R475" s="2545"/>
      <c r="S475" s="2545"/>
      <c r="T475" s="2545"/>
      <c r="U475" s="2545"/>
      <c r="V475" s="2545"/>
      <c r="W475" s="2545"/>
      <c r="X475" s="2545"/>
      <c r="Y475" s="2545"/>
      <c r="Z475" s="2545"/>
      <c r="AA475" s="2545"/>
      <c r="AB475" s="2545"/>
      <c r="AC475" s="2545"/>
      <c r="AD475" s="2545"/>
      <c r="AE475" s="2545"/>
      <c r="AF475" s="2545"/>
      <c r="AG475" s="735"/>
      <c r="AH475" s="705"/>
      <c r="AI475" s="705"/>
      <c r="AJ475" s="705"/>
      <c r="AK475" s="705"/>
      <c r="AL475" s="736"/>
      <c r="AM475" s="563"/>
      <c r="AN475" s="590"/>
    </row>
    <row r="476" spans="1:40" s="544" customFormat="1" ht="12.75" customHeight="1">
      <c r="A476" s="532"/>
      <c r="B476" s="14"/>
      <c r="C476" s="722"/>
      <c r="D476" s="14"/>
      <c r="E476" s="682"/>
      <c r="F476" s="2418"/>
      <c r="G476" s="2418"/>
      <c r="H476" s="2418"/>
      <c r="I476" s="2418"/>
      <c r="J476" s="2418"/>
      <c r="K476" s="2418"/>
      <c r="L476" s="2418"/>
      <c r="M476" s="2418"/>
      <c r="N476" s="2418"/>
      <c r="O476" s="2418"/>
      <c r="P476" s="2418"/>
      <c r="Q476" s="2418"/>
      <c r="R476" s="2418"/>
      <c r="S476" s="2418"/>
      <c r="T476" s="2418"/>
      <c r="U476" s="2418"/>
      <c r="V476" s="2418"/>
      <c r="W476" s="2418"/>
      <c r="X476" s="2418"/>
      <c r="Y476" s="2418"/>
      <c r="Z476" s="2418"/>
      <c r="AA476" s="2418"/>
      <c r="AB476" s="2418"/>
      <c r="AC476" s="2418"/>
      <c r="AD476" s="2418"/>
      <c r="AE476" s="2418"/>
      <c r="AF476" s="2418"/>
      <c r="AL476" s="723"/>
      <c r="AM476" s="563"/>
      <c r="AN476" s="590"/>
    </row>
    <row r="477" spans="1:40" s="544" customFormat="1" ht="12.75" customHeight="1">
      <c r="A477" s="532"/>
      <c r="B477" s="14"/>
      <c r="C477" s="730"/>
      <c r="F477" s="2418"/>
      <c r="G477" s="2418"/>
      <c r="H477" s="2418"/>
      <c r="I477" s="2418"/>
      <c r="J477" s="2418"/>
      <c r="K477" s="2418"/>
      <c r="L477" s="2418"/>
      <c r="M477" s="2418"/>
      <c r="N477" s="2418"/>
      <c r="O477" s="2418"/>
      <c r="P477" s="2418"/>
      <c r="Q477" s="2418"/>
      <c r="R477" s="2418"/>
      <c r="S477" s="2418"/>
      <c r="T477" s="2418"/>
      <c r="U477" s="2418"/>
      <c r="V477" s="2418"/>
      <c r="W477" s="2418"/>
      <c r="X477" s="2418"/>
      <c r="Y477" s="2418"/>
      <c r="Z477" s="2418"/>
      <c r="AA477" s="2418"/>
      <c r="AB477" s="2418"/>
      <c r="AC477" s="2418"/>
      <c r="AD477" s="2418"/>
      <c r="AE477" s="2418"/>
      <c r="AF477" s="2418"/>
      <c r="AL477" s="723"/>
      <c r="AM477" s="563"/>
      <c r="AN477" s="590"/>
    </row>
    <row r="478" spans="1:40" s="544" customFormat="1" ht="12.75" customHeight="1">
      <c r="A478" s="532"/>
      <c r="B478" s="14"/>
      <c r="C478" s="730"/>
      <c r="F478" s="2418"/>
      <c r="G478" s="2418"/>
      <c r="H478" s="2418"/>
      <c r="I478" s="2418"/>
      <c r="J478" s="2418"/>
      <c r="K478" s="2418"/>
      <c r="L478" s="2418"/>
      <c r="M478" s="2418"/>
      <c r="N478" s="2418"/>
      <c r="O478" s="2418"/>
      <c r="P478" s="2418"/>
      <c r="Q478" s="2418"/>
      <c r="R478" s="2418"/>
      <c r="S478" s="2418"/>
      <c r="T478" s="2418"/>
      <c r="U478" s="2418"/>
      <c r="V478" s="2418"/>
      <c r="W478" s="2418"/>
      <c r="X478" s="2418"/>
      <c r="Y478" s="2418"/>
      <c r="Z478" s="2418"/>
      <c r="AA478" s="2418"/>
      <c r="AB478" s="2418"/>
      <c r="AC478" s="2418"/>
      <c r="AD478" s="2418"/>
      <c r="AE478" s="2418"/>
      <c r="AF478" s="2418"/>
      <c r="AL478" s="723"/>
      <c r="AM478" s="563"/>
      <c r="AN478" s="590"/>
    </row>
    <row r="479" spans="1:40" s="544" customFormat="1" ht="12.75" customHeight="1">
      <c r="A479" s="532"/>
      <c r="B479" s="14"/>
      <c r="C479" s="2542" t="s">
        <v>589</v>
      </c>
      <c r="D479" s="2502"/>
      <c r="E479" s="710"/>
      <c r="F479" s="712" t="s">
        <v>1467</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543" t="s">
        <v>1450</v>
      </c>
      <c r="AG479" s="2543"/>
      <c r="AH479" s="2543"/>
      <c r="AI479" s="2543"/>
      <c r="AJ479" s="2543"/>
      <c r="AK479" s="2543"/>
      <c r="AL479" s="2544"/>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1496</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1497</v>
      </c>
      <c r="AK482" s="2505">
        <f>IF(Application!D214="N/A",AS371,AS373)</f>
        <v>10</v>
      </c>
      <c r="AL482" s="2506"/>
      <c r="AM482" s="2507"/>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589</v>
      </c>
      <c r="AP484" s="544">
        <v>0</v>
      </c>
      <c r="AT484" s="544" t="s">
        <v>589</v>
      </c>
      <c r="AU484" s="544">
        <v>0</v>
      </c>
      <c r="AV484" s="743"/>
    </row>
    <row r="485" spans="1:59" s="544" customFormat="1" ht="12.75" hidden="1" customHeight="1">
      <c r="A485" s="535" t="s">
        <v>1498</v>
      </c>
      <c r="C485" s="535"/>
      <c r="E485" s="589"/>
      <c r="AE485" s="2543" t="s">
        <v>1499</v>
      </c>
      <c r="AF485" s="2543"/>
      <c r="AG485" s="2543"/>
      <c r="AH485" s="2543"/>
      <c r="AI485" s="2543"/>
      <c r="AJ485" s="2543"/>
      <c r="AK485" s="2543"/>
      <c r="AL485" s="584"/>
      <c r="AN485" s="590"/>
      <c r="AO485" s="544" t="s">
        <v>1477</v>
      </c>
      <c r="AP485" s="544">
        <v>5</v>
      </c>
      <c r="AT485" s="544" t="s">
        <v>1477</v>
      </c>
      <c r="AU485" s="544">
        <v>5</v>
      </c>
      <c r="AV485" s="743"/>
    </row>
    <row r="486" spans="1:59" s="544" customFormat="1" ht="12.75" hidden="1" customHeight="1">
      <c r="A486" s="535"/>
      <c r="B486" s="532" t="s">
        <v>1500</v>
      </c>
      <c r="C486" s="535"/>
      <c r="E486" s="589"/>
      <c r="AE486" s="584"/>
      <c r="AF486" s="584"/>
      <c r="AG486" s="584"/>
      <c r="AH486" s="584"/>
      <c r="AI486" s="584"/>
      <c r="AJ486" s="584"/>
      <c r="AK486" s="584"/>
      <c r="AL486" s="584"/>
      <c r="AN486" s="590"/>
      <c r="AO486" s="544" t="s">
        <v>1501</v>
      </c>
      <c r="AP486" s="544">
        <v>5</v>
      </c>
      <c r="AT486" s="544" t="s">
        <v>1478</v>
      </c>
      <c r="AU486" s="544">
        <v>5</v>
      </c>
      <c r="AV486" s="743"/>
    </row>
    <row r="487" spans="1:59" s="544" customFormat="1" ht="12.75" hidden="1" customHeight="1">
      <c r="A487" s="535"/>
      <c r="B487" s="535" t="s">
        <v>1502</v>
      </c>
      <c r="C487" s="535"/>
      <c r="E487" s="589"/>
      <c r="AE487" s="584"/>
      <c r="AF487" s="584"/>
      <c r="AG487" s="584"/>
      <c r="AH487" s="584"/>
      <c r="AI487" s="584"/>
      <c r="AJ487" s="584"/>
      <c r="AK487" s="584"/>
      <c r="AL487" s="584"/>
      <c r="AN487" s="590"/>
      <c r="AO487" s="544" t="s">
        <v>1479</v>
      </c>
      <c r="AP487" s="544">
        <v>5</v>
      </c>
      <c r="AQ487" s="535"/>
      <c r="AR487" s="535"/>
      <c r="AS487" s="746"/>
      <c r="AT487" s="544" t="s">
        <v>1479</v>
      </c>
      <c r="AU487" s="544">
        <v>5</v>
      </c>
      <c r="AV487" s="532"/>
    </row>
    <row r="488" spans="1:59" s="544" customFormat="1" ht="12.75" hidden="1" customHeight="1">
      <c r="A488" s="535"/>
      <c r="B488" s="535" t="s">
        <v>1503</v>
      </c>
      <c r="C488" s="535"/>
      <c r="E488" s="589"/>
      <c r="AE488" s="584"/>
      <c r="AF488" s="584"/>
      <c r="AG488" s="584"/>
      <c r="AH488" s="584"/>
      <c r="AI488" s="584"/>
      <c r="AJ488" s="584"/>
      <c r="AK488" s="584"/>
      <c r="AL488" s="584"/>
      <c r="AN488" s="590"/>
      <c r="AO488" s="544" t="s">
        <v>1481</v>
      </c>
      <c r="AP488" s="544">
        <v>5</v>
      </c>
      <c r="AQ488" s="535"/>
      <c r="AR488" s="535"/>
      <c r="AT488" s="544" t="s">
        <v>1481</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1482</v>
      </c>
      <c r="AP489" s="544">
        <v>5</v>
      </c>
      <c r="AQ489" s="535"/>
      <c r="AR489" s="535"/>
      <c r="AT489" s="544" t="s">
        <v>1482</v>
      </c>
      <c r="AU489" s="544">
        <v>5</v>
      </c>
    </row>
    <row r="490" spans="1:59" s="544" customFormat="1" ht="12.75" hidden="1" customHeight="1">
      <c r="A490" s="535"/>
      <c r="C490" s="703" t="s">
        <v>1504</v>
      </c>
      <c r="D490" s="563"/>
      <c r="AE490" s="584"/>
      <c r="AF490" s="584"/>
      <c r="AG490" s="589"/>
      <c r="AH490" s="589"/>
      <c r="AI490" s="589"/>
      <c r="AJ490" s="589"/>
      <c r="AK490" s="589"/>
      <c r="AL490" s="589"/>
      <c r="AN490" s="590"/>
      <c r="AO490" s="544" t="s">
        <v>1483</v>
      </c>
      <c r="AP490" s="544">
        <v>5</v>
      </c>
      <c r="AT490" s="544" t="s">
        <v>1483</v>
      </c>
      <c r="AU490" s="544">
        <v>5</v>
      </c>
    </row>
    <row r="491" spans="1:59" s="544" customFormat="1" ht="12.75" hidden="1" customHeight="1">
      <c r="A491" s="535"/>
      <c r="C491" s="2549" t="s">
        <v>589</v>
      </c>
      <c r="D491" s="2550"/>
      <c r="E491" s="752" t="s">
        <v>505</v>
      </c>
      <c r="F491" s="2551" t="s">
        <v>1505</v>
      </c>
      <c r="G491" s="2551"/>
      <c r="H491" s="2551"/>
      <c r="I491" s="2551"/>
      <c r="J491" s="2551"/>
      <c r="K491" s="2551"/>
      <c r="L491" s="2551"/>
      <c r="M491" s="2551"/>
      <c r="N491" s="2551"/>
      <c r="O491" s="2551"/>
      <c r="P491" s="2551"/>
      <c r="Q491" s="2551"/>
      <c r="R491" s="2551"/>
      <c r="S491" s="2551"/>
      <c r="T491" s="2551"/>
      <c r="U491" s="2551"/>
      <c r="V491" s="2551"/>
      <c r="W491" s="2551"/>
      <c r="X491" s="2551"/>
      <c r="Y491" s="2551"/>
      <c r="Z491" s="2551"/>
      <c r="AA491" s="2551"/>
      <c r="AB491" s="2551"/>
      <c r="AC491" s="2551"/>
      <c r="AD491" s="2551"/>
      <c r="AE491" s="2551"/>
      <c r="AF491" s="705"/>
      <c r="AG491" s="705"/>
      <c r="AH491" s="705"/>
      <c r="AI491" s="705"/>
      <c r="AJ491" s="705"/>
      <c r="AK491" s="736"/>
      <c r="AN491" s="590"/>
      <c r="AO491" s="544" t="s">
        <v>1506</v>
      </c>
      <c r="AP491" s="544">
        <v>5</v>
      </c>
      <c r="AS491" s="749"/>
      <c r="AT491" s="544" t="s">
        <v>1484</v>
      </c>
      <c r="AU491" s="544">
        <v>5</v>
      </c>
    </row>
    <row r="492" spans="1:59" s="544" customFormat="1" ht="12.75" hidden="1" customHeight="1">
      <c r="C492" s="753"/>
      <c r="E492" s="754"/>
      <c r="F492" s="2552"/>
      <c r="G492" s="2552"/>
      <c r="H492" s="2552"/>
      <c r="I492" s="2552"/>
      <c r="J492" s="2552"/>
      <c r="K492" s="2552"/>
      <c r="L492" s="2552"/>
      <c r="M492" s="2552"/>
      <c r="N492" s="2552"/>
      <c r="O492" s="2552"/>
      <c r="P492" s="2552"/>
      <c r="Q492" s="2552"/>
      <c r="R492" s="2552"/>
      <c r="S492" s="2552"/>
      <c r="T492" s="2552"/>
      <c r="U492" s="2552"/>
      <c r="V492" s="2552"/>
      <c r="W492" s="2552"/>
      <c r="X492" s="2552"/>
      <c r="Y492" s="2552"/>
      <c r="Z492" s="2552"/>
      <c r="AA492" s="2552"/>
      <c r="AB492" s="2552"/>
      <c r="AC492" s="2552"/>
      <c r="AD492" s="2552"/>
      <c r="AE492" s="2552"/>
      <c r="AG492" s="545"/>
      <c r="AH492" s="545"/>
      <c r="AI492" s="545"/>
      <c r="AJ492" s="545"/>
      <c r="AK492" s="723"/>
      <c r="AN492" s="590"/>
      <c r="AO492" s="544" t="s">
        <v>1487</v>
      </c>
      <c r="AP492" s="544">
        <v>1</v>
      </c>
      <c r="AT492" s="544" t="s">
        <v>1487</v>
      </c>
      <c r="AU492" s="544">
        <v>1</v>
      </c>
    </row>
    <row r="493" spans="1:59" s="544" customFormat="1" ht="12.75" hidden="1" customHeight="1">
      <c r="C493" s="755"/>
      <c r="D493" s="718"/>
      <c r="E493" s="756"/>
      <c r="F493" s="2647" t="s">
        <v>589</v>
      </c>
      <c r="G493" s="2647"/>
      <c r="H493" s="2647"/>
      <c r="I493" s="2647"/>
      <c r="J493" s="2647"/>
      <c r="K493" s="2647"/>
      <c r="L493" s="2647"/>
      <c r="M493" s="2647"/>
      <c r="N493" s="2647"/>
      <c r="O493" s="2647"/>
      <c r="P493" s="2647"/>
      <c r="Q493" s="2647"/>
      <c r="R493" s="2647"/>
      <c r="S493" s="2647"/>
      <c r="T493" s="2647"/>
      <c r="U493" s="2647"/>
      <c r="V493" s="2647"/>
      <c r="W493" s="2647"/>
      <c r="X493" s="2647"/>
      <c r="Y493" s="2647"/>
      <c r="Z493" s="2647"/>
      <c r="AA493" s="757"/>
      <c r="AB493" s="649"/>
      <c r="AC493" s="649"/>
      <c r="AD493" s="718"/>
      <c r="AE493" s="718"/>
      <c r="AF493" s="718"/>
      <c r="AG493" s="758">
        <f>IF($C$491="Yes",(VLOOKUP($F$493,$AT$484:$AU$492,2,FALSE)),0)</f>
        <v>0</v>
      </c>
      <c r="AH493" s="759" t="s">
        <v>1319</v>
      </c>
      <c r="AI493" s="758"/>
      <c r="AJ493" s="758"/>
      <c r="AK493" s="733"/>
      <c r="AN493" s="590"/>
      <c r="AS493" s="746"/>
      <c r="AX493" s="746"/>
      <c r="BB493" s="746" t="s">
        <v>1488</v>
      </c>
      <c r="BF493" s="746" t="s">
        <v>1489</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589</v>
      </c>
      <c r="AP494" s="630">
        <v>0</v>
      </c>
      <c r="AT494" s="544" t="s">
        <v>589</v>
      </c>
      <c r="AU494" s="630">
        <v>0</v>
      </c>
      <c r="AW494" s="544" t="s">
        <v>589</v>
      </c>
      <c r="AX494" s="630">
        <v>0</v>
      </c>
      <c r="AY494" s="586"/>
      <c r="BB494" s="544" t="s">
        <v>589</v>
      </c>
      <c r="BC494" s="586">
        <v>0</v>
      </c>
      <c r="BF494" s="544" t="s">
        <v>589</v>
      </c>
      <c r="BG494" s="586">
        <v>0</v>
      </c>
    </row>
    <row r="495" spans="1:59" s="544" customFormat="1" ht="12.75" hidden="1" customHeight="1">
      <c r="C495" s="2668" t="s">
        <v>543</v>
      </c>
      <c r="D495" s="2669"/>
      <c r="E495" s="752" t="s">
        <v>755</v>
      </c>
      <c r="F495" s="760" t="s">
        <v>1507</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1490</v>
      </c>
      <c r="AX495" s="630">
        <v>3</v>
      </c>
      <c r="AY495" s="586"/>
      <c r="BB495" s="749">
        <v>0.4</v>
      </c>
      <c r="BC495" s="586">
        <v>3</v>
      </c>
      <c r="BF495" s="749">
        <v>0.4</v>
      </c>
      <c r="BG495" s="586">
        <v>4</v>
      </c>
    </row>
    <row r="496" spans="1:59" s="544" customFormat="1" ht="12.75" hidden="1" customHeight="1">
      <c r="C496" s="761" t="s">
        <v>1508</v>
      </c>
      <c r="F496" s="762" t="s">
        <v>1509</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1493</v>
      </c>
      <c r="AX496" s="630">
        <v>5</v>
      </c>
      <c r="AY496" s="586"/>
      <c r="BB496" s="749">
        <v>0.6</v>
      </c>
      <c r="BC496" s="586">
        <v>4</v>
      </c>
      <c r="BF496" s="749">
        <v>0.6</v>
      </c>
      <c r="BG496" s="586">
        <v>5</v>
      </c>
    </row>
    <row r="497" spans="1:81" s="544" customFormat="1" ht="12.75" hidden="1" customHeight="1">
      <c r="C497" s="742"/>
      <c r="D497" s="721"/>
      <c r="E497" s="763"/>
      <c r="F497" s="762" t="s">
        <v>1510</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1511</v>
      </c>
      <c r="G498" s="544"/>
      <c r="H498" s="544"/>
      <c r="I498" s="762"/>
      <c r="J498" s="762"/>
      <c r="K498" s="762"/>
      <c r="L498" s="762"/>
      <c r="M498" s="762"/>
      <c r="N498" s="762"/>
      <c r="O498" s="762"/>
      <c r="P498" s="762"/>
      <c r="Q498" s="762"/>
      <c r="R498" s="762"/>
      <c r="S498" s="762"/>
      <c r="T498" s="762"/>
      <c r="U498" s="762"/>
      <c r="V498" s="2636" t="s">
        <v>589</v>
      </c>
      <c r="W498" s="2636"/>
      <c r="X498" s="2636"/>
      <c r="Y498" s="762"/>
      <c r="Z498" s="762"/>
      <c r="AA498" s="762"/>
      <c r="AB498" s="762"/>
      <c r="AC498" s="762"/>
      <c r="AD498" s="602"/>
      <c r="AE498" s="602"/>
      <c r="AF498" s="602"/>
      <c r="AG498" s="606">
        <f>IF(AND($C$495="Yes",$V$500="N/A",$V$505="N/A",$V$509="N/A",$V$511="N/A"),(VLOOKUP(V498,$AW$494:$AX$496,2,FALSE)),0)</f>
        <v>0</v>
      </c>
      <c r="AH498" s="633" t="s">
        <v>1319</v>
      </c>
      <c r="AI498" s="545"/>
      <c r="AJ498" s="545"/>
      <c r="AK498" s="723"/>
      <c r="AL498" s="544"/>
      <c r="AM498" s="544"/>
      <c r="AN498" s="590"/>
      <c r="AT498" s="544" t="s">
        <v>589</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1512</v>
      </c>
      <c r="G500" s="544"/>
      <c r="H500" s="544"/>
      <c r="I500" s="762"/>
      <c r="J500" s="762"/>
      <c r="K500" s="762"/>
      <c r="L500" s="762"/>
      <c r="M500" s="762"/>
      <c r="N500" s="762"/>
      <c r="O500" s="762"/>
      <c r="P500" s="762"/>
      <c r="Q500" s="762"/>
      <c r="R500" s="762"/>
      <c r="S500" s="762"/>
      <c r="T500" s="762"/>
      <c r="U500" s="762"/>
      <c r="V500" s="2636" t="s">
        <v>589</v>
      </c>
      <c r="W500" s="2636"/>
      <c r="X500" s="2636"/>
      <c r="Y500" s="762"/>
      <c r="Z500" s="762"/>
      <c r="AA500" s="762"/>
      <c r="AB500" s="762"/>
      <c r="AC500" s="762"/>
      <c r="AD500" s="602"/>
      <c r="AE500" s="602"/>
      <c r="AF500" s="602"/>
      <c r="AG500" s="606">
        <f>IF(AND($C$495="Yes",$V$498="N/A", $V$505="N/A",$V$509="N/A",$V$511="N/A"),(VLOOKUP(V500,$AT$494:$AU$496,2,FALSE)),0)</f>
        <v>0</v>
      </c>
      <c r="AH500" s="633" t="s">
        <v>1319</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589</v>
      </c>
      <c r="AP501" s="544">
        <v>0</v>
      </c>
    </row>
    <row r="502" spans="1:81" s="544" customFormat="1" ht="12.75" hidden="1" customHeight="1">
      <c r="C502" s="753"/>
      <c r="E502" s="754"/>
      <c r="F502" s="767" t="s">
        <v>1513</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1514</v>
      </c>
      <c r="AP502" s="630">
        <v>2</v>
      </c>
    </row>
    <row r="503" spans="1:81" s="544" customFormat="1" ht="12.75" hidden="1" customHeight="1">
      <c r="C503" s="753"/>
      <c r="F503" s="602" t="s">
        <v>1515</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1516</v>
      </c>
      <c r="AP503" s="544">
        <v>2</v>
      </c>
    </row>
    <row r="504" spans="1:81" s="589" customFormat="1" ht="12.75" hidden="1" customHeight="1">
      <c r="A504" s="544"/>
      <c r="B504" s="544"/>
      <c r="C504" s="730"/>
      <c r="D504" s="563"/>
      <c r="E504" s="563"/>
      <c r="F504" s="602" t="s">
        <v>1517</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1518</v>
      </c>
      <c r="AP504" s="544">
        <v>2</v>
      </c>
    </row>
    <row r="505" spans="1:81" s="544" customFormat="1" ht="12.75" hidden="1" customHeight="1">
      <c r="C505" s="768"/>
      <c r="F505" s="766" t="s">
        <v>1519</v>
      </c>
      <c r="M505" s="754"/>
      <c r="N505" s="754"/>
      <c r="O505" s="754"/>
      <c r="P505" s="754"/>
      <c r="Q505" s="545"/>
      <c r="R505" s="545"/>
      <c r="S505" s="545"/>
      <c r="T505" s="545"/>
      <c r="U505" s="545"/>
      <c r="V505" s="2636" t="s">
        <v>589</v>
      </c>
      <c r="W505" s="2636"/>
      <c r="X505" s="2636"/>
      <c r="Y505" s="545"/>
      <c r="Z505" s="545"/>
      <c r="AA505" s="545"/>
      <c r="AB505" s="545"/>
      <c r="AC505" s="545"/>
      <c r="AG505" s="606">
        <f>IF(AND($C$495="Yes",$V$498="N/A",$V$500="N/A", $V$509="N/A",$V$511="N/A"),(VLOOKUP($V$505,$AT$498:$AU$500,2,FALSE)),0)</f>
        <v>0</v>
      </c>
      <c r="AH505" s="633" t="s">
        <v>1319</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1520</v>
      </c>
      <c r="D507" s="705"/>
      <c r="E507" s="705"/>
      <c r="F507" s="771" t="s">
        <v>1521</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589</v>
      </c>
      <c r="AP507" s="544">
        <v>0</v>
      </c>
      <c r="AQ507" s="535"/>
    </row>
    <row r="508" spans="1:81" s="589" customFormat="1" ht="12.75" hidden="1" customHeight="1">
      <c r="A508" s="544"/>
      <c r="B508" s="544"/>
      <c r="C508" s="772"/>
      <c r="D508" s="2622"/>
      <c r="E508" s="2622"/>
      <c r="F508" s="762" t="s">
        <v>1522</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1523</v>
      </c>
      <c r="AP508" s="630">
        <v>5</v>
      </c>
      <c r="AQ508" s="535"/>
    </row>
    <row r="509" spans="1:81" s="563" customFormat="1" ht="12.75" hidden="1" customHeight="1">
      <c r="A509" s="670"/>
      <c r="B509" s="544"/>
      <c r="C509" s="753"/>
      <c r="D509" s="544"/>
      <c r="E509" s="544"/>
      <c r="F509" s="773" t="s">
        <v>1511</v>
      </c>
      <c r="G509" s="544"/>
      <c r="H509" s="544"/>
      <c r="I509" s="544"/>
      <c r="J509" s="544"/>
      <c r="K509" s="544"/>
      <c r="L509" s="544"/>
      <c r="M509" s="544"/>
      <c r="N509" s="544"/>
      <c r="O509" s="544"/>
      <c r="P509" s="544"/>
      <c r="Q509" s="544"/>
      <c r="R509" s="544"/>
      <c r="S509" s="544"/>
      <c r="T509" s="544"/>
      <c r="U509" s="544"/>
      <c r="V509" s="2636" t="s">
        <v>589</v>
      </c>
      <c r="W509" s="2636"/>
      <c r="X509" s="2636"/>
      <c r="Y509" s="544"/>
      <c r="Z509" s="544"/>
      <c r="AA509" s="544"/>
      <c r="AB509" s="544"/>
      <c r="AC509" s="544"/>
      <c r="AD509" s="544"/>
      <c r="AE509" s="544"/>
      <c r="AF509" s="544"/>
      <c r="AG509" s="606">
        <f>IF(AND($C$495="Yes",$V$498="N/A",V500="N/A",$V$505="N/A",$V$511="N/A"),(VLOOKUP($V$509,$BB$494:$BC$497,2,FALSE)),0)</f>
        <v>0</v>
      </c>
      <c r="AH509" s="633" t="s">
        <v>1319</v>
      </c>
      <c r="AI509" s="545"/>
      <c r="AJ509" s="544"/>
      <c r="AK509" s="723"/>
      <c r="AL509" s="544"/>
      <c r="AM509" s="544"/>
      <c r="AN509" s="675"/>
      <c r="AO509" s="544" t="s">
        <v>1524</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1525</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1512</v>
      </c>
      <c r="G511" s="757"/>
      <c r="H511" s="757"/>
      <c r="I511" s="718"/>
      <c r="J511" s="718"/>
      <c r="K511" s="718"/>
      <c r="L511" s="718"/>
      <c r="M511" s="718"/>
      <c r="N511" s="718"/>
      <c r="O511" s="718"/>
      <c r="P511" s="718"/>
      <c r="Q511" s="718"/>
      <c r="R511" s="718"/>
      <c r="S511" s="718"/>
      <c r="T511" s="718"/>
      <c r="U511" s="718"/>
      <c r="V511" s="2636" t="s">
        <v>589</v>
      </c>
      <c r="W511" s="2636"/>
      <c r="X511" s="2636"/>
      <c r="Y511" s="718"/>
      <c r="Z511" s="718"/>
      <c r="AA511" s="718"/>
      <c r="AB511" s="718"/>
      <c r="AC511" s="718"/>
      <c r="AD511" s="718"/>
      <c r="AE511" s="718"/>
      <c r="AF511" s="718"/>
      <c r="AG511" s="774">
        <f>IF(AND($C$495="Yes",$V$498="N/A",$V$500="N/A",$V$505="N/A",$V$509="N/A"),(VLOOKUP($V$511,$BF$494:$BG$496,2,FALSE)),0)</f>
        <v>0</v>
      </c>
      <c r="AH511" s="759" t="s">
        <v>1319</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1526</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549" t="s">
        <v>589</v>
      </c>
      <c r="D514" s="2550"/>
      <c r="E514" s="752" t="s">
        <v>505</v>
      </c>
      <c r="F514" s="2551" t="s">
        <v>1505</v>
      </c>
      <c r="G514" s="2551"/>
      <c r="H514" s="2551"/>
      <c r="I514" s="2551"/>
      <c r="J514" s="2551"/>
      <c r="K514" s="2551"/>
      <c r="L514" s="2551"/>
      <c r="M514" s="2551"/>
      <c r="N514" s="2551"/>
      <c r="O514" s="2551"/>
      <c r="P514" s="2551"/>
      <c r="Q514" s="2551"/>
      <c r="R514" s="2551"/>
      <c r="S514" s="2551"/>
      <c r="T514" s="2551"/>
      <c r="U514" s="2551"/>
      <c r="V514" s="2551"/>
      <c r="W514" s="2551"/>
      <c r="X514" s="2551"/>
      <c r="Y514" s="2551"/>
      <c r="Z514" s="2551"/>
      <c r="AA514" s="2551"/>
      <c r="AB514" s="2551"/>
      <c r="AC514" s="2551"/>
      <c r="AD514" s="2551"/>
      <c r="AE514" s="2551"/>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552"/>
      <c r="G515" s="2552"/>
      <c r="H515" s="2552"/>
      <c r="I515" s="2552"/>
      <c r="J515" s="2552"/>
      <c r="K515" s="2552"/>
      <c r="L515" s="2552"/>
      <c r="M515" s="2552"/>
      <c r="N515" s="2552"/>
      <c r="O515" s="2552"/>
      <c r="P515" s="2552"/>
      <c r="Q515" s="2552"/>
      <c r="R515" s="2552"/>
      <c r="S515" s="2552"/>
      <c r="T515" s="2552"/>
      <c r="U515" s="2552"/>
      <c r="V515" s="2552"/>
      <c r="W515" s="2552"/>
      <c r="X515" s="2552"/>
      <c r="Y515" s="2552"/>
      <c r="Z515" s="2552"/>
      <c r="AA515" s="2552"/>
      <c r="AB515" s="2552"/>
      <c r="AC515" s="2552"/>
      <c r="AD515" s="2552"/>
      <c r="AE515" s="2552"/>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643" t="s">
        <v>589</v>
      </c>
      <c r="G516" s="2643"/>
      <c r="H516" s="2643"/>
      <c r="I516" s="2643"/>
      <c r="J516" s="2643"/>
      <c r="K516" s="2643"/>
      <c r="L516" s="2643"/>
      <c r="M516" s="2643"/>
      <c r="N516" s="2643"/>
      <c r="O516" s="2643"/>
      <c r="P516" s="2643"/>
      <c r="Q516" s="2643"/>
      <c r="R516" s="2643"/>
      <c r="S516" s="2643"/>
      <c r="T516" s="2643"/>
      <c r="U516" s="2643"/>
      <c r="V516" s="2643"/>
      <c r="W516" s="2643"/>
      <c r="X516" s="2643"/>
      <c r="Y516" s="2643"/>
      <c r="Z516" s="2643"/>
      <c r="AA516" s="757"/>
      <c r="AB516" s="649"/>
      <c r="AC516" s="649"/>
      <c r="AD516" s="718"/>
      <c r="AE516" s="718"/>
      <c r="AF516" s="718"/>
      <c r="AG516" s="758">
        <f>IF($C$514="Yes",(VLOOKUP($F$516,$AO$484:$AP$492,2,FALSE)),0)</f>
        <v>0</v>
      </c>
      <c r="AH516" s="759" t="s">
        <v>1319</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549" t="s">
        <v>589</v>
      </c>
      <c r="D518" s="2550"/>
      <c r="E518" s="752" t="s">
        <v>755</v>
      </c>
      <c r="F518" s="2644" t="s">
        <v>1527</v>
      </c>
      <c r="G518" s="2644"/>
      <c r="H518" s="2644"/>
      <c r="I518" s="2644"/>
      <c r="J518" s="2644"/>
      <c r="K518" s="2644"/>
      <c r="L518" s="2644"/>
      <c r="M518" s="2644"/>
      <c r="N518" s="2644"/>
      <c r="O518" s="2644"/>
      <c r="P518" s="2644"/>
      <c r="Q518" s="2644"/>
      <c r="R518" s="2644"/>
      <c r="S518" s="2644"/>
      <c r="T518" s="2644"/>
      <c r="U518" s="2644"/>
      <c r="V518" s="2644"/>
      <c r="W518" s="2644"/>
      <c r="X518" s="2644"/>
      <c r="Y518" s="2644"/>
      <c r="Z518" s="2644"/>
      <c r="AA518" s="2644"/>
      <c r="AB518" s="2644"/>
      <c r="AC518" s="2644"/>
      <c r="AD518" s="2644"/>
      <c r="AE518" s="2644"/>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645"/>
      <c r="G519" s="2645"/>
      <c r="H519" s="2645"/>
      <c r="I519" s="2645"/>
      <c r="J519" s="2645"/>
      <c r="K519" s="2645"/>
      <c r="L519" s="2645"/>
      <c r="M519" s="2645"/>
      <c r="N519" s="2645"/>
      <c r="O519" s="2645"/>
      <c r="P519" s="2645"/>
      <c r="Q519" s="2645"/>
      <c r="R519" s="2645"/>
      <c r="S519" s="2645"/>
      <c r="T519" s="2645"/>
      <c r="U519" s="2645"/>
      <c r="V519" s="2645"/>
      <c r="W519" s="2645"/>
      <c r="X519" s="2645"/>
      <c r="Y519" s="2645"/>
      <c r="Z519" s="2645"/>
      <c r="AA519" s="2645"/>
      <c r="AB519" s="2645"/>
      <c r="AC519" s="2645"/>
      <c r="AD519" s="2645"/>
      <c r="AE519" s="2645"/>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1528</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646" t="s">
        <v>589</v>
      </c>
      <c r="G521" s="2646"/>
      <c r="H521" s="2646"/>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1319</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549" t="s">
        <v>589</v>
      </c>
      <c r="D523" s="2550"/>
      <c r="E523" s="752" t="s">
        <v>1529</v>
      </c>
      <c r="F523" s="771" t="s">
        <v>1530</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621"/>
      <c r="D525" s="2622"/>
      <c r="E525" s="763"/>
      <c r="F525" s="545" t="s">
        <v>1531</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1319</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623" t="s">
        <v>589</v>
      </c>
      <c r="H526" s="2623"/>
      <c r="I526" s="2623"/>
      <c r="J526" s="2623"/>
      <c r="K526" s="2623"/>
      <c r="L526" s="2623"/>
      <c r="M526" s="2623"/>
      <c r="N526" s="2623"/>
      <c r="O526" s="2623"/>
      <c r="P526" s="2623"/>
      <c r="Q526" s="2623"/>
      <c r="R526" s="2623"/>
      <c r="S526" s="2623"/>
      <c r="T526" s="2623"/>
      <c r="U526" s="2623"/>
      <c r="V526" s="2623"/>
      <c r="W526" s="2623"/>
      <c r="X526" s="2623"/>
      <c r="Y526" s="2623"/>
      <c r="Z526" s="2623"/>
      <c r="AA526" s="2623"/>
      <c r="AB526" s="2623"/>
      <c r="AC526" s="2623"/>
      <c r="AD526" s="2623"/>
      <c r="AE526" s="2623"/>
      <c r="AF526" s="2623"/>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624" t="s">
        <v>589</v>
      </c>
      <c r="D528" s="2625"/>
      <c r="F528" s="545" t="s">
        <v>1532</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1319</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1533</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1534</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624" t="s">
        <v>589</v>
      </c>
      <c r="D532" s="2625"/>
      <c r="F532" s="786" t="s">
        <v>1535</v>
      </c>
      <c r="G532" s="2418" t="s">
        <v>1536</v>
      </c>
      <c r="H532" s="2418"/>
      <c r="I532" s="2418"/>
      <c r="J532" s="2418"/>
      <c r="K532" s="2418"/>
      <c r="L532" s="2418"/>
      <c r="M532" s="2418"/>
      <c r="N532" s="2418"/>
      <c r="O532" s="2418"/>
      <c r="P532" s="2418"/>
      <c r="Q532" s="2418"/>
      <c r="R532" s="2418"/>
      <c r="S532" s="2418"/>
      <c r="T532" s="2418"/>
      <c r="U532" s="2418"/>
      <c r="V532" s="2418"/>
      <c r="W532" s="2418"/>
      <c r="X532" s="2418"/>
      <c r="Y532" s="2418"/>
      <c r="Z532" s="2418"/>
      <c r="AA532" s="2418"/>
      <c r="AB532" s="2418"/>
      <c r="AC532" s="2418"/>
      <c r="AD532" s="2418"/>
      <c r="AE532" s="2418"/>
      <c r="AF532" s="2418"/>
      <c r="AG532" s="606">
        <f>IF(AND($C$532="Yes",$C$523="Yes"),2,0)</f>
        <v>0</v>
      </c>
      <c r="AH532" s="633" t="s">
        <v>1319</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574"/>
      <c r="H533" s="2574"/>
      <c r="I533" s="2574"/>
      <c r="J533" s="2574"/>
      <c r="K533" s="2574"/>
      <c r="L533" s="2574"/>
      <c r="M533" s="2574"/>
      <c r="N533" s="2574"/>
      <c r="O533" s="2574"/>
      <c r="P533" s="2574"/>
      <c r="Q533" s="2574"/>
      <c r="R533" s="2574"/>
      <c r="S533" s="2574"/>
      <c r="T533" s="2574"/>
      <c r="U533" s="2574"/>
      <c r="V533" s="2574"/>
      <c r="W533" s="2574"/>
      <c r="X533" s="2574"/>
      <c r="Y533" s="2574"/>
      <c r="Z533" s="2574"/>
      <c r="AA533" s="2574"/>
      <c r="AB533" s="2574"/>
      <c r="AC533" s="2574"/>
      <c r="AD533" s="2574"/>
      <c r="AE533" s="2574"/>
      <c r="AF533" s="2574"/>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1537</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626" t="s">
        <v>589</v>
      </c>
      <c r="D536" s="2627"/>
      <c r="E536" s="793" t="s">
        <v>1538</v>
      </c>
      <c r="F536" s="762" t="s">
        <v>1539</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1319</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628" t="s">
        <v>589</v>
      </c>
      <c r="G537" s="2628"/>
      <c r="H537" s="2628"/>
      <c r="I537" s="2628"/>
      <c r="J537" s="2628"/>
      <c r="K537" s="2628"/>
      <c r="L537" s="2628"/>
      <c r="M537" s="2628"/>
      <c r="N537" s="2628"/>
      <c r="O537" s="2628"/>
      <c r="P537" s="2628"/>
      <c r="Q537" s="2628"/>
      <c r="R537" s="2628"/>
      <c r="S537" s="2628"/>
      <c r="T537" s="2628"/>
      <c r="U537" s="2628"/>
      <c r="V537" s="2628"/>
      <c r="W537" s="2628"/>
      <c r="X537" s="2628"/>
      <c r="Y537" s="2628"/>
      <c r="Z537" s="2628"/>
      <c r="AA537" s="2628"/>
      <c r="AB537" s="2628"/>
      <c r="AC537" s="2628"/>
      <c r="AD537" s="2628"/>
      <c r="AE537" s="2628"/>
      <c r="AF537" s="2628"/>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629"/>
      <c r="G538" s="2629"/>
      <c r="H538" s="2629"/>
      <c r="I538" s="2629"/>
      <c r="J538" s="2629"/>
      <c r="K538" s="2629"/>
      <c r="L538" s="2629"/>
      <c r="M538" s="2629"/>
      <c r="N538" s="2629"/>
      <c r="O538" s="2629"/>
      <c r="P538" s="2629"/>
      <c r="Q538" s="2629"/>
      <c r="R538" s="2629"/>
      <c r="S538" s="2629"/>
      <c r="T538" s="2629"/>
      <c r="U538" s="2629"/>
      <c r="V538" s="2629"/>
      <c r="W538" s="2629"/>
      <c r="X538" s="2629"/>
      <c r="Y538" s="2629"/>
      <c r="Z538" s="2629"/>
      <c r="AA538" s="2629"/>
      <c r="AB538" s="2629"/>
      <c r="AC538" s="2629"/>
      <c r="AD538" s="2629"/>
      <c r="AE538" s="2629"/>
      <c r="AF538" s="2629"/>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1540</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1541</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1982</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1542</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1983</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1543</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1544</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1545</v>
      </c>
      <c r="AK548" s="2505">
        <f>SUM(AG492:AG537)</f>
        <v>0</v>
      </c>
      <c r="AL548" s="2506"/>
      <c r="AM548" s="2507"/>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5" thickTop="1"/>
    <row r="551" spans="1:81" s="544" customFormat="1" ht="12.75" customHeight="1">
      <c r="A551" s="535" t="s">
        <v>1441</v>
      </c>
      <c r="B551" s="535" t="s">
        <v>1547</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47" t="s">
        <v>1548</v>
      </c>
      <c r="AF551" s="2447"/>
      <c r="AG551" s="2447"/>
      <c r="AH551" s="2447"/>
      <c r="AI551" s="2447"/>
      <c r="AJ551" s="2447"/>
      <c r="AK551" s="2447"/>
      <c r="AL551" s="588"/>
      <c r="AM551" s="588"/>
      <c r="AN551" s="590"/>
    </row>
    <row r="552" spans="1:81" s="544" customFormat="1" ht="12.75" customHeight="1">
      <c r="A552" s="535"/>
      <c r="B552" s="535" t="s">
        <v>1315</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502" t="s">
        <v>589</v>
      </c>
      <c r="D554" s="2502"/>
      <c r="E554" s="545"/>
      <c r="F554" s="2553" t="s">
        <v>1549</v>
      </c>
      <c r="G554" s="2554"/>
      <c r="H554" s="2554"/>
      <c r="I554" s="2554"/>
      <c r="J554" s="2554"/>
      <c r="K554" s="2554"/>
      <c r="L554" s="2554"/>
      <c r="M554" s="2554"/>
      <c r="N554" s="2554"/>
      <c r="O554" s="2554"/>
      <c r="P554" s="2554"/>
      <c r="Q554" s="2554"/>
      <c r="R554" s="2554"/>
      <c r="S554" s="2554"/>
      <c r="T554" s="2554"/>
      <c r="U554" s="2554"/>
      <c r="V554" s="2554"/>
      <c r="W554" s="2554"/>
      <c r="X554" s="2554"/>
      <c r="Y554" s="2554"/>
      <c r="Z554" s="2554"/>
      <c r="AA554" s="2554"/>
      <c r="AB554" s="2554"/>
      <c r="AC554" s="2554"/>
      <c r="AD554" s="2554"/>
      <c r="AE554" s="2554"/>
      <c r="AF554" s="2554"/>
      <c r="AG554" s="2554"/>
      <c r="AH554" s="2554"/>
      <c r="AI554" s="2554"/>
      <c r="AJ554" s="2554"/>
      <c r="AK554" s="2554"/>
      <c r="AL554" s="2555"/>
      <c r="AM554" s="588"/>
      <c r="AN554" s="590"/>
    </row>
    <row r="555" spans="1:81" s="544" customFormat="1" ht="12.75" customHeight="1">
      <c r="B555" s="535"/>
      <c r="C555" s="545"/>
      <c r="D555" s="545"/>
      <c r="E555" s="545"/>
      <c r="F555" s="2556"/>
      <c r="G555" s="2557"/>
      <c r="H555" s="2557"/>
      <c r="I555" s="2557"/>
      <c r="J555" s="2557"/>
      <c r="K555" s="2557"/>
      <c r="L555" s="2557"/>
      <c r="M555" s="2557"/>
      <c r="N555" s="2557"/>
      <c r="O555" s="2557"/>
      <c r="P555" s="2557"/>
      <c r="Q555" s="2557"/>
      <c r="R555" s="2557"/>
      <c r="S555" s="2557"/>
      <c r="T555" s="2557"/>
      <c r="U555" s="2557"/>
      <c r="V555" s="2557"/>
      <c r="W555" s="2557"/>
      <c r="X555" s="2557"/>
      <c r="Y555" s="2557"/>
      <c r="Z555" s="2557"/>
      <c r="AA555" s="2557"/>
      <c r="AB555" s="2557"/>
      <c r="AC555" s="2557"/>
      <c r="AD555" s="2557"/>
      <c r="AE555" s="2557"/>
      <c r="AF555" s="2557"/>
      <c r="AG555" s="2557"/>
      <c r="AH555" s="2557"/>
      <c r="AI555" s="2557"/>
      <c r="AJ555" s="2557"/>
      <c r="AK555" s="2557"/>
      <c r="AL555" s="2558"/>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502" t="s">
        <v>543</v>
      </c>
      <c r="D557" s="2502"/>
      <c r="E557" s="797"/>
      <c r="F557" s="637" t="s">
        <v>1550</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96" t="s">
        <v>2616</v>
      </c>
      <c r="G558" s="2497"/>
      <c r="H558" s="2497"/>
      <c r="I558" s="2497"/>
      <c r="J558" s="2497"/>
      <c r="K558" s="2497"/>
      <c r="L558" s="2497"/>
      <c r="M558" s="2497"/>
      <c r="N558" s="2497"/>
      <c r="O558" s="2497"/>
      <c r="P558" s="2497"/>
      <c r="Q558" s="2497"/>
      <c r="R558" s="2497"/>
      <c r="S558" s="2497"/>
      <c r="T558" s="2497"/>
      <c r="U558" s="2497"/>
      <c r="V558" s="2497"/>
      <c r="W558" s="2497"/>
      <c r="X558" s="2497"/>
      <c r="Y558" s="2497"/>
      <c r="Z558" s="2497"/>
      <c r="AA558" s="2497"/>
      <c r="AB558" s="2497"/>
      <c r="AC558" s="2497"/>
      <c r="AD558" s="2497"/>
      <c r="AE558" s="2497"/>
      <c r="AF558" s="2497"/>
      <c r="AG558" s="2497"/>
      <c r="AH558" s="2497"/>
      <c r="AI558" s="2497"/>
      <c r="AJ558" s="2497"/>
      <c r="AK558" s="2497"/>
      <c r="AL558" s="2498"/>
      <c r="AM558" s="588"/>
      <c r="AN558" s="590"/>
      <c r="AS558" s="861"/>
      <c r="AT558" s="861"/>
      <c r="AU558" s="861"/>
      <c r="AV558" s="861"/>
      <c r="AW558" s="861"/>
    </row>
    <row r="559" spans="1:81" s="544" customFormat="1" ht="12.75" customHeight="1">
      <c r="B559" s="797"/>
      <c r="C559" s="797"/>
      <c r="D559" s="797"/>
      <c r="E559" s="797"/>
      <c r="F559" s="2496"/>
      <c r="G559" s="2497"/>
      <c r="H559" s="2497"/>
      <c r="I559" s="2497"/>
      <c r="J559" s="2497"/>
      <c r="K559" s="2497"/>
      <c r="L559" s="2497"/>
      <c r="M559" s="2497"/>
      <c r="N559" s="2497"/>
      <c r="O559" s="2497"/>
      <c r="P559" s="2497"/>
      <c r="Q559" s="2497"/>
      <c r="R559" s="2497"/>
      <c r="S559" s="2497"/>
      <c r="T559" s="2497"/>
      <c r="U559" s="2497"/>
      <c r="V559" s="2497"/>
      <c r="W559" s="2497"/>
      <c r="X559" s="2497"/>
      <c r="Y559" s="2497"/>
      <c r="Z559" s="2497"/>
      <c r="AA559" s="2497"/>
      <c r="AB559" s="2497"/>
      <c r="AC559" s="2497"/>
      <c r="AD559" s="2497"/>
      <c r="AE559" s="2497"/>
      <c r="AF559" s="2497"/>
      <c r="AG559" s="2497"/>
      <c r="AH559" s="2497"/>
      <c r="AI559" s="2497"/>
      <c r="AJ559" s="2497"/>
      <c r="AK559" s="2497"/>
      <c r="AL559" s="2498"/>
      <c r="AM559" s="588"/>
      <c r="AN559" s="590"/>
    </row>
    <row r="560" spans="1:81" s="544" customFormat="1" ht="12.75" customHeight="1">
      <c r="B560" s="797"/>
      <c r="C560" s="797"/>
      <c r="D560" s="797"/>
      <c r="E560" s="797"/>
      <c r="F560" s="802" t="s">
        <v>1984</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96" t="s">
        <v>1551</v>
      </c>
      <c r="G561" s="2497"/>
      <c r="H561" s="2497"/>
      <c r="I561" s="2497"/>
      <c r="J561" s="2497"/>
      <c r="K561" s="2497"/>
      <c r="L561" s="2497"/>
      <c r="M561" s="2497"/>
      <c r="N561" s="2497"/>
      <c r="O561" s="2497"/>
      <c r="P561" s="2497"/>
      <c r="Q561" s="2497"/>
      <c r="R561" s="2497"/>
      <c r="S561" s="2497"/>
      <c r="T561" s="2497"/>
      <c r="U561" s="2497"/>
      <c r="V561" s="2497"/>
      <c r="W561" s="2497"/>
      <c r="X561" s="2497"/>
      <c r="Y561" s="2497"/>
      <c r="Z561" s="2497"/>
      <c r="AA561" s="2497"/>
      <c r="AB561" s="2497"/>
      <c r="AC561" s="2497"/>
      <c r="AD561" s="2497"/>
      <c r="AE561" s="2497"/>
      <c r="AF561" s="2497"/>
      <c r="AG561" s="2497"/>
      <c r="AH561" s="2497"/>
      <c r="AI561" s="2497"/>
      <c r="AJ561" s="2497"/>
      <c r="AK561" s="2497"/>
      <c r="AL561" s="804"/>
      <c r="AM561" s="588"/>
      <c r="AN561" s="590"/>
    </row>
    <row r="562" spans="1:45" s="544" customFormat="1" ht="12.75" customHeight="1">
      <c r="B562" s="797"/>
      <c r="C562" s="797"/>
      <c r="D562" s="797"/>
      <c r="E562" s="797"/>
      <c r="F562" s="2499"/>
      <c r="G562" s="2500"/>
      <c r="H562" s="2500"/>
      <c r="I562" s="2500"/>
      <c r="J562" s="2500"/>
      <c r="K562" s="2500"/>
      <c r="L562" s="2500"/>
      <c r="M562" s="2500"/>
      <c r="N562" s="2500"/>
      <c r="O562" s="2500"/>
      <c r="P562" s="2500"/>
      <c r="Q562" s="2500"/>
      <c r="R562" s="2500"/>
      <c r="S562" s="2500"/>
      <c r="T562" s="2500"/>
      <c r="U562" s="2500"/>
      <c r="V562" s="2500"/>
      <c r="W562" s="2500"/>
      <c r="X562" s="2500"/>
      <c r="Y562" s="2500"/>
      <c r="Z562" s="2500"/>
      <c r="AA562" s="2500"/>
      <c r="AB562" s="2500"/>
      <c r="AC562" s="2500"/>
      <c r="AD562" s="2500"/>
      <c r="AE562" s="2500"/>
      <c r="AF562" s="2500"/>
      <c r="AG562" s="2500"/>
      <c r="AH562" s="2500"/>
      <c r="AI562" s="2500"/>
      <c r="AJ562" s="2500"/>
      <c r="AK562" s="2500"/>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635">
        <f>Application!AJ1001</f>
        <v>64677075</v>
      </c>
      <c r="AQ563" s="2635"/>
      <c r="AR563" s="2635"/>
      <c r="AS563" s="544" t="s">
        <v>2116</v>
      </c>
    </row>
    <row r="564" spans="1:45" s="544" customFormat="1" ht="12.75" customHeight="1">
      <c r="A564" s="494"/>
      <c r="B564" s="443" t="s">
        <v>1552</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508">
        <f>'Sources and Uses Budget'!S107+'Sources and Uses Budget'!T107</f>
        <v>73626137</v>
      </c>
      <c r="AG564" s="2508"/>
      <c r="AH564" s="2508"/>
      <c r="AI564" s="2508"/>
      <c r="AJ564" s="2508"/>
      <c r="AK564" s="588"/>
      <c r="AL564" s="588"/>
      <c r="AM564" s="588"/>
      <c r="AN564" s="590"/>
    </row>
    <row r="565" spans="1:45" s="544" customFormat="1" ht="12.75" customHeight="1">
      <c r="A565" s="618"/>
      <c r="B565" s="618" t="s">
        <v>1553</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639">
        <f>IFERROR(AP572,0)</f>
        <v>158458835</v>
      </c>
      <c r="AG565" s="2639"/>
      <c r="AH565" s="2639"/>
      <c r="AI565" s="2639"/>
      <c r="AJ565" s="2639"/>
      <c r="AK565" s="588"/>
      <c r="AL565" s="588"/>
      <c r="AM565" s="588"/>
      <c r="AN565" s="590"/>
      <c r="AP565" s="2635">
        <f>Application!AJ1054</f>
        <v>646770.75</v>
      </c>
      <c r="AQ565" s="2635"/>
      <c r="AR565" s="2635"/>
      <c r="AS565" s="544" t="s">
        <v>1831</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640">
        <f>IFERROR(ROUNDDOWN(IF(C557="YES",((1-(AF564/AF565))*2),(1-(AF564/AF565))),2),0)</f>
        <v>1.07</v>
      </c>
      <c r="AG566" s="2640"/>
      <c r="AH566" s="2640"/>
      <c r="AI566" s="2640"/>
      <c r="AJ566" s="2640"/>
      <c r="AK566" s="588"/>
      <c r="AL566" s="588"/>
      <c r="AM566" s="588"/>
      <c r="AN566" s="590"/>
      <c r="AP566" s="2655">
        <f>Application!AJ1058</f>
        <v>63383533.5</v>
      </c>
      <c r="AQ566" s="2655"/>
      <c r="AR566" s="2655"/>
      <c r="AS566" s="544" t="s">
        <v>2117</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634">
        <f>IF(((AP565+AP566)/AP563)&gt;0.8,0.8,((AP565+AP566)/AP563))</f>
        <v>0.8</v>
      </c>
      <c r="AQ567" s="2634"/>
      <c r="AR567" s="2634"/>
      <c r="AS567" s="544" t="s">
        <v>2118</v>
      </c>
    </row>
    <row r="568" spans="1:45" s="544" customFormat="1" ht="12.75" customHeight="1">
      <c r="A568" s="617"/>
      <c r="B568" s="2581" t="s">
        <v>1985</v>
      </c>
      <c r="C568" s="2582"/>
      <c r="D568" s="2582"/>
      <c r="E568" s="2582"/>
      <c r="F568" s="2582"/>
      <c r="G568" s="2582"/>
      <c r="H568" s="2582"/>
      <c r="I568" s="2582"/>
      <c r="J568" s="2582"/>
      <c r="K568" s="2582"/>
      <c r="L568" s="2582"/>
      <c r="M568" s="2582"/>
      <c r="N568" s="2582"/>
      <c r="O568" s="2582"/>
      <c r="P568" s="2582"/>
      <c r="Q568" s="2582"/>
      <c r="R568" s="2582"/>
      <c r="S568" s="2582"/>
      <c r="T568" s="2582"/>
      <c r="U568" s="2582"/>
      <c r="V568" s="2582"/>
      <c r="W568" s="2582"/>
      <c r="X568" s="2582"/>
      <c r="Y568" s="2582"/>
      <c r="Z568" s="2582"/>
      <c r="AA568" s="2582"/>
      <c r="AB568" s="2582"/>
      <c r="AC568" s="2582"/>
      <c r="AD568" s="2582"/>
      <c r="AE568" s="2582"/>
      <c r="AF568" s="2582"/>
      <c r="AG568" s="2582"/>
      <c r="AH568" s="2582"/>
      <c r="AI568" s="2582"/>
      <c r="AJ568" s="2583"/>
      <c r="AK568" s="588"/>
      <c r="AL568" s="588"/>
      <c r="AM568" s="588"/>
      <c r="AN568" s="590"/>
    </row>
    <row r="569" spans="1:45" s="544" customFormat="1" ht="12.75" customHeight="1">
      <c r="A569" s="617"/>
      <c r="B569" s="2584"/>
      <c r="C569" s="2585"/>
      <c r="D569" s="2585"/>
      <c r="E569" s="2585"/>
      <c r="F569" s="2585"/>
      <c r="G569" s="2585"/>
      <c r="H569" s="2585"/>
      <c r="I569" s="2585"/>
      <c r="J569" s="2585"/>
      <c r="K569" s="2585"/>
      <c r="L569" s="2585"/>
      <c r="M569" s="2585"/>
      <c r="N569" s="2585"/>
      <c r="O569" s="2585"/>
      <c r="P569" s="2585"/>
      <c r="Q569" s="2585"/>
      <c r="R569" s="2585"/>
      <c r="S569" s="2585"/>
      <c r="T569" s="2585"/>
      <c r="U569" s="2585"/>
      <c r="V569" s="2585"/>
      <c r="W569" s="2585"/>
      <c r="X569" s="2585"/>
      <c r="Y569" s="2585"/>
      <c r="Z569" s="2585"/>
      <c r="AA569" s="2585"/>
      <c r="AB569" s="2585"/>
      <c r="AC569" s="2585"/>
      <c r="AD569" s="2585"/>
      <c r="AE569" s="2585"/>
      <c r="AF569" s="2585"/>
      <c r="AG569" s="2585"/>
      <c r="AH569" s="2585"/>
      <c r="AI569" s="2585"/>
      <c r="AJ569" s="2586"/>
      <c r="AK569" s="588"/>
      <c r="AL569" s="588"/>
      <c r="AM569" s="588"/>
      <c r="AN569" s="590"/>
      <c r="AP569" s="2635">
        <f>AP570-AP565-AP566</f>
        <v>106717175</v>
      </c>
      <c r="AQ569" s="2566"/>
      <c r="AR569" s="2566"/>
      <c r="AS569" s="544" t="s">
        <v>2120</v>
      </c>
    </row>
    <row r="570" spans="1:45" s="544" customFormat="1" ht="12.75" customHeight="1">
      <c r="A570" s="617"/>
      <c r="B570" s="2587"/>
      <c r="C570" s="2588"/>
      <c r="D570" s="2588"/>
      <c r="E570" s="2588"/>
      <c r="F570" s="2588"/>
      <c r="G570" s="2588"/>
      <c r="H570" s="2588"/>
      <c r="I570" s="2588"/>
      <c r="J570" s="2588"/>
      <c r="K570" s="2588"/>
      <c r="L570" s="2588"/>
      <c r="M570" s="2588"/>
      <c r="N570" s="2588"/>
      <c r="O570" s="2588"/>
      <c r="P570" s="2588"/>
      <c r="Q570" s="2588"/>
      <c r="R570" s="2588"/>
      <c r="S570" s="2588"/>
      <c r="T570" s="2588"/>
      <c r="U570" s="2588"/>
      <c r="V570" s="2588"/>
      <c r="W570" s="2588"/>
      <c r="X570" s="2588"/>
      <c r="Y570" s="2588"/>
      <c r="Z570" s="2588"/>
      <c r="AA570" s="2588"/>
      <c r="AB570" s="2588"/>
      <c r="AC570" s="2588"/>
      <c r="AD570" s="2588"/>
      <c r="AE570" s="2588"/>
      <c r="AF570" s="2588"/>
      <c r="AG570" s="2588"/>
      <c r="AH570" s="2588"/>
      <c r="AI570" s="2588"/>
      <c r="AJ570" s="2589"/>
      <c r="AK570" s="588"/>
      <c r="AL570" s="588"/>
      <c r="AM570" s="588"/>
      <c r="AN570" s="590"/>
      <c r="AP570" s="2635">
        <f>Application!AJ1062</f>
        <v>170747479.25</v>
      </c>
      <c r="AQ570" s="2635"/>
      <c r="AR570" s="2635"/>
      <c r="AS570" s="544" t="s">
        <v>2119</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1554</v>
      </c>
      <c r="AK572" s="2590">
        <f>IFERROR(IF(AND(C554="N/A",C557="N/A"),0,IF(AF566=0,0,IF((AF566*100)&gt;12,12,(AF566*100)))),0)</f>
        <v>12</v>
      </c>
      <c r="AL572" s="2590"/>
      <c r="AM572" s="2591"/>
      <c r="AN572" s="590"/>
      <c r="AP572" s="2648">
        <f>AP569+(AP563*AP567)</f>
        <v>158458835</v>
      </c>
      <c r="AQ572" s="2649"/>
      <c r="AR572" s="2650"/>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1546</v>
      </c>
      <c r="B575" s="535" t="s">
        <v>2559</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47" t="s">
        <v>1305</v>
      </c>
      <c r="AF575" s="2447"/>
      <c r="AG575" s="2447"/>
      <c r="AH575" s="2447"/>
      <c r="AI575" s="2447"/>
      <c r="AJ575" s="2447"/>
      <c r="AK575" s="2447"/>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97" t="s">
        <v>1977</v>
      </c>
      <c r="C577" s="2497"/>
      <c r="D577" s="2497"/>
      <c r="E577" s="2497"/>
      <c r="F577" s="2497"/>
      <c r="G577" s="2497"/>
      <c r="H577" s="2497"/>
      <c r="I577" s="2497"/>
      <c r="J577" s="2497"/>
      <c r="K577" s="2497"/>
      <c r="L577" s="2497"/>
      <c r="M577" s="2497"/>
      <c r="N577" s="2497"/>
      <c r="O577" s="2497"/>
      <c r="P577" s="2497"/>
      <c r="Q577" s="2497"/>
      <c r="R577" s="2497"/>
      <c r="S577" s="2497"/>
      <c r="T577" s="2497"/>
      <c r="U577" s="2497"/>
      <c r="V577" s="2497"/>
      <c r="W577" s="2497"/>
      <c r="X577" s="2497"/>
      <c r="Y577" s="2497"/>
      <c r="Z577" s="2497"/>
      <c r="AA577" s="2497"/>
      <c r="AB577" s="2497"/>
      <c r="AC577" s="2497"/>
      <c r="AD577" s="2497"/>
      <c r="AE577" s="2497"/>
      <c r="AF577" s="2497"/>
      <c r="AG577" s="2497"/>
      <c r="AH577" s="2497"/>
      <c r="AI577" s="2497"/>
      <c r="AJ577" s="2497"/>
      <c r="AK577" s="635"/>
      <c r="AL577" s="566"/>
      <c r="AM577" s="596"/>
      <c r="AN577" s="590"/>
    </row>
    <row r="578" spans="1:42" s="544" customFormat="1" ht="12.75" customHeight="1">
      <c r="A578" s="596"/>
      <c r="B578" s="2497"/>
      <c r="C578" s="2497"/>
      <c r="D578" s="2497"/>
      <c r="E578" s="2497"/>
      <c r="F578" s="2497"/>
      <c r="G578" s="2497"/>
      <c r="H578" s="2497"/>
      <c r="I578" s="2497"/>
      <c r="J578" s="2497"/>
      <c r="K578" s="2497"/>
      <c r="L578" s="2497"/>
      <c r="M578" s="2497"/>
      <c r="N578" s="2497"/>
      <c r="O578" s="2497"/>
      <c r="P578" s="2497"/>
      <c r="Q578" s="2497"/>
      <c r="R578" s="2497"/>
      <c r="S578" s="2497"/>
      <c r="T578" s="2497"/>
      <c r="U578" s="2497"/>
      <c r="V578" s="2497"/>
      <c r="W578" s="2497"/>
      <c r="X578" s="2497"/>
      <c r="Y578" s="2497"/>
      <c r="Z578" s="2497"/>
      <c r="AA578" s="2497"/>
      <c r="AB578" s="2497"/>
      <c r="AC578" s="2497"/>
      <c r="AD578" s="2497"/>
      <c r="AE578" s="2497"/>
      <c r="AF578" s="2497"/>
      <c r="AG578" s="2497"/>
      <c r="AH578" s="2497"/>
      <c r="AI578" s="2497"/>
      <c r="AJ578" s="2497"/>
      <c r="AK578" s="635"/>
      <c r="AL578" s="566"/>
      <c r="AM578" s="596"/>
      <c r="AN578" s="590"/>
    </row>
    <row r="579" spans="1:42" s="544" customFormat="1" ht="12.75" customHeight="1">
      <c r="A579" s="596"/>
      <c r="B579" s="2497"/>
      <c r="C579" s="2497"/>
      <c r="D579" s="2497"/>
      <c r="E579" s="2497"/>
      <c r="F579" s="2497"/>
      <c r="G579" s="2497"/>
      <c r="H579" s="2497"/>
      <c r="I579" s="2497"/>
      <c r="J579" s="2497"/>
      <c r="K579" s="2497"/>
      <c r="L579" s="2497"/>
      <c r="M579" s="2497"/>
      <c r="N579" s="2497"/>
      <c r="O579" s="2497"/>
      <c r="P579" s="2497"/>
      <c r="Q579" s="2497"/>
      <c r="R579" s="2497"/>
      <c r="S579" s="2497"/>
      <c r="T579" s="2497"/>
      <c r="U579" s="2497"/>
      <c r="V579" s="2497"/>
      <c r="W579" s="2497"/>
      <c r="X579" s="2497"/>
      <c r="Y579" s="2497"/>
      <c r="Z579" s="2497"/>
      <c r="AA579" s="2497"/>
      <c r="AB579" s="2497"/>
      <c r="AC579" s="2497"/>
      <c r="AD579" s="2497"/>
      <c r="AE579" s="2497"/>
      <c r="AF579" s="2497"/>
      <c r="AG579" s="2497"/>
      <c r="AH579" s="2497"/>
      <c r="AI579" s="2497"/>
      <c r="AJ579" s="2497"/>
      <c r="AK579" s="635"/>
      <c r="AL579" s="566"/>
      <c r="AM579" s="596"/>
      <c r="AN579" s="590"/>
    </row>
    <row r="580" spans="1:42" s="544" customFormat="1" ht="12.75" customHeight="1">
      <c r="A580" s="596"/>
      <c r="B580" s="2497"/>
      <c r="C580" s="2497"/>
      <c r="D580" s="2497"/>
      <c r="E580" s="2497"/>
      <c r="F580" s="2497"/>
      <c r="G580" s="2497"/>
      <c r="H580" s="2497"/>
      <c r="I580" s="2497"/>
      <c r="J580" s="2497"/>
      <c r="K580" s="2497"/>
      <c r="L580" s="2497"/>
      <c r="M580" s="2497"/>
      <c r="N580" s="2497"/>
      <c r="O580" s="2497"/>
      <c r="P580" s="2497"/>
      <c r="Q580" s="2497"/>
      <c r="R580" s="2497"/>
      <c r="S580" s="2497"/>
      <c r="T580" s="2497"/>
      <c r="U580" s="2497"/>
      <c r="V580" s="2497"/>
      <c r="W580" s="2497"/>
      <c r="X580" s="2497"/>
      <c r="Y580" s="2497"/>
      <c r="Z580" s="2497"/>
      <c r="AA580" s="2497"/>
      <c r="AB580" s="2497"/>
      <c r="AC580" s="2497"/>
      <c r="AD580" s="2497"/>
      <c r="AE580" s="2497"/>
      <c r="AF580" s="2497"/>
      <c r="AG580" s="2497"/>
      <c r="AH580" s="2497"/>
      <c r="AI580" s="2497"/>
      <c r="AJ580" s="2497"/>
      <c r="AK580" s="635"/>
      <c r="AL580" s="566"/>
      <c r="AM580" s="596"/>
      <c r="AN580" s="590"/>
    </row>
    <row r="581" spans="1:42" s="544" customFormat="1" ht="12.75" customHeight="1">
      <c r="A581" s="596"/>
      <c r="B581" s="2497"/>
      <c r="C581" s="2497"/>
      <c r="D581" s="2497"/>
      <c r="E581" s="2497"/>
      <c r="F581" s="2497"/>
      <c r="G581" s="2497"/>
      <c r="H581" s="2497"/>
      <c r="I581" s="2497"/>
      <c r="J581" s="2497"/>
      <c r="K581" s="2497"/>
      <c r="L581" s="2497"/>
      <c r="M581" s="2497"/>
      <c r="N581" s="2497"/>
      <c r="O581" s="2497"/>
      <c r="P581" s="2497"/>
      <c r="Q581" s="2497"/>
      <c r="R581" s="2497"/>
      <c r="S581" s="2497"/>
      <c r="T581" s="2497"/>
      <c r="U581" s="2497"/>
      <c r="V581" s="2497"/>
      <c r="W581" s="2497"/>
      <c r="X581" s="2497"/>
      <c r="Y581" s="2497"/>
      <c r="Z581" s="2497"/>
      <c r="AA581" s="2497"/>
      <c r="AB581" s="2497"/>
      <c r="AC581" s="2497"/>
      <c r="AD581" s="2497"/>
      <c r="AE581" s="2497"/>
      <c r="AF581" s="2497"/>
      <c r="AG581" s="2497"/>
      <c r="AH581" s="2497"/>
      <c r="AI581" s="2497"/>
      <c r="AJ581" s="2497"/>
      <c r="AK581" s="635"/>
      <c r="AL581" s="566"/>
      <c r="AM581" s="596"/>
      <c r="AN581" s="590"/>
    </row>
    <row r="582" spans="1:42" s="544" customFormat="1" ht="12.75" customHeight="1">
      <c r="A582" s="596"/>
      <c r="B582" s="2497"/>
      <c r="C582" s="2497"/>
      <c r="D582" s="2497"/>
      <c r="E582" s="2497"/>
      <c r="F582" s="2497"/>
      <c r="G582" s="2497"/>
      <c r="H582" s="2497"/>
      <c r="I582" s="2497"/>
      <c r="J582" s="2497"/>
      <c r="K582" s="2497"/>
      <c r="L582" s="2497"/>
      <c r="M582" s="2497"/>
      <c r="N582" s="2497"/>
      <c r="O582" s="2497"/>
      <c r="P582" s="2497"/>
      <c r="Q582" s="2497"/>
      <c r="R582" s="2497"/>
      <c r="S582" s="2497"/>
      <c r="T582" s="2497"/>
      <c r="U582" s="2497"/>
      <c r="V582" s="2497"/>
      <c r="W582" s="2497"/>
      <c r="X582" s="2497"/>
      <c r="Y582" s="2497"/>
      <c r="Z582" s="2497"/>
      <c r="AA582" s="2497"/>
      <c r="AB582" s="2497"/>
      <c r="AC582" s="2497"/>
      <c r="AD582" s="2497"/>
      <c r="AE582" s="2497"/>
      <c r="AF582" s="2497"/>
      <c r="AG582" s="2497"/>
      <c r="AH582" s="2497"/>
      <c r="AI582" s="2497"/>
      <c r="AJ582" s="2497"/>
      <c r="AK582" s="635"/>
      <c r="AL582" s="566"/>
      <c r="AM582" s="596"/>
      <c r="AN582" s="590"/>
    </row>
    <row r="583" spans="1:42" s="544" customFormat="1" ht="12.75" customHeight="1">
      <c r="A583" s="596"/>
      <c r="B583" s="2497"/>
      <c r="C583" s="2497"/>
      <c r="D583" s="2497"/>
      <c r="E583" s="2497"/>
      <c r="F583" s="2497"/>
      <c r="G583" s="2497"/>
      <c r="H583" s="2497"/>
      <c r="I583" s="2497"/>
      <c r="J583" s="2497"/>
      <c r="K583" s="2497"/>
      <c r="L583" s="2497"/>
      <c r="M583" s="2497"/>
      <c r="N583" s="2497"/>
      <c r="O583" s="2497"/>
      <c r="P583" s="2497"/>
      <c r="Q583" s="2497"/>
      <c r="R583" s="2497"/>
      <c r="S583" s="2497"/>
      <c r="T583" s="2497"/>
      <c r="U583" s="2497"/>
      <c r="V583" s="2497"/>
      <c r="W583" s="2497"/>
      <c r="X583" s="2497"/>
      <c r="Y583" s="2497"/>
      <c r="Z583" s="2497"/>
      <c r="AA583" s="2497"/>
      <c r="AB583" s="2497"/>
      <c r="AC583" s="2497"/>
      <c r="AD583" s="2497"/>
      <c r="AE583" s="2497"/>
      <c r="AF583" s="2497"/>
      <c r="AG583" s="2497"/>
      <c r="AH583" s="2497"/>
      <c r="AI583" s="2497"/>
      <c r="AJ583" s="2497"/>
      <c r="AK583" s="635"/>
      <c r="AL583" s="566"/>
      <c r="AM583" s="596"/>
      <c r="AN583" s="590"/>
    </row>
    <row r="584" spans="1:42" ht="12.75" customHeight="1">
      <c r="A584" s="596"/>
      <c r="B584" s="2497"/>
      <c r="C584" s="2497"/>
      <c r="D584" s="2497"/>
      <c r="E584" s="2497"/>
      <c r="F584" s="2497"/>
      <c r="G584" s="2497"/>
      <c r="H584" s="2497"/>
      <c r="I584" s="2497"/>
      <c r="J584" s="2497"/>
      <c r="K584" s="2497"/>
      <c r="L584" s="2497"/>
      <c r="M584" s="2497"/>
      <c r="N584" s="2497"/>
      <c r="O584" s="2497"/>
      <c r="P584" s="2497"/>
      <c r="Q584" s="2497"/>
      <c r="R584" s="2497"/>
      <c r="S584" s="2497"/>
      <c r="T584" s="2497"/>
      <c r="U584" s="2497"/>
      <c r="V584" s="2497"/>
      <c r="W584" s="2497"/>
      <c r="X584" s="2497"/>
      <c r="Y584" s="2497"/>
      <c r="Z584" s="2497"/>
      <c r="AA584" s="2497"/>
      <c r="AB584" s="2497"/>
      <c r="AC584" s="2497"/>
      <c r="AD584" s="2497"/>
      <c r="AE584" s="2497"/>
      <c r="AF584" s="2497"/>
      <c r="AG584" s="2497"/>
      <c r="AH584" s="2497"/>
      <c r="AI584" s="2497"/>
      <c r="AJ584" s="2497"/>
      <c r="AK584" s="635"/>
      <c r="AL584" s="566"/>
      <c r="AM584" s="596"/>
    </row>
    <row r="585" spans="1:42" s="544" customFormat="1" ht="12.75" customHeight="1">
      <c r="B585" s="2497"/>
      <c r="C585" s="2497"/>
      <c r="D585" s="2497"/>
      <c r="E585" s="2497"/>
      <c r="F585" s="2497"/>
      <c r="G585" s="2497"/>
      <c r="H585" s="2497"/>
      <c r="I585" s="2497"/>
      <c r="J585" s="2497"/>
      <c r="K585" s="2497"/>
      <c r="L585" s="2497"/>
      <c r="M585" s="2497"/>
      <c r="N585" s="2497"/>
      <c r="O585" s="2497"/>
      <c r="P585" s="2497"/>
      <c r="Q585" s="2497"/>
      <c r="R585" s="2497"/>
      <c r="S585" s="2497"/>
      <c r="T585" s="2497"/>
      <c r="U585" s="2497"/>
      <c r="V585" s="2497"/>
      <c r="W585" s="2497"/>
      <c r="X585" s="2497"/>
      <c r="Y585" s="2497"/>
      <c r="Z585" s="2497"/>
      <c r="AA585" s="2497"/>
      <c r="AB585" s="2497"/>
      <c r="AC585" s="2497"/>
      <c r="AD585" s="2497"/>
      <c r="AE585" s="2497"/>
      <c r="AF585" s="2497"/>
      <c r="AG585" s="2497"/>
      <c r="AH585" s="2497"/>
      <c r="AI585" s="2497"/>
      <c r="AJ585" s="2497"/>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1383</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589</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543</v>
      </c>
    </row>
    <row r="589" spans="1:42" s="544" customFormat="1" ht="12.75" customHeight="1">
      <c r="C589" s="535" t="s">
        <v>1384</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685</v>
      </c>
      <c r="E591" s="829" t="s">
        <v>1684</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80" t="s">
        <v>1329</v>
      </c>
      <c r="AG591" s="2480"/>
      <c r="AH591" s="2480"/>
      <c r="AI591" s="2480"/>
      <c r="AJ591" s="2480"/>
      <c r="AK591" s="2480"/>
      <c r="AL591" s="2480"/>
      <c r="AN591" s="590"/>
    </row>
    <row r="592" spans="1:42" s="544" customFormat="1" ht="12.75" customHeight="1">
      <c r="B592" s="532"/>
      <c r="C592" s="609"/>
      <c r="D592" s="654"/>
      <c r="E592" s="829" t="s">
        <v>1685</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1686</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1687</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1688</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2121</v>
      </c>
      <c r="AP595" s="544" t="b">
        <f>IF(Application!AF427&gt;=25,TRUE,FALSE)</f>
        <v>1</v>
      </c>
    </row>
    <row r="596" spans="1:42" s="544" customFormat="1" ht="12.75" customHeight="1">
      <c r="B596" s="532"/>
      <c r="C596" s="609"/>
      <c r="D596" s="654"/>
      <c r="E596" s="829" t="s">
        <v>1689</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2122</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507</v>
      </c>
      <c r="E598" s="829" t="s">
        <v>1690</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80" t="s">
        <v>1385</v>
      </c>
      <c r="AG598" s="2480"/>
      <c r="AH598" s="2480"/>
      <c r="AI598" s="2480"/>
      <c r="AJ598" s="2480"/>
      <c r="AK598" s="2480"/>
      <c r="AL598" s="2480"/>
      <c r="AN598" s="590"/>
    </row>
    <row r="599" spans="1:42" s="544" customFormat="1" ht="12.75" customHeight="1">
      <c r="B599" s="532"/>
      <c r="C599" s="924"/>
      <c r="D599" s="654"/>
      <c r="E599" s="829" t="s">
        <v>1691</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589</v>
      </c>
      <c r="AP599" s="664">
        <v>0</v>
      </c>
    </row>
    <row r="600" spans="1:42" s="544" customFormat="1" ht="12.75" customHeight="1">
      <c r="B600" s="603"/>
      <c r="C600" s="922"/>
      <c r="D600" s="654"/>
      <c r="E600" s="829" t="s">
        <v>1692</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685</v>
      </c>
      <c r="AP600" s="544">
        <f>7*AP595</f>
        <v>7</v>
      </c>
    </row>
    <row r="601" spans="1:42" s="544" customFormat="1" ht="12.75" customHeight="1">
      <c r="B601" s="603"/>
      <c r="C601" s="922"/>
      <c r="D601" s="654"/>
      <c r="E601" s="829" t="s">
        <v>1694</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507</v>
      </c>
      <c r="AP601" s="544">
        <v>6</v>
      </c>
    </row>
    <row r="602" spans="1:42" s="544" customFormat="1" ht="12.75" customHeight="1">
      <c r="B602" s="603"/>
      <c r="C602" s="922"/>
      <c r="D602" s="654"/>
      <c r="E602" s="829" t="s">
        <v>1693</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277</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1386</v>
      </c>
      <c r="AP603" s="544">
        <v>4</v>
      </c>
    </row>
    <row r="604" spans="1:42" s="544" customFormat="1" ht="12.75" customHeight="1">
      <c r="B604" s="532"/>
      <c r="C604" s="922"/>
      <c r="D604" s="654" t="s">
        <v>277</v>
      </c>
      <c r="E604" s="829" t="s">
        <v>1695</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80" t="s">
        <v>1368</v>
      </c>
      <c r="AG604" s="2480"/>
      <c r="AH604" s="2480"/>
      <c r="AI604" s="2480"/>
      <c r="AJ604" s="2480"/>
      <c r="AK604" s="2480"/>
      <c r="AL604" s="2480"/>
      <c r="AN604" s="590"/>
      <c r="AO604" s="604" t="s">
        <v>1387</v>
      </c>
      <c r="AP604" s="544">
        <v>3</v>
      </c>
    </row>
    <row r="605" spans="1:42" s="544" customFormat="1" ht="12.75" customHeight="1">
      <c r="B605" s="532"/>
      <c r="C605" s="924"/>
      <c r="D605" s="654"/>
      <c r="E605" s="829" t="s">
        <v>1691</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1692</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2124</v>
      </c>
    </row>
    <row r="607" spans="1:42" s="544" customFormat="1" ht="12.75" customHeight="1">
      <c r="B607" s="532"/>
      <c r="C607" s="924"/>
      <c r="D607" s="654"/>
      <c r="E607" s="829" t="s">
        <v>1694</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2125</v>
      </c>
    </row>
    <row r="608" spans="1:42" s="544" customFormat="1" ht="12.75" customHeight="1">
      <c r="B608" s="532"/>
      <c r="C608" s="924"/>
      <c r="D608" s="654"/>
      <c r="E608" s="829" t="s">
        <v>1693</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2126</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1386</v>
      </c>
      <c r="E610" s="829" t="s">
        <v>1696</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80" t="s">
        <v>1388</v>
      </c>
      <c r="AG610" s="2480"/>
      <c r="AH610" s="2480"/>
      <c r="AI610" s="2480"/>
      <c r="AJ610" s="2480"/>
      <c r="AK610" s="2480"/>
      <c r="AL610" s="2480"/>
      <c r="AN610" s="590"/>
      <c r="AO610" s="544" t="str">
        <f>X647</f>
        <v>N/A</v>
      </c>
    </row>
    <row r="611" spans="1:53" s="544" customFormat="1" ht="12.75" customHeight="1">
      <c r="B611" s="532"/>
      <c r="C611" s="924"/>
      <c r="D611" s="654"/>
      <c r="E611" s="829" t="s">
        <v>1697</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1698</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2127</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2128</v>
      </c>
    </row>
    <row r="614" spans="1:53" s="544" customFormat="1" ht="12.75" hidden="1" customHeight="1">
      <c r="B614" s="603"/>
      <c r="C614" s="922"/>
      <c r="D614" s="654"/>
      <c r="E614" s="532" t="s">
        <v>1832</v>
      </c>
      <c r="O614" s="2562" t="s">
        <v>1181</v>
      </c>
      <c r="P614" s="2562"/>
      <c r="Q614" s="2562"/>
      <c r="R614" s="2562"/>
      <c r="S614" s="2562"/>
      <c r="T614" s="2562"/>
      <c r="U614" s="2562"/>
      <c r="V614" s="2562"/>
      <c r="W614" s="2562"/>
      <c r="X614" s="2562"/>
      <c r="Y614" s="2562"/>
      <c r="Z614" s="2562"/>
      <c r="AA614" s="2562"/>
      <c r="AB614" s="2562"/>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1387</v>
      </c>
      <c r="E616" s="829" t="s">
        <v>1700</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80" t="s">
        <v>1343</v>
      </c>
      <c r="AG616" s="2480"/>
      <c r="AH616" s="2480"/>
      <c r="AI616" s="2480"/>
      <c r="AJ616" s="2480"/>
      <c r="AK616" s="2480"/>
      <c r="AL616" s="2480"/>
      <c r="AN616" s="590"/>
    </row>
    <row r="617" spans="1:53" s="544" customFormat="1" ht="12.75" customHeight="1">
      <c r="B617" s="532"/>
      <c r="C617" s="922"/>
      <c r="D617" s="654"/>
      <c r="E617" s="829" t="s">
        <v>1699</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589</v>
      </c>
      <c r="AP618" s="664">
        <v>0</v>
      </c>
      <c r="AT618" s="544" t="s">
        <v>589</v>
      </c>
      <c r="AU618" s="664">
        <v>0</v>
      </c>
    </row>
    <row r="619" spans="1:53" s="544" customFormat="1" ht="12.75" customHeight="1">
      <c r="B619" s="532"/>
      <c r="C619" s="924"/>
      <c r="D619" s="532" t="s">
        <v>1389</v>
      </c>
      <c r="E619" s="927"/>
      <c r="F619" s="927"/>
      <c r="G619" s="927"/>
      <c r="H619" s="2560" t="s">
        <v>685</v>
      </c>
      <c r="I619" s="2560"/>
      <c r="J619" s="927"/>
      <c r="K619" s="927"/>
      <c r="L619" s="927"/>
      <c r="N619" s="22"/>
      <c r="O619" s="22"/>
      <c r="P619" s="22"/>
      <c r="Q619" s="1140" t="s">
        <v>2123</v>
      </c>
      <c r="R619" s="2563"/>
      <c r="S619" s="2563"/>
      <c r="T619" s="2563"/>
      <c r="U619" s="2563"/>
      <c r="V619" s="2563"/>
      <c r="W619" s="2563"/>
      <c r="X619" s="532"/>
      <c r="Y619" s="532"/>
      <c r="Z619" s="532"/>
      <c r="AA619" s="532"/>
      <c r="AB619" s="532"/>
      <c r="AC619" s="532"/>
      <c r="AD619" s="532"/>
      <c r="AE619" s="532"/>
      <c r="AF619" s="532"/>
      <c r="AG619" s="532"/>
      <c r="AH619" s="532"/>
      <c r="AI619" s="532"/>
      <c r="AJ619" s="532"/>
      <c r="AK619" s="532"/>
      <c r="AL619" s="532"/>
      <c r="AN619" s="590"/>
      <c r="AO619" s="604" t="s">
        <v>685</v>
      </c>
      <c r="AP619" s="544">
        <v>3</v>
      </c>
      <c r="AT619" s="604" t="s">
        <v>685</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64" t="str">
        <f>IF(AND(H619="(i)",NOT(AP595)),AO612,IF(AND(H619="(iv)",OR(R619=AO608,R619=AO607),NOT(AP596)),AO613,""))</f>
        <v/>
      </c>
      <c r="Z620" s="2564"/>
      <c r="AA620" s="2564"/>
      <c r="AB620" s="2564"/>
      <c r="AC620" s="2564"/>
      <c r="AD620" s="2564"/>
      <c r="AE620" s="2564"/>
      <c r="AF620" s="2564"/>
      <c r="AG620" s="2564"/>
      <c r="AH620" s="2564"/>
      <c r="AI620" s="2564"/>
      <c r="AJ620" s="2564"/>
      <c r="AK620" s="2564"/>
      <c r="AL620" s="2564"/>
      <c r="AM620" s="2565"/>
      <c r="AN620" s="590"/>
      <c r="AO620" s="604" t="s">
        <v>507</v>
      </c>
      <c r="AP620" s="544">
        <v>2</v>
      </c>
      <c r="AT620" s="604" t="s">
        <v>507</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64"/>
      <c r="Z621" s="2564"/>
      <c r="AA621" s="2564"/>
      <c r="AB621" s="2564"/>
      <c r="AC621" s="2564"/>
      <c r="AD621" s="2564"/>
      <c r="AE621" s="2564"/>
      <c r="AF621" s="2564"/>
      <c r="AG621" s="2564"/>
      <c r="AH621" s="2564"/>
      <c r="AI621" s="2564"/>
      <c r="AJ621" s="2564"/>
      <c r="AK621" s="2564"/>
      <c r="AL621" s="2564"/>
      <c r="AM621" s="2565"/>
      <c r="AN621" s="590"/>
      <c r="AO621" s="604"/>
      <c r="AT621" s="604"/>
    </row>
    <row r="622" spans="1:53" s="544" customFormat="1" ht="12.75" customHeight="1">
      <c r="B622" s="532"/>
      <c r="C622" s="924"/>
      <c r="D622" s="532" t="s">
        <v>1701</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1702</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1703</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1704</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589</v>
      </c>
      <c r="AP626" s="664">
        <v>0</v>
      </c>
    </row>
    <row r="627" spans="1:42" s="544" customFormat="1" ht="12.75" customHeight="1">
      <c r="B627" s="532"/>
      <c r="C627" s="924"/>
      <c r="D627" s="532"/>
      <c r="E627" s="532" t="s">
        <v>1389</v>
      </c>
      <c r="F627" s="927"/>
      <c r="G627" s="927"/>
      <c r="I627" s="2561" t="s">
        <v>589</v>
      </c>
      <c r="J627" s="2561"/>
      <c r="K627" s="2561"/>
      <c r="L627" s="2561"/>
      <c r="M627" s="2561"/>
      <c r="N627" s="2561"/>
      <c r="O627" s="2561"/>
      <c r="P627" s="2561"/>
      <c r="Q627" s="2561"/>
      <c r="R627" s="2561"/>
      <c r="S627" s="2561"/>
      <c r="T627" s="2561"/>
      <c r="U627" s="2561"/>
      <c r="V627" s="2561"/>
      <c r="W627" s="2561"/>
      <c r="X627" s="2561"/>
      <c r="Y627" s="2561"/>
      <c r="Z627" s="2561"/>
      <c r="AA627" s="2561"/>
      <c r="AB627" s="2561"/>
      <c r="AC627" s="2561"/>
      <c r="AD627" s="2561"/>
      <c r="AE627" s="2561"/>
      <c r="AF627" s="532"/>
      <c r="AG627" s="532"/>
      <c r="AH627" s="532"/>
      <c r="AI627" s="532"/>
      <c r="AJ627" s="532"/>
      <c r="AK627" s="532"/>
      <c r="AL627" s="532"/>
      <c r="AN627" s="590"/>
      <c r="AO627" s="544" t="s">
        <v>1390</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1391</v>
      </c>
      <c r="AP628" s="544">
        <v>2</v>
      </c>
    </row>
    <row r="629" spans="1:42" s="544" customFormat="1" ht="12.75" customHeight="1">
      <c r="B629" s="2492" t="s">
        <v>589</v>
      </c>
      <c r="C629" s="2492"/>
      <c r="D629" s="635"/>
      <c r="E629" s="2497" t="s">
        <v>1392</v>
      </c>
      <c r="F629" s="2497"/>
      <c r="G629" s="2497"/>
      <c r="H629" s="2497"/>
      <c r="I629" s="2497"/>
      <c r="J629" s="2497"/>
      <c r="K629" s="2497"/>
      <c r="L629" s="2497"/>
      <c r="M629" s="2497"/>
      <c r="N629" s="2497"/>
      <c r="O629" s="2497"/>
      <c r="P629" s="2497"/>
      <c r="Q629" s="2497"/>
      <c r="R629" s="2497"/>
      <c r="S629" s="2497"/>
      <c r="T629" s="2497"/>
      <c r="U629" s="2497"/>
      <c r="V629" s="2497"/>
      <c r="W629" s="2497"/>
      <c r="X629" s="2497"/>
      <c r="Y629" s="2497"/>
      <c r="Z629" s="2497"/>
      <c r="AA629" s="2497"/>
      <c r="AB629" s="2497"/>
      <c r="AC629" s="2497"/>
      <c r="AD629" s="2497"/>
      <c r="AE629" s="2497"/>
      <c r="AF629" s="2497"/>
      <c r="AG629" s="2497"/>
      <c r="AH629" s="635"/>
      <c r="AI629" s="635"/>
      <c r="AJ629" s="635"/>
      <c r="AK629" s="635"/>
      <c r="AL629" s="635"/>
      <c r="AN629" s="590"/>
    </row>
    <row r="630" spans="1:42" s="544" customFormat="1" ht="12.75" customHeight="1">
      <c r="B630" s="532"/>
      <c r="C630" s="924"/>
      <c r="D630" s="635"/>
      <c r="E630" s="2497"/>
      <c r="F630" s="2497"/>
      <c r="G630" s="2497"/>
      <c r="H630" s="2497"/>
      <c r="I630" s="2497"/>
      <c r="J630" s="2497"/>
      <c r="K630" s="2497"/>
      <c r="L630" s="2497"/>
      <c r="M630" s="2497"/>
      <c r="N630" s="2497"/>
      <c r="O630" s="2497"/>
      <c r="P630" s="2497"/>
      <c r="Q630" s="2497"/>
      <c r="R630" s="2497"/>
      <c r="S630" s="2497"/>
      <c r="T630" s="2497"/>
      <c r="U630" s="2497"/>
      <c r="V630" s="2497"/>
      <c r="W630" s="2497"/>
      <c r="X630" s="2497"/>
      <c r="Y630" s="2497"/>
      <c r="Z630" s="2497"/>
      <c r="AA630" s="2497"/>
      <c r="AB630" s="2497"/>
      <c r="AC630" s="2497"/>
      <c r="AD630" s="2497"/>
      <c r="AE630" s="2497"/>
      <c r="AF630" s="2497"/>
      <c r="AG630" s="2497"/>
      <c r="AH630" s="635"/>
      <c r="AI630" s="635"/>
      <c r="AJ630" s="635"/>
      <c r="AK630" s="635"/>
      <c r="AL630" s="635"/>
      <c r="AN630" s="590"/>
    </row>
    <row r="631" spans="1:42" s="544" customFormat="1" ht="12.75" customHeight="1">
      <c r="B631" s="532"/>
      <c r="C631" s="924"/>
      <c r="D631" s="635"/>
      <c r="E631" s="2497"/>
      <c r="F631" s="2497"/>
      <c r="G631" s="2497"/>
      <c r="H631" s="2497"/>
      <c r="I631" s="2497"/>
      <c r="J631" s="2497"/>
      <c r="K631" s="2497"/>
      <c r="L631" s="2497"/>
      <c r="M631" s="2497"/>
      <c r="N631" s="2497"/>
      <c r="O631" s="2497"/>
      <c r="P631" s="2497"/>
      <c r="Q631" s="2497"/>
      <c r="R631" s="2497"/>
      <c r="S631" s="2497"/>
      <c r="T631" s="2497"/>
      <c r="U631" s="2497"/>
      <c r="V631" s="2497"/>
      <c r="W631" s="2497"/>
      <c r="X631" s="2497"/>
      <c r="Y631" s="2497"/>
      <c r="Z631" s="2497"/>
      <c r="AA631" s="2497"/>
      <c r="AB631" s="2497"/>
      <c r="AC631" s="2497"/>
      <c r="AD631" s="2497"/>
      <c r="AE631" s="2497"/>
      <c r="AF631" s="2497"/>
      <c r="AG631" s="2497"/>
      <c r="AH631" s="635"/>
      <c r="AI631" s="635"/>
      <c r="AJ631" s="635"/>
      <c r="AK631" s="635"/>
      <c r="AL631" s="635"/>
      <c r="AN631" s="590"/>
    </row>
    <row r="632" spans="1:42" s="544" customFormat="1" ht="12.75" customHeight="1">
      <c r="B632" s="532"/>
      <c r="C632" s="924"/>
      <c r="D632" s="635"/>
      <c r="E632" s="2497"/>
      <c r="F632" s="2497"/>
      <c r="G632" s="2497"/>
      <c r="H632" s="2497"/>
      <c r="I632" s="2497"/>
      <c r="J632" s="2497"/>
      <c r="K632" s="2497"/>
      <c r="L632" s="2497"/>
      <c r="M632" s="2497"/>
      <c r="N632" s="2497"/>
      <c r="O632" s="2497"/>
      <c r="P632" s="2497"/>
      <c r="Q632" s="2497"/>
      <c r="R632" s="2497"/>
      <c r="S632" s="2497"/>
      <c r="T632" s="2497"/>
      <c r="U632" s="2497"/>
      <c r="V632" s="2497"/>
      <c r="W632" s="2497"/>
      <c r="X632" s="2497"/>
      <c r="Y632" s="2497"/>
      <c r="Z632" s="2497"/>
      <c r="AA632" s="2497"/>
      <c r="AB632" s="2497"/>
      <c r="AC632" s="2497"/>
      <c r="AD632" s="2497"/>
      <c r="AE632" s="2497"/>
      <c r="AF632" s="2497"/>
      <c r="AG632" s="2497"/>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1393</v>
      </c>
      <c r="AJ634" s="2505">
        <f>VLOOKUP($H$619,$AO$599:$AP$604,2,FALSE)+IF(R619=AO607,0,VLOOKUP($I$627,$AO$626:$AP$628,2,FALSE))</f>
        <v>7</v>
      </c>
      <c r="AK634" s="2507"/>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1394</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685</v>
      </c>
      <c r="E638" s="2559" t="s">
        <v>1680</v>
      </c>
      <c r="F638" s="2559"/>
      <c r="G638" s="2559"/>
      <c r="H638" s="2559"/>
      <c r="I638" s="2559"/>
      <c r="J638" s="2559"/>
      <c r="K638" s="2559"/>
      <c r="L638" s="2559"/>
      <c r="M638" s="2559"/>
      <c r="N638" s="2559"/>
      <c r="O638" s="2559"/>
      <c r="P638" s="2559"/>
      <c r="Q638" s="2559"/>
      <c r="R638" s="2559"/>
      <c r="S638" s="2559"/>
      <c r="T638" s="2559"/>
      <c r="U638" s="2559"/>
      <c r="V638" s="2559"/>
      <c r="W638" s="2559"/>
      <c r="X638" s="2559"/>
      <c r="Y638" s="2559"/>
      <c r="Z638" s="2559"/>
      <c r="AA638" s="2559"/>
      <c r="AB638" s="2559"/>
      <c r="AC638" s="2559"/>
      <c r="AD638" s="2559"/>
      <c r="AE638" s="535"/>
      <c r="AF638" s="2480" t="s">
        <v>1343</v>
      </c>
      <c r="AG638" s="2480"/>
      <c r="AH638" s="2480"/>
      <c r="AI638" s="2480"/>
      <c r="AJ638" s="2480"/>
      <c r="AK638" s="2480"/>
      <c r="AL638" s="2480"/>
      <c r="AM638" s="544"/>
      <c r="AN638" s="669"/>
    </row>
    <row r="639" spans="1:42" s="544" customFormat="1" ht="12.75" customHeight="1">
      <c r="A639" s="670"/>
      <c r="B639" s="532"/>
      <c r="C639" s="924"/>
      <c r="D639" s="654"/>
      <c r="E639" s="2559"/>
      <c r="F639" s="2559"/>
      <c r="G639" s="2559"/>
      <c r="H639" s="2559"/>
      <c r="I639" s="2559"/>
      <c r="J639" s="2559"/>
      <c r="K639" s="2559"/>
      <c r="L639" s="2559"/>
      <c r="M639" s="2559"/>
      <c r="N639" s="2559"/>
      <c r="O639" s="2559"/>
      <c r="P639" s="2559"/>
      <c r="Q639" s="2559"/>
      <c r="R639" s="2559"/>
      <c r="S639" s="2559"/>
      <c r="T639" s="2559"/>
      <c r="U639" s="2559"/>
      <c r="V639" s="2559"/>
      <c r="W639" s="2559"/>
      <c r="X639" s="2559"/>
      <c r="Y639" s="2559"/>
      <c r="Z639" s="2559"/>
      <c r="AA639" s="2559"/>
      <c r="AB639" s="2559"/>
      <c r="AC639" s="2559"/>
      <c r="AD639" s="2559"/>
      <c r="AE639" s="532"/>
      <c r="AF639" s="532"/>
      <c r="AG639" s="532"/>
      <c r="AH639" s="532"/>
      <c r="AI639" s="532"/>
      <c r="AJ639" s="532"/>
      <c r="AK639" s="532"/>
      <c r="AL639" s="532"/>
      <c r="AN639" s="590"/>
    </row>
    <row r="640" spans="1:42" s="544" customFormat="1" ht="12.75" customHeight="1">
      <c r="B640" s="532"/>
      <c r="C640" s="922"/>
      <c r="D640" s="654"/>
      <c r="E640" s="2559"/>
      <c r="F640" s="2559"/>
      <c r="G640" s="2559"/>
      <c r="H640" s="2559"/>
      <c r="I640" s="2559"/>
      <c r="J640" s="2559"/>
      <c r="K640" s="2559"/>
      <c r="L640" s="2559"/>
      <c r="M640" s="2559"/>
      <c r="N640" s="2559"/>
      <c r="O640" s="2559"/>
      <c r="P640" s="2559"/>
      <c r="Q640" s="2559"/>
      <c r="R640" s="2559"/>
      <c r="S640" s="2559"/>
      <c r="T640" s="2559"/>
      <c r="U640" s="2559"/>
      <c r="V640" s="2559"/>
      <c r="W640" s="2559"/>
      <c r="X640" s="2559"/>
      <c r="Y640" s="2559"/>
      <c r="Z640" s="2559"/>
      <c r="AA640" s="2559"/>
      <c r="AB640" s="2559"/>
      <c r="AC640" s="2559"/>
      <c r="AD640" s="2559"/>
      <c r="AE640" s="532"/>
      <c r="AF640" s="532"/>
      <c r="AG640" s="532"/>
      <c r="AH640" s="532"/>
      <c r="AI640" s="532"/>
      <c r="AJ640" s="532"/>
      <c r="AK640" s="532"/>
      <c r="AL640" s="532"/>
      <c r="AN640" s="590"/>
    </row>
    <row r="641" spans="1:42" s="544" customFormat="1" ht="12.75" customHeight="1">
      <c r="B641" s="532"/>
      <c r="C641" s="922"/>
      <c r="D641" s="654"/>
      <c r="E641" s="2559"/>
      <c r="F641" s="2559"/>
      <c r="G641" s="2559"/>
      <c r="H641" s="2559"/>
      <c r="I641" s="2559"/>
      <c r="J641" s="2559"/>
      <c r="K641" s="2559"/>
      <c r="L641" s="2559"/>
      <c r="M641" s="2559"/>
      <c r="N641" s="2559"/>
      <c r="O641" s="2559"/>
      <c r="P641" s="2559"/>
      <c r="Q641" s="2559"/>
      <c r="R641" s="2559"/>
      <c r="S641" s="2559"/>
      <c r="T641" s="2559"/>
      <c r="U641" s="2559"/>
      <c r="V641" s="2559"/>
      <c r="W641" s="2559"/>
      <c r="X641" s="2559"/>
      <c r="Y641" s="2559"/>
      <c r="Z641" s="2559"/>
      <c r="AA641" s="2559"/>
      <c r="AB641" s="2559"/>
      <c r="AC641" s="2559"/>
      <c r="AD641" s="2559"/>
      <c r="AE641" s="532"/>
      <c r="AF641" s="532"/>
      <c r="AG641" s="532"/>
      <c r="AH641" s="532"/>
      <c r="AI641" s="532"/>
      <c r="AJ641" s="532"/>
      <c r="AK641" s="532"/>
      <c r="AL641" s="532"/>
      <c r="AN641" s="590"/>
    </row>
    <row r="642" spans="1:42" s="544" customFormat="1" ht="12.75" customHeight="1">
      <c r="B642" s="532"/>
      <c r="C642" s="922"/>
      <c r="D642" s="654"/>
      <c r="E642" s="2559"/>
      <c r="F642" s="2559"/>
      <c r="G642" s="2559"/>
      <c r="H642" s="2559"/>
      <c r="I642" s="2559"/>
      <c r="J642" s="2559"/>
      <c r="K642" s="2559"/>
      <c r="L642" s="2559"/>
      <c r="M642" s="2559"/>
      <c r="N642" s="2559"/>
      <c r="O642" s="2559"/>
      <c r="P642" s="2559"/>
      <c r="Q642" s="2559"/>
      <c r="R642" s="2559"/>
      <c r="S642" s="2559"/>
      <c r="T642" s="2559"/>
      <c r="U642" s="2559"/>
      <c r="V642" s="2559"/>
      <c r="W642" s="2559"/>
      <c r="X642" s="2559"/>
      <c r="Y642" s="2559"/>
      <c r="Z642" s="2559"/>
      <c r="AA642" s="2559"/>
      <c r="AB642" s="2559"/>
      <c r="AC642" s="2559"/>
      <c r="AD642" s="2559"/>
      <c r="AE642" s="532"/>
      <c r="AF642" s="532"/>
      <c r="AG642" s="532"/>
      <c r="AH642" s="532"/>
      <c r="AI642" s="532"/>
      <c r="AJ642" s="532"/>
      <c r="AK642" s="532"/>
      <c r="AL642" s="532"/>
      <c r="AN642" s="590"/>
    </row>
    <row r="643" spans="1:42" s="544" customFormat="1" ht="12.75" customHeight="1">
      <c r="B643" s="532"/>
      <c r="C643" s="922"/>
      <c r="D643" s="654"/>
      <c r="E643" s="2559"/>
      <c r="F643" s="2559"/>
      <c r="G643" s="2559"/>
      <c r="H643" s="2559"/>
      <c r="I643" s="2559"/>
      <c r="J643" s="2559"/>
      <c r="K643" s="2559"/>
      <c r="L643" s="2559"/>
      <c r="M643" s="2559"/>
      <c r="N643" s="2559"/>
      <c r="O643" s="2559"/>
      <c r="P643" s="2559"/>
      <c r="Q643" s="2559"/>
      <c r="R643" s="2559"/>
      <c r="S643" s="2559"/>
      <c r="T643" s="2559"/>
      <c r="U643" s="2559"/>
      <c r="V643" s="2559"/>
      <c r="W643" s="2559"/>
      <c r="X643" s="2559"/>
      <c r="Y643" s="2559"/>
      <c r="Z643" s="2559"/>
      <c r="AA643" s="2559"/>
      <c r="AB643" s="2559"/>
      <c r="AC643" s="2559"/>
      <c r="AD643" s="2559"/>
      <c r="AE643" s="532"/>
      <c r="AF643" s="532"/>
      <c r="AG643" s="532"/>
      <c r="AH643" s="532"/>
      <c r="AI643" s="532"/>
      <c r="AJ643" s="532"/>
      <c r="AK643" s="532"/>
      <c r="AL643" s="532"/>
      <c r="AN643" s="590"/>
    </row>
    <row r="644" spans="1:42" s="544" customFormat="1" ht="12.75" customHeight="1">
      <c r="A644" s="630"/>
      <c r="B644" s="609"/>
      <c r="C644" s="931"/>
      <c r="D644" s="654"/>
      <c r="E644" s="2559"/>
      <c r="F644" s="2559"/>
      <c r="G644" s="2559"/>
      <c r="H644" s="2559"/>
      <c r="I644" s="2559"/>
      <c r="J644" s="2559"/>
      <c r="K644" s="2559"/>
      <c r="L644" s="2559"/>
      <c r="M644" s="2559"/>
      <c r="N644" s="2559"/>
      <c r="O644" s="2559"/>
      <c r="P644" s="2559"/>
      <c r="Q644" s="2559"/>
      <c r="R644" s="2559"/>
      <c r="S644" s="2559"/>
      <c r="T644" s="2559"/>
      <c r="U644" s="2559"/>
      <c r="V644" s="2559"/>
      <c r="W644" s="2559"/>
      <c r="X644" s="2559"/>
      <c r="Y644" s="2559"/>
      <c r="Z644" s="2559"/>
      <c r="AA644" s="2559"/>
      <c r="AB644" s="2559"/>
      <c r="AC644" s="2559"/>
      <c r="AD644" s="2559"/>
      <c r="AE644" s="609"/>
      <c r="AF644" s="609"/>
      <c r="AG644" s="609"/>
      <c r="AH644" s="609"/>
      <c r="AI644" s="609"/>
      <c r="AJ644" s="609"/>
      <c r="AK644" s="532"/>
      <c r="AL644" s="532"/>
      <c r="AN644" s="590"/>
    </row>
    <row r="645" spans="1:42" s="544" customFormat="1" ht="12.75" customHeight="1">
      <c r="B645" s="609"/>
      <c r="C645" s="931"/>
      <c r="D645" s="654"/>
      <c r="E645" s="2559"/>
      <c r="F645" s="2559"/>
      <c r="G645" s="2559"/>
      <c r="H645" s="2559"/>
      <c r="I645" s="2559"/>
      <c r="J645" s="2559"/>
      <c r="K645" s="2559"/>
      <c r="L645" s="2559"/>
      <c r="M645" s="2559"/>
      <c r="N645" s="2559"/>
      <c r="O645" s="2559"/>
      <c r="P645" s="2559"/>
      <c r="Q645" s="2559"/>
      <c r="R645" s="2559"/>
      <c r="S645" s="2559"/>
      <c r="T645" s="2559"/>
      <c r="U645" s="2559"/>
      <c r="V645" s="2559"/>
      <c r="W645" s="2559"/>
      <c r="X645" s="2559"/>
      <c r="Y645" s="2559"/>
      <c r="Z645" s="2559"/>
      <c r="AA645" s="2559"/>
      <c r="AB645" s="2559"/>
      <c r="AC645" s="2559"/>
      <c r="AD645" s="2559"/>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589</v>
      </c>
      <c r="AP646" s="664">
        <v>0</v>
      </c>
    </row>
    <row r="647" spans="1:42" s="544" customFormat="1" ht="12.75" customHeight="1">
      <c r="B647" s="609"/>
      <c r="C647" s="922"/>
      <c r="D647" s="654"/>
      <c r="E647" s="609" t="s">
        <v>1395</v>
      </c>
      <c r="F647" s="932"/>
      <c r="G647" s="932"/>
      <c r="H647" s="932"/>
      <c r="I647" s="932"/>
      <c r="J647" s="932"/>
      <c r="K647" s="932"/>
      <c r="L647" s="932"/>
      <c r="M647" s="932"/>
      <c r="N647" s="932"/>
      <c r="O647" s="932"/>
      <c r="P647" s="932"/>
      <c r="Q647" s="932"/>
      <c r="R647" s="932"/>
      <c r="U647" s="932"/>
      <c r="V647" s="932"/>
      <c r="W647" s="932"/>
      <c r="X647" s="2492" t="s">
        <v>589</v>
      </c>
      <c r="Y647" s="2492"/>
      <c r="Z647" s="932"/>
      <c r="AA647" s="932"/>
      <c r="AB647" s="932"/>
      <c r="AC647" s="932"/>
      <c r="AD647" s="932"/>
      <c r="AE647" s="532"/>
      <c r="AF647" s="609"/>
      <c r="AG647" s="609"/>
      <c r="AH647" s="609"/>
      <c r="AI647" s="609"/>
      <c r="AJ647" s="609"/>
      <c r="AK647" s="532"/>
      <c r="AL647" s="532"/>
      <c r="AN647" s="590"/>
      <c r="AO647" s="604" t="s">
        <v>685</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507</v>
      </c>
      <c r="AP648" s="671">
        <v>4</v>
      </c>
    </row>
    <row r="649" spans="1:42" s="544" customFormat="1" ht="12.75" customHeight="1">
      <c r="B649" s="532"/>
      <c r="C649" s="922"/>
      <c r="D649" s="654" t="s">
        <v>507</v>
      </c>
      <c r="E649" s="548" t="s">
        <v>1396</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80" t="s">
        <v>1397</v>
      </c>
      <c r="AG649" s="2480"/>
      <c r="AH649" s="2480"/>
      <c r="AI649" s="2480"/>
      <c r="AJ649" s="2480"/>
      <c r="AK649" s="2480"/>
      <c r="AL649" s="2480"/>
      <c r="AN649" s="590"/>
      <c r="AO649" s="604" t="s">
        <v>277</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1386</v>
      </c>
      <c r="AP650" s="671">
        <v>4</v>
      </c>
    </row>
    <row r="651" spans="1:42" s="544" customFormat="1" ht="12.75" customHeight="1">
      <c r="B651" s="532"/>
      <c r="C651" s="922"/>
      <c r="D651" s="532" t="s">
        <v>1389</v>
      </c>
      <c r="E651" s="927"/>
      <c r="F651" s="927"/>
      <c r="G651" s="927"/>
      <c r="H651" s="2560" t="s">
        <v>507</v>
      </c>
      <c r="I651" s="2560"/>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1387</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1398</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1399</v>
      </c>
      <c r="AJ653" s="2505">
        <f>VLOOKUP($H$651,$AO$618:$AP$620,2,FALSE)</f>
        <v>2</v>
      </c>
      <c r="AK653" s="2507"/>
      <c r="AL653" s="588"/>
      <c r="AN653" s="590"/>
      <c r="AO653" s="604" t="s">
        <v>1400</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1401</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685</v>
      </c>
      <c r="E657" s="2497" t="s">
        <v>2045</v>
      </c>
      <c r="F657" s="2497"/>
      <c r="G657" s="2497"/>
      <c r="H657" s="2497"/>
      <c r="I657" s="2497"/>
      <c r="J657" s="2497"/>
      <c r="K657" s="2497"/>
      <c r="L657" s="2497"/>
      <c r="M657" s="2497"/>
      <c r="N657" s="2497"/>
      <c r="O657" s="2497"/>
      <c r="P657" s="2497"/>
      <c r="Q657" s="2497"/>
      <c r="R657" s="2497"/>
      <c r="S657" s="2497"/>
      <c r="T657" s="2497"/>
      <c r="U657" s="2497"/>
      <c r="V657" s="2497"/>
      <c r="W657" s="2497"/>
      <c r="X657" s="2497"/>
      <c r="Y657" s="2497"/>
      <c r="Z657" s="2497"/>
      <c r="AA657" s="2497"/>
      <c r="AB657" s="2497"/>
      <c r="AC657" s="2497"/>
      <c r="AD657" s="2497"/>
      <c r="AE657" s="532"/>
      <c r="AF657" s="2480" t="s">
        <v>1343</v>
      </c>
      <c r="AG657" s="2480"/>
      <c r="AH657" s="2480"/>
      <c r="AI657" s="2480"/>
      <c r="AJ657" s="2480"/>
      <c r="AK657" s="2480"/>
      <c r="AL657" s="2480"/>
      <c r="AN657" s="590"/>
    </row>
    <row r="658" spans="1:42" s="544" customFormat="1" ht="12.75" customHeight="1">
      <c r="B658" s="532"/>
      <c r="C658" s="532"/>
      <c r="D658" s="654"/>
      <c r="E658" s="2497"/>
      <c r="F658" s="2497"/>
      <c r="G658" s="2497"/>
      <c r="H658" s="2497"/>
      <c r="I658" s="2497"/>
      <c r="J658" s="2497"/>
      <c r="K658" s="2497"/>
      <c r="L658" s="2497"/>
      <c r="M658" s="2497"/>
      <c r="N658" s="2497"/>
      <c r="O658" s="2497"/>
      <c r="P658" s="2497"/>
      <c r="Q658" s="2497"/>
      <c r="R658" s="2497"/>
      <c r="S658" s="2497"/>
      <c r="T658" s="2497"/>
      <c r="U658" s="2497"/>
      <c r="V658" s="2497"/>
      <c r="W658" s="2497"/>
      <c r="X658" s="2497"/>
      <c r="Y658" s="2497"/>
      <c r="Z658" s="2497"/>
      <c r="AA658" s="2497"/>
      <c r="AB658" s="2497"/>
      <c r="AC658" s="2497"/>
      <c r="AD658" s="2497"/>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507</v>
      </c>
      <c r="E660" s="609" t="s">
        <v>1402</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80" t="s">
        <v>1397</v>
      </c>
      <c r="AG660" s="2480"/>
      <c r="AH660" s="2480"/>
      <c r="AI660" s="2480"/>
      <c r="AJ660" s="2480"/>
      <c r="AK660" s="2480"/>
      <c r="AL660" s="2480"/>
      <c r="AN660" s="590"/>
    </row>
    <row r="661" spans="1:42" s="544" customFormat="1" ht="12.75" customHeight="1">
      <c r="B661" s="532"/>
      <c r="C661" s="922"/>
      <c r="D661" s="654"/>
      <c r="E661" s="609" t="s">
        <v>1403</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1389</v>
      </c>
      <c r="E663" s="927"/>
      <c r="F663" s="927"/>
      <c r="G663" s="927"/>
      <c r="H663" s="2560" t="s">
        <v>685</v>
      </c>
      <c r="I663" s="2560"/>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1404</v>
      </c>
      <c r="AJ665" s="2505">
        <f>VLOOKUP(H663,AT618:AU620,2,FALSE)</f>
        <v>3</v>
      </c>
      <c r="AK665" s="2507"/>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1405</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1406</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685</v>
      </c>
      <c r="E670" s="2497" t="s">
        <v>1407</v>
      </c>
      <c r="F670" s="2497"/>
      <c r="G670" s="2497"/>
      <c r="H670" s="2497"/>
      <c r="I670" s="2497"/>
      <c r="J670" s="2497"/>
      <c r="K670" s="2497"/>
      <c r="L670" s="2497"/>
      <c r="M670" s="2497"/>
      <c r="N670" s="2497"/>
      <c r="O670" s="2497"/>
      <c r="P670" s="2497"/>
      <c r="Q670" s="2497"/>
      <c r="R670" s="2497"/>
      <c r="S670" s="2497"/>
      <c r="T670" s="2497"/>
      <c r="U670" s="2497"/>
      <c r="V670" s="2497"/>
      <c r="W670" s="2497"/>
      <c r="X670" s="2497"/>
      <c r="Y670" s="2497"/>
      <c r="Z670" s="2497"/>
      <c r="AA670" s="2497"/>
      <c r="AB670" s="2497"/>
      <c r="AC670" s="2497"/>
      <c r="AD670" s="532"/>
      <c r="AE670" s="532"/>
      <c r="AF670" s="2480" t="s">
        <v>1368</v>
      </c>
      <c r="AG670" s="2480"/>
      <c r="AH670" s="2480"/>
      <c r="AI670" s="2480"/>
      <c r="AJ670" s="2480"/>
      <c r="AK670" s="2480"/>
      <c r="AL670" s="2480"/>
      <c r="AN670" s="590"/>
    </row>
    <row r="671" spans="1:42" s="544" customFormat="1" ht="12.75" customHeight="1">
      <c r="B671" s="532"/>
      <c r="C671" s="535"/>
      <c r="D671" s="532"/>
      <c r="E671" s="2497"/>
      <c r="F671" s="2497"/>
      <c r="G671" s="2497"/>
      <c r="H671" s="2497"/>
      <c r="I671" s="2497"/>
      <c r="J671" s="2497"/>
      <c r="K671" s="2497"/>
      <c r="L671" s="2497"/>
      <c r="M671" s="2497"/>
      <c r="N671" s="2497"/>
      <c r="O671" s="2497"/>
      <c r="P671" s="2497"/>
      <c r="Q671" s="2497"/>
      <c r="R671" s="2497"/>
      <c r="S671" s="2497"/>
      <c r="T671" s="2497"/>
      <c r="U671" s="2497"/>
      <c r="V671" s="2497"/>
      <c r="W671" s="2497"/>
      <c r="X671" s="2497"/>
      <c r="Y671" s="2497"/>
      <c r="Z671" s="2497"/>
      <c r="AA671" s="2497"/>
      <c r="AB671" s="2497"/>
      <c r="AC671" s="2497"/>
      <c r="AD671" s="532"/>
      <c r="AE671" s="532"/>
      <c r="AF671" s="532"/>
      <c r="AG671" s="532"/>
      <c r="AH671" s="532"/>
      <c r="AI671" s="532"/>
      <c r="AJ671" s="532"/>
      <c r="AK671" s="532"/>
      <c r="AL671" s="532"/>
      <c r="AN671" s="590"/>
    </row>
    <row r="672" spans="1:42" s="544" customFormat="1" ht="12.75" customHeight="1">
      <c r="B672" s="532"/>
      <c r="C672" s="535"/>
      <c r="D672" s="654"/>
      <c r="E672" s="2497"/>
      <c r="F672" s="2497"/>
      <c r="G672" s="2497"/>
      <c r="H672" s="2497"/>
      <c r="I672" s="2497"/>
      <c r="J672" s="2497"/>
      <c r="K672" s="2497"/>
      <c r="L672" s="2497"/>
      <c r="M672" s="2497"/>
      <c r="N672" s="2497"/>
      <c r="O672" s="2497"/>
      <c r="P672" s="2497"/>
      <c r="Q672" s="2497"/>
      <c r="R672" s="2497"/>
      <c r="S672" s="2497"/>
      <c r="T672" s="2497"/>
      <c r="U672" s="2497"/>
      <c r="V672" s="2497"/>
      <c r="W672" s="2497"/>
      <c r="X672" s="2497"/>
      <c r="Y672" s="2497"/>
      <c r="Z672" s="2497"/>
      <c r="AA672" s="2497"/>
      <c r="AB672" s="2497"/>
      <c r="AC672" s="2497"/>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507</v>
      </c>
      <c r="E674" s="2497" t="s">
        <v>1408</v>
      </c>
      <c r="F674" s="2497"/>
      <c r="G674" s="2497"/>
      <c r="H674" s="2497"/>
      <c r="I674" s="2497"/>
      <c r="J674" s="2497"/>
      <c r="K674" s="2497"/>
      <c r="L674" s="2497"/>
      <c r="M674" s="2497"/>
      <c r="N674" s="2497"/>
      <c r="O674" s="2497"/>
      <c r="P674" s="2497"/>
      <c r="Q674" s="2497"/>
      <c r="R674" s="2497"/>
      <c r="S674" s="2497"/>
      <c r="T674" s="2497"/>
      <c r="U674" s="2497"/>
      <c r="V674" s="2497"/>
      <c r="W674" s="2497"/>
      <c r="X674" s="2497"/>
      <c r="Y674" s="2497"/>
      <c r="Z674" s="2497"/>
      <c r="AA674" s="2497"/>
      <c r="AB674" s="2497"/>
      <c r="AC674" s="2497"/>
      <c r="AD674" s="532"/>
      <c r="AE674" s="532"/>
      <c r="AF674" s="2480" t="s">
        <v>1388</v>
      </c>
      <c r="AG674" s="2480"/>
      <c r="AH674" s="2480"/>
      <c r="AI674" s="2480"/>
      <c r="AJ674" s="2480"/>
      <c r="AK674" s="2480"/>
      <c r="AL674" s="2480"/>
      <c r="AN674" s="590"/>
    </row>
    <row r="675" spans="1:42" s="544" customFormat="1" ht="12.75" customHeight="1">
      <c r="B675" s="532"/>
      <c r="C675" s="535"/>
      <c r="D675" s="532"/>
      <c r="E675" s="2497"/>
      <c r="F675" s="2497"/>
      <c r="G675" s="2497"/>
      <c r="H675" s="2497"/>
      <c r="I675" s="2497"/>
      <c r="J675" s="2497"/>
      <c r="K675" s="2497"/>
      <c r="L675" s="2497"/>
      <c r="M675" s="2497"/>
      <c r="N675" s="2497"/>
      <c r="O675" s="2497"/>
      <c r="P675" s="2497"/>
      <c r="Q675" s="2497"/>
      <c r="R675" s="2497"/>
      <c r="S675" s="2497"/>
      <c r="T675" s="2497"/>
      <c r="U675" s="2497"/>
      <c r="V675" s="2497"/>
      <c r="W675" s="2497"/>
      <c r="X675" s="2497"/>
      <c r="Y675" s="2497"/>
      <c r="Z675" s="2497"/>
      <c r="AA675" s="2497"/>
      <c r="AB675" s="2497"/>
      <c r="AC675" s="2497"/>
      <c r="AD675" s="532"/>
      <c r="AE675" s="532"/>
      <c r="AF675" s="532"/>
      <c r="AG675" s="532"/>
      <c r="AH675" s="532"/>
      <c r="AI675" s="532"/>
      <c r="AJ675" s="532"/>
      <c r="AK675" s="532"/>
      <c r="AL675" s="532"/>
      <c r="AN675" s="590"/>
    </row>
    <row r="676" spans="1:42" s="544" customFormat="1" ht="15" customHeight="1">
      <c r="B676" s="532"/>
      <c r="C676" s="535"/>
      <c r="D676" s="654"/>
      <c r="E676" s="2497"/>
      <c r="F676" s="2497"/>
      <c r="G676" s="2497"/>
      <c r="H676" s="2497"/>
      <c r="I676" s="2497"/>
      <c r="J676" s="2497"/>
      <c r="K676" s="2497"/>
      <c r="L676" s="2497"/>
      <c r="M676" s="2497"/>
      <c r="N676" s="2497"/>
      <c r="O676" s="2497"/>
      <c r="P676" s="2497"/>
      <c r="Q676" s="2497"/>
      <c r="R676" s="2497"/>
      <c r="S676" s="2497"/>
      <c r="T676" s="2497"/>
      <c r="U676" s="2497"/>
      <c r="V676" s="2497"/>
      <c r="W676" s="2497"/>
      <c r="X676" s="2497"/>
      <c r="Y676" s="2497"/>
      <c r="Z676" s="2497"/>
      <c r="AA676" s="2497"/>
      <c r="AB676" s="2497"/>
      <c r="AC676" s="2497"/>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277</v>
      </c>
      <c r="E678" s="2497" t="s">
        <v>1409</v>
      </c>
      <c r="F678" s="2497"/>
      <c r="G678" s="2497"/>
      <c r="H678" s="2497"/>
      <c r="I678" s="2497"/>
      <c r="J678" s="2497"/>
      <c r="K678" s="2497"/>
      <c r="L678" s="2497"/>
      <c r="M678" s="2497"/>
      <c r="N678" s="2497"/>
      <c r="O678" s="2497"/>
      <c r="P678" s="2497"/>
      <c r="Q678" s="2497"/>
      <c r="R678" s="2497"/>
      <c r="S678" s="2497"/>
      <c r="T678" s="2497"/>
      <c r="U678" s="2497"/>
      <c r="V678" s="2497"/>
      <c r="W678" s="2497"/>
      <c r="X678" s="2497"/>
      <c r="Y678" s="2497"/>
      <c r="Z678" s="2497"/>
      <c r="AA678" s="2497"/>
      <c r="AB678" s="2497"/>
      <c r="AC678" s="2497"/>
      <c r="AD678" s="532"/>
      <c r="AE678" s="532"/>
      <c r="AF678" s="2480" t="s">
        <v>1343</v>
      </c>
      <c r="AG678" s="2480"/>
      <c r="AH678" s="2480"/>
      <c r="AI678" s="2480"/>
      <c r="AJ678" s="2480"/>
      <c r="AK678" s="2480"/>
      <c r="AL678" s="2480"/>
      <c r="AN678" s="590"/>
    </row>
    <row r="679" spans="1:42" s="544" customFormat="1" ht="12.75" customHeight="1">
      <c r="B679" s="532"/>
      <c r="C679" s="922"/>
      <c r="D679" s="532"/>
      <c r="E679" s="2497"/>
      <c r="F679" s="2497"/>
      <c r="G679" s="2497"/>
      <c r="H679" s="2497"/>
      <c r="I679" s="2497"/>
      <c r="J679" s="2497"/>
      <c r="K679" s="2497"/>
      <c r="L679" s="2497"/>
      <c r="M679" s="2497"/>
      <c r="N679" s="2497"/>
      <c r="O679" s="2497"/>
      <c r="P679" s="2497"/>
      <c r="Q679" s="2497"/>
      <c r="R679" s="2497"/>
      <c r="S679" s="2497"/>
      <c r="T679" s="2497"/>
      <c r="U679" s="2497"/>
      <c r="V679" s="2497"/>
      <c r="W679" s="2497"/>
      <c r="X679" s="2497"/>
      <c r="Y679" s="2497"/>
      <c r="Z679" s="2497"/>
      <c r="AA679" s="2497"/>
      <c r="AB679" s="2497"/>
      <c r="AC679" s="2497"/>
      <c r="AD679" s="532"/>
      <c r="AE679" s="2480"/>
      <c r="AF679" s="2480"/>
      <c r="AG679" s="2480"/>
      <c r="AH679" s="2480"/>
      <c r="AI679" s="2480"/>
      <c r="AJ679" s="2480"/>
      <c r="AK679" s="2480"/>
      <c r="AL679" s="587"/>
      <c r="AN679" s="590"/>
      <c r="AO679" s="544" t="s">
        <v>589</v>
      </c>
      <c r="AP679" s="664">
        <v>0</v>
      </c>
    </row>
    <row r="680" spans="1:42" s="544" customFormat="1" ht="12.75" customHeight="1">
      <c r="A680" s="670"/>
      <c r="B680" s="532"/>
      <c r="C680" s="532"/>
      <c r="D680" s="654"/>
      <c r="E680" s="2497"/>
      <c r="F680" s="2497"/>
      <c r="G680" s="2497"/>
      <c r="H680" s="2497"/>
      <c r="I680" s="2497"/>
      <c r="J680" s="2497"/>
      <c r="K680" s="2497"/>
      <c r="L680" s="2497"/>
      <c r="M680" s="2497"/>
      <c r="N680" s="2497"/>
      <c r="O680" s="2497"/>
      <c r="P680" s="2497"/>
      <c r="Q680" s="2497"/>
      <c r="R680" s="2497"/>
      <c r="S680" s="2497"/>
      <c r="T680" s="2497"/>
      <c r="U680" s="2497"/>
      <c r="V680" s="2497"/>
      <c r="W680" s="2497"/>
      <c r="X680" s="2497"/>
      <c r="Y680" s="2497"/>
      <c r="Z680" s="2497"/>
      <c r="AA680" s="2497"/>
      <c r="AB680" s="2497"/>
      <c r="AC680" s="2497"/>
      <c r="AD680" s="532"/>
      <c r="AE680" s="532"/>
      <c r="AF680" s="532"/>
      <c r="AG680" s="532"/>
      <c r="AH680" s="532"/>
      <c r="AI680" s="532"/>
      <c r="AJ680" s="532"/>
      <c r="AK680" s="532"/>
      <c r="AL680" s="532"/>
      <c r="AN680" s="590"/>
      <c r="AO680" s="604" t="s">
        <v>685</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507</v>
      </c>
      <c r="AP681" s="544">
        <v>2</v>
      </c>
    </row>
    <row r="682" spans="1:42" s="544" customFormat="1" ht="12.75" customHeight="1">
      <c r="A682" s="661"/>
      <c r="B682" s="532"/>
      <c r="C682" s="938"/>
      <c r="D682" s="654" t="s">
        <v>1386</v>
      </c>
      <c r="E682" s="2497" t="s">
        <v>1410</v>
      </c>
      <c r="F682" s="2497"/>
      <c r="G682" s="2497"/>
      <c r="H682" s="2497"/>
      <c r="I682" s="2497"/>
      <c r="J682" s="2497"/>
      <c r="K682" s="2497"/>
      <c r="L682" s="2497"/>
      <c r="M682" s="2497"/>
      <c r="N682" s="2497"/>
      <c r="O682" s="2497"/>
      <c r="P682" s="2497"/>
      <c r="Q682" s="2497"/>
      <c r="R682" s="2497"/>
      <c r="S682" s="2497"/>
      <c r="T682" s="2497"/>
      <c r="U682" s="2497"/>
      <c r="V682" s="2497"/>
      <c r="W682" s="2497"/>
      <c r="X682" s="2497"/>
      <c r="Y682" s="2497"/>
      <c r="Z682" s="2497"/>
      <c r="AA682" s="2497"/>
      <c r="AB682" s="2497"/>
      <c r="AC682" s="2497"/>
      <c r="AD682" s="532"/>
      <c r="AE682" s="532"/>
      <c r="AF682" s="2480" t="s">
        <v>1388</v>
      </c>
      <c r="AG682" s="2480"/>
      <c r="AH682" s="2480"/>
      <c r="AI682" s="2480"/>
      <c r="AJ682" s="2480"/>
      <c r="AK682" s="2480"/>
      <c r="AL682" s="2480"/>
      <c r="AN682" s="590"/>
    </row>
    <row r="683" spans="1:42" s="544" customFormat="1" ht="12.75" customHeight="1">
      <c r="A683" s="661"/>
      <c r="B683" s="532"/>
      <c r="C683" s="938"/>
      <c r="D683" s="654"/>
      <c r="E683" s="2497"/>
      <c r="F683" s="2497"/>
      <c r="G683" s="2497"/>
      <c r="H683" s="2497"/>
      <c r="I683" s="2497"/>
      <c r="J683" s="2497"/>
      <c r="K683" s="2497"/>
      <c r="L683" s="2497"/>
      <c r="M683" s="2497"/>
      <c r="N683" s="2497"/>
      <c r="O683" s="2497"/>
      <c r="P683" s="2497"/>
      <c r="Q683" s="2497"/>
      <c r="R683" s="2497"/>
      <c r="S683" s="2497"/>
      <c r="T683" s="2497"/>
      <c r="U683" s="2497"/>
      <c r="V683" s="2497"/>
      <c r="W683" s="2497"/>
      <c r="X683" s="2497"/>
      <c r="Y683" s="2497"/>
      <c r="Z683" s="2497"/>
      <c r="AA683" s="2497"/>
      <c r="AB683" s="2497"/>
      <c r="AC683" s="2497"/>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97"/>
      <c r="F684" s="2497"/>
      <c r="G684" s="2497"/>
      <c r="H684" s="2497"/>
      <c r="I684" s="2497"/>
      <c r="J684" s="2497"/>
      <c r="K684" s="2497"/>
      <c r="L684" s="2497"/>
      <c r="M684" s="2497"/>
      <c r="N684" s="2497"/>
      <c r="O684" s="2497"/>
      <c r="P684" s="2497"/>
      <c r="Q684" s="2497"/>
      <c r="R684" s="2497"/>
      <c r="S684" s="2497"/>
      <c r="T684" s="2497"/>
      <c r="U684" s="2497"/>
      <c r="V684" s="2497"/>
      <c r="W684" s="2497"/>
      <c r="X684" s="2497"/>
      <c r="Y684" s="2497"/>
      <c r="Z684" s="2497"/>
      <c r="AA684" s="2497"/>
      <c r="AB684" s="2497"/>
      <c r="AC684" s="2497"/>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1387</v>
      </c>
      <c r="E686" s="2497" t="s">
        <v>1411</v>
      </c>
      <c r="F686" s="2497"/>
      <c r="G686" s="2497"/>
      <c r="H686" s="2497"/>
      <c r="I686" s="2497"/>
      <c r="J686" s="2497"/>
      <c r="K686" s="2497"/>
      <c r="L686" s="2497"/>
      <c r="M686" s="2497"/>
      <c r="N686" s="2497"/>
      <c r="O686" s="2497"/>
      <c r="P686" s="2497"/>
      <c r="Q686" s="2497"/>
      <c r="R686" s="2497"/>
      <c r="S686" s="2497"/>
      <c r="T686" s="2497"/>
      <c r="U686" s="2497"/>
      <c r="V686" s="2497"/>
      <c r="W686" s="2497"/>
      <c r="X686" s="2497"/>
      <c r="Y686" s="2497"/>
      <c r="Z686" s="2497"/>
      <c r="AA686" s="2497"/>
      <c r="AB686" s="2497"/>
      <c r="AC686" s="2497"/>
      <c r="AD686" s="532"/>
      <c r="AE686" s="532"/>
      <c r="AF686" s="2480" t="s">
        <v>1343</v>
      </c>
      <c r="AG686" s="2480"/>
      <c r="AH686" s="2480"/>
      <c r="AI686" s="2480"/>
      <c r="AJ686" s="2480"/>
      <c r="AK686" s="2480"/>
      <c r="AL686" s="2480"/>
      <c r="AM686" s="589"/>
      <c r="AN686" s="590"/>
    </row>
    <row r="687" spans="1:42" s="544" customFormat="1" ht="12.75" customHeight="1">
      <c r="B687" s="532"/>
      <c r="C687" s="922"/>
      <c r="D687" s="654"/>
      <c r="E687" s="2497"/>
      <c r="F687" s="2497"/>
      <c r="G687" s="2497"/>
      <c r="H687" s="2497"/>
      <c r="I687" s="2497"/>
      <c r="J687" s="2497"/>
      <c r="K687" s="2497"/>
      <c r="L687" s="2497"/>
      <c r="M687" s="2497"/>
      <c r="N687" s="2497"/>
      <c r="O687" s="2497"/>
      <c r="P687" s="2497"/>
      <c r="Q687" s="2497"/>
      <c r="R687" s="2497"/>
      <c r="S687" s="2497"/>
      <c r="T687" s="2497"/>
      <c r="U687" s="2497"/>
      <c r="V687" s="2497"/>
      <c r="W687" s="2497"/>
      <c r="X687" s="2497"/>
      <c r="Y687" s="2497"/>
      <c r="Z687" s="2497"/>
      <c r="AA687" s="2497"/>
      <c r="AB687" s="2497"/>
      <c r="AC687" s="2497"/>
      <c r="AD687" s="532"/>
      <c r="AE687" s="532"/>
      <c r="AF687" s="532"/>
      <c r="AG687" s="532"/>
      <c r="AH687" s="532"/>
      <c r="AI687" s="532"/>
      <c r="AJ687" s="532"/>
      <c r="AK687" s="532"/>
      <c r="AL687" s="532"/>
      <c r="AM687" s="589"/>
      <c r="AN687" s="590"/>
    </row>
    <row r="688" spans="1:42" s="544" customFormat="1" ht="12.75" customHeight="1">
      <c r="B688" s="532"/>
      <c r="C688" s="922"/>
      <c r="D688" s="654"/>
      <c r="E688" s="2497"/>
      <c r="F688" s="2497"/>
      <c r="G688" s="2497"/>
      <c r="H688" s="2497"/>
      <c r="I688" s="2497"/>
      <c r="J688" s="2497"/>
      <c r="K688" s="2497"/>
      <c r="L688" s="2497"/>
      <c r="M688" s="2497"/>
      <c r="N688" s="2497"/>
      <c r="O688" s="2497"/>
      <c r="P688" s="2497"/>
      <c r="Q688" s="2497"/>
      <c r="R688" s="2497"/>
      <c r="S688" s="2497"/>
      <c r="T688" s="2497"/>
      <c r="U688" s="2497"/>
      <c r="V688" s="2497"/>
      <c r="W688" s="2497"/>
      <c r="X688" s="2497"/>
      <c r="Y688" s="2497"/>
      <c r="Z688" s="2497"/>
      <c r="AA688" s="2497"/>
      <c r="AB688" s="2497"/>
      <c r="AC688" s="2497"/>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1398</v>
      </c>
      <c r="E690" s="2497" t="s">
        <v>1412</v>
      </c>
      <c r="F690" s="2497"/>
      <c r="G690" s="2497"/>
      <c r="H690" s="2497"/>
      <c r="I690" s="2497"/>
      <c r="J690" s="2497"/>
      <c r="K690" s="2497"/>
      <c r="L690" s="2497"/>
      <c r="M690" s="2497"/>
      <c r="N690" s="2497"/>
      <c r="O690" s="2497"/>
      <c r="P690" s="2497"/>
      <c r="Q690" s="2497"/>
      <c r="R690" s="2497"/>
      <c r="S690" s="2497"/>
      <c r="T690" s="2497"/>
      <c r="U690" s="2497"/>
      <c r="V690" s="2497"/>
      <c r="W690" s="2497"/>
      <c r="X690" s="2497"/>
      <c r="Y690" s="2497"/>
      <c r="Z690" s="2497"/>
      <c r="AA690" s="2497"/>
      <c r="AB690" s="2497"/>
      <c r="AC690" s="2497"/>
      <c r="AD690" s="532"/>
      <c r="AE690" s="532"/>
      <c r="AF690" s="2480" t="s">
        <v>1397</v>
      </c>
      <c r="AG690" s="2480"/>
      <c r="AH690" s="2480"/>
      <c r="AI690" s="2480"/>
      <c r="AJ690" s="2480"/>
      <c r="AK690" s="2480"/>
      <c r="AL690" s="2480"/>
      <c r="AM690" s="589"/>
      <c r="AN690" s="590"/>
    </row>
    <row r="691" spans="1:50" s="544" customFormat="1" ht="12.75" customHeight="1">
      <c r="A691" s="670"/>
      <c r="B691" s="532"/>
      <c r="C691" s="922"/>
      <c r="D691" s="654"/>
      <c r="E691" s="2497"/>
      <c r="F691" s="2497"/>
      <c r="G691" s="2497"/>
      <c r="H691" s="2497"/>
      <c r="I691" s="2497"/>
      <c r="J691" s="2497"/>
      <c r="K691" s="2497"/>
      <c r="L691" s="2497"/>
      <c r="M691" s="2497"/>
      <c r="N691" s="2497"/>
      <c r="O691" s="2497"/>
      <c r="P691" s="2497"/>
      <c r="Q691" s="2497"/>
      <c r="R691" s="2497"/>
      <c r="S691" s="2497"/>
      <c r="T691" s="2497"/>
      <c r="U691" s="2497"/>
      <c r="V691" s="2497"/>
      <c r="W691" s="2497"/>
      <c r="X691" s="2497"/>
      <c r="Y691" s="2497"/>
      <c r="Z691" s="2497"/>
      <c r="AA691" s="2497"/>
      <c r="AB691" s="2497"/>
      <c r="AC691" s="2497"/>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97"/>
      <c r="F692" s="2497"/>
      <c r="G692" s="2497"/>
      <c r="H692" s="2497"/>
      <c r="I692" s="2497"/>
      <c r="J692" s="2497"/>
      <c r="K692" s="2497"/>
      <c r="L692" s="2497"/>
      <c r="M692" s="2497"/>
      <c r="N692" s="2497"/>
      <c r="O692" s="2497"/>
      <c r="P692" s="2497"/>
      <c r="Q692" s="2497"/>
      <c r="R692" s="2497"/>
      <c r="S692" s="2497"/>
      <c r="T692" s="2497"/>
      <c r="U692" s="2497"/>
      <c r="V692" s="2497"/>
      <c r="W692" s="2497"/>
      <c r="X692" s="2497"/>
      <c r="Y692" s="2497"/>
      <c r="Z692" s="2497"/>
      <c r="AA692" s="2497"/>
      <c r="AB692" s="2497"/>
      <c r="AC692" s="2497"/>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589</v>
      </c>
      <c r="AP693" s="630">
        <v>0</v>
      </c>
    </row>
    <row r="694" spans="1:50" s="544" customFormat="1" ht="12.75" customHeight="1">
      <c r="A694" s="670"/>
      <c r="B694" s="532"/>
      <c r="C694" s="922"/>
      <c r="D694" s="654" t="s">
        <v>1400</v>
      </c>
      <c r="E694" s="2497" t="s">
        <v>1413</v>
      </c>
      <c r="F694" s="2497"/>
      <c r="G694" s="2497"/>
      <c r="H694" s="2497"/>
      <c r="I694" s="2497"/>
      <c r="J694" s="2497"/>
      <c r="K694" s="2497"/>
      <c r="L694" s="2497"/>
      <c r="M694" s="2497"/>
      <c r="N694" s="2497"/>
      <c r="O694" s="2497"/>
      <c r="P694" s="2497"/>
      <c r="Q694" s="2497"/>
      <c r="R694" s="2497"/>
      <c r="S694" s="2497"/>
      <c r="T694" s="2497"/>
      <c r="U694" s="2497"/>
      <c r="V694" s="2497"/>
      <c r="W694" s="2497"/>
      <c r="X694" s="2497"/>
      <c r="Y694" s="2497"/>
      <c r="Z694" s="2497"/>
      <c r="AA694" s="2497"/>
      <c r="AB694" s="2497"/>
      <c r="AC694" s="2497"/>
      <c r="AD694" s="532"/>
      <c r="AE694" s="532"/>
      <c r="AF694" s="2480" t="s">
        <v>1414</v>
      </c>
      <c r="AG694" s="2480"/>
      <c r="AH694" s="2480"/>
      <c r="AI694" s="2480"/>
      <c r="AJ694" s="2480"/>
      <c r="AK694" s="2480"/>
      <c r="AL694" s="2480"/>
      <c r="AM694" s="589"/>
      <c r="AN694" s="590"/>
      <c r="AO694" s="604" t="s">
        <v>685</v>
      </c>
      <c r="AP694" s="544">
        <v>3</v>
      </c>
    </row>
    <row r="695" spans="1:50" s="544" customFormat="1" ht="12.75" customHeight="1">
      <c r="A695" s="670"/>
      <c r="B695" s="532"/>
      <c r="C695" s="922"/>
      <c r="D695" s="654"/>
      <c r="E695" s="2497"/>
      <c r="F695" s="2497"/>
      <c r="G695" s="2497"/>
      <c r="H695" s="2497"/>
      <c r="I695" s="2497"/>
      <c r="J695" s="2497"/>
      <c r="K695" s="2497"/>
      <c r="L695" s="2497"/>
      <c r="M695" s="2497"/>
      <c r="N695" s="2497"/>
      <c r="O695" s="2497"/>
      <c r="P695" s="2497"/>
      <c r="Q695" s="2497"/>
      <c r="R695" s="2497"/>
      <c r="S695" s="2497"/>
      <c r="T695" s="2497"/>
      <c r="U695" s="2497"/>
      <c r="V695" s="2497"/>
      <c r="W695" s="2497"/>
      <c r="X695" s="2497"/>
      <c r="Y695" s="2497"/>
      <c r="Z695" s="2497"/>
      <c r="AA695" s="2497"/>
      <c r="AB695" s="2497"/>
      <c r="AC695" s="2497"/>
      <c r="AD695" s="532"/>
      <c r="AE695" s="532"/>
      <c r="AF695" s="587"/>
      <c r="AG695" s="587"/>
      <c r="AH695" s="587"/>
      <c r="AI695" s="587"/>
      <c r="AJ695" s="587"/>
      <c r="AK695" s="587"/>
      <c r="AL695" s="587"/>
      <c r="AM695" s="589"/>
      <c r="AN695" s="590"/>
      <c r="AO695" s="604" t="s">
        <v>507</v>
      </c>
      <c r="AP695" s="544">
        <v>2</v>
      </c>
    </row>
    <row r="696" spans="1:50" s="544" customFormat="1" ht="12.75" customHeight="1">
      <c r="A696" s="670"/>
      <c r="B696" s="532"/>
      <c r="C696" s="922"/>
      <c r="D696" s="654"/>
      <c r="E696" s="2497"/>
      <c r="F696" s="2497"/>
      <c r="G696" s="2497"/>
      <c r="H696" s="2497"/>
      <c r="I696" s="2497"/>
      <c r="J696" s="2497"/>
      <c r="K696" s="2497"/>
      <c r="L696" s="2497"/>
      <c r="M696" s="2497"/>
      <c r="N696" s="2497"/>
      <c r="O696" s="2497"/>
      <c r="P696" s="2497"/>
      <c r="Q696" s="2497"/>
      <c r="R696" s="2497"/>
      <c r="S696" s="2497"/>
      <c r="T696" s="2497"/>
      <c r="U696" s="2497"/>
      <c r="V696" s="2497"/>
      <c r="W696" s="2497"/>
      <c r="X696" s="2497"/>
      <c r="Y696" s="2497"/>
      <c r="Z696" s="2497"/>
      <c r="AA696" s="2497"/>
      <c r="AB696" s="2497"/>
      <c r="AC696" s="2497"/>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1389</v>
      </c>
      <c r="E698" s="927"/>
      <c r="F698" s="927"/>
      <c r="G698" s="927"/>
      <c r="H698" s="2560" t="s">
        <v>1387</v>
      </c>
      <c r="I698" s="2560"/>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1415</v>
      </c>
      <c r="AJ700" s="2505">
        <f>VLOOKUP($H$698,$AO$646:$AP$653,2,FALSE)</f>
        <v>3</v>
      </c>
      <c r="AK700" s="2507"/>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2083</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2129</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2130</v>
      </c>
      <c r="AX703" s="1141">
        <f>Application!G761</f>
        <v>108</v>
      </c>
    </row>
    <row r="704" spans="1:50" s="544" customFormat="1" ht="12.75" customHeight="1">
      <c r="A704" s="670"/>
      <c r="B704" s="532"/>
      <c r="C704" s="939"/>
      <c r="D704" s="654" t="s">
        <v>685</v>
      </c>
      <c r="E704" s="2567" t="s">
        <v>2136</v>
      </c>
      <c r="F704" s="2567"/>
      <c r="G704" s="2567"/>
      <c r="H704" s="2567"/>
      <c r="I704" s="2567"/>
      <c r="J704" s="2567"/>
      <c r="K704" s="2567"/>
      <c r="L704" s="2567"/>
      <c r="M704" s="2567"/>
      <c r="N704" s="2567"/>
      <c r="O704" s="2567"/>
      <c r="P704" s="2567"/>
      <c r="Q704" s="2567"/>
      <c r="R704" s="2567"/>
      <c r="S704" s="2567"/>
      <c r="T704" s="2567"/>
      <c r="U704" s="2567"/>
      <c r="V704" s="2567"/>
      <c r="W704" s="2567"/>
      <c r="X704" s="2567"/>
      <c r="Y704" s="2567"/>
      <c r="Z704" s="2567"/>
      <c r="AA704" s="2567"/>
      <c r="AB704" s="2567"/>
      <c r="AC704" s="532"/>
      <c r="AD704" s="532"/>
      <c r="AE704" s="532"/>
      <c r="AF704" s="2480" t="s">
        <v>1343</v>
      </c>
      <c r="AG704" s="2480"/>
      <c r="AH704" s="2480"/>
      <c r="AI704" s="2480"/>
      <c r="AJ704" s="2480"/>
      <c r="AK704" s="2480"/>
      <c r="AL704" s="2480"/>
      <c r="AN704" s="590"/>
      <c r="AW704" s="22" t="s">
        <v>2131</v>
      </c>
      <c r="AX704" s="544">
        <f>Application!DE761</f>
        <v>27</v>
      </c>
    </row>
    <row r="705" spans="1:53" s="544" customFormat="1" ht="12.75" customHeight="1">
      <c r="A705" s="670"/>
      <c r="B705" s="532"/>
      <c r="C705" s="939"/>
      <c r="D705" s="654"/>
      <c r="E705" s="2567"/>
      <c r="F705" s="2567"/>
      <c r="G705" s="2567"/>
      <c r="H705" s="2567"/>
      <c r="I705" s="2567"/>
      <c r="J705" s="2567"/>
      <c r="K705" s="2567"/>
      <c r="L705" s="2567"/>
      <c r="M705" s="2567"/>
      <c r="N705" s="2567"/>
      <c r="O705" s="2567"/>
      <c r="P705" s="2567"/>
      <c r="Q705" s="2567"/>
      <c r="R705" s="2567"/>
      <c r="S705" s="2567"/>
      <c r="T705" s="2567"/>
      <c r="U705" s="2567"/>
      <c r="V705" s="2567"/>
      <c r="W705" s="2567"/>
      <c r="X705" s="2567"/>
      <c r="Y705" s="2567"/>
      <c r="Z705" s="2567"/>
      <c r="AA705" s="2567"/>
      <c r="AB705" s="2567"/>
      <c r="AC705" s="532"/>
      <c r="AD705" s="532"/>
      <c r="AE705" s="532"/>
      <c r="AF705" s="532"/>
      <c r="AG705" s="532"/>
      <c r="AH705" s="532"/>
      <c r="AI705" s="532"/>
      <c r="AJ705" s="532"/>
      <c r="AK705" s="532"/>
      <c r="AL705" s="532"/>
      <c r="AN705" s="590"/>
      <c r="AW705" s="22" t="s">
        <v>2132</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2133</v>
      </c>
      <c r="AX706" s="544">
        <f>Application!DO761</f>
        <v>0</v>
      </c>
    </row>
    <row r="707" spans="1:53" s="544" customFormat="1" ht="12.75" customHeight="1">
      <c r="B707" s="532"/>
      <c r="C707" s="922"/>
      <c r="D707" s="654" t="s">
        <v>507</v>
      </c>
      <c r="E707" s="2497" t="s">
        <v>2081</v>
      </c>
      <c r="F707" s="2497"/>
      <c r="G707" s="2497"/>
      <c r="H707" s="2497"/>
      <c r="I707" s="2497"/>
      <c r="J707" s="2497"/>
      <c r="K707" s="2497"/>
      <c r="L707" s="2497"/>
      <c r="M707" s="2497"/>
      <c r="N707" s="2497"/>
      <c r="O707" s="2497"/>
      <c r="P707" s="2497"/>
      <c r="Q707" s="2497"/>
      <c r="R707" s="2497"/>
      <c r="S707" s="2497"/>
      <c r="T707" s="2497"/>
      <c r="U707" s="2497"/>
      <c r="V707" s="2497"/>
      <c r="W707" s="2497"/>
      <c r="X707" s="2497"/>
      <c r="Y707" s="2497"/>
      <c r="Z707" s="2497"/>
      <c r="AA707" s="2497"/>
      <c r="AB707" s="2497"/>
      <c r="AC707" s="532"/>
      <c r="AD707" s="532"/>
      <c r="AE707" s="532"/>
      <c r="AF707" s="2480" t="s">
        <v>1343</v>
      </c>
      <c r="AG707" s="2480"/>
      <c r="AH707" s="2480"/>
      <c r="AI707" s="2480"/>
      <c r="AJ707" s="2480"/>
      <c r="AK707" s="2480"/>
      <c r="AL707" s="2480"/>
      <c r="AN707" s="590"/>
      <c r="AW707" s="22" t="s">
        <v>2134</v>
      </c>
      <c r="AX707" s="544">
        <f>AX704+AX705+AX706</f>
        <v>27</v>
      </c>
    </row>
    <row r="708" spans="1:53" s="544" customFormat="1" ht="12.75" customHeight="1">
      <c r="B708" s="532"/>
      <c r="C708" s="931"/>
      <c r="D708" s="654"/>
      <c r="E708" s="2497"/>
      <c r="F708" s="2497"/>
      <c r="G708" s="2497"/>
      <c r="H708" s="2497"/>
      <c r="I708" s="2497"/>
      <c r="J708" s="2497"/>
      <c r="K708" s="2497"/>
      <c r="L708" s="2497"/>
      <c r="M708" s="2497"/>
      <c r="N708" s="2497"/>
      <c r="O708" s="2497"/>
      <c r="P708" s="2497"/>
      <c r="Q708" s="2497"/>
      <c r="R708" s="2497"/>
      <c r="S708" s="2497"/>
      <c r="T708" s="2497"/>
      <c r="U708" s="2497"/>
      <c r="V708" s="2497"/>
      <c r="W708" s="2497"/>
      <c r="X708" s="2497"/>
      <c r="Y708" s="2497"/>
      <c r="Z708" s="2497"/>
      <c r="AA708" s="2497"/>
      <c r="AB708" s="2497"/>
      <c r="AC708" s="532"/>
      <c r="AD708" s="532"/>
      <c r="AE708" s="609"/>
      <c r="AF708" s="532"/>
      <c r="AG708" s="532"/>
      <c r="AH708" s="532"/>
      <c r="AI708" s="532"/>
      <c r="AJ708" s="532"/>
      <c r="AK708" s="532"/>
      <c r="AL708" s="532"/>
      <c r="AN708" s="590"/>
      <c r="AO708" s="2566" t="b">
        <f>IF(Application!D211="Special Needs",IF(AY708&gt;=0.25,TRUE,FALSE),IF(AX708&gt;=0.25,TRUE,FALSE))</f>
        <v>1</v>
      </c>
      <c r="AP708" s="2566"/>
      <c r="AW708" s="22" t="s">
        <v>2135</v>
      </c>
      <c r="AX708" s="544">
        <f>IFERROR(AX707/AX703,0)</f>
        <v>0.25</v>
      </c>
      <c r="AY708" s="544">
        <f>IFERROR(AX707/(AX703-AX702),0)</f>
        <v>0.25</v>
      </c>
    </row>
    <row r="709" spans="1:53" s="544" customFormat="1" ht="12.75" customHeight="1">
      <c r="B709" s="532"/>
      <c r="C709" s="931"/>
      <c r="E709" s="2497"/>
      <c r="F709" s="2497"/>
      <c r="G709" s="2497"/>
      <c r="H709" s="2497"/>
      <c r="I709" s="2497"/>
      <c r="J709" s="2497"/>
      <c r="K709" s="2497"/>
      <c r="L709" s="2497"/>
      <c r="M709" s="2497"/>
      <c r="N709" s="2497"/>
      <c r="O709" s="2497"/>
      <c r="P709" s="2497"/>
      <c r="Q709" s="2497"/>
      <c r="R709" s="2497"/>
      <c r="S709" s="2497"/>
      <c r="T709" s="2497"/>
      <c r="U709" s="2497"/>
      <c r="V709" s="2497"/>
      <c r="W709" s="2497"/>
      <c r="X709" s="2497"/>
      <c r="Y709" s="2497"/>
      <c r="Z709" s="2497"/>
      <c r="AA709" s="2497"/>
      <c r="AB709" s="2497"/>
      <c r="AC709" s="532"/>
      <c r="AD709" s="532"/>
      <c r="AE709" s="609"/>
      <c r="AF709" s="609"/>
      <c r="AG709" s="609"/>
      <c r="AH709" s="609"/>
      <c r="AI709" s="609"/>
      <c r="AJ709" s="609"/>
      <c r="AK709" s="609"/>
      <c r="AL709" s="609"/>
      <c r="AN709" s="590"/>
      <c r="AW709" s="14"/>
    </row>
    <row r="710" spans="1:53" s="544" customFormat="1" ht="28.5" customHeight="1">
      <c r="B710" s="532"/>
      <c r="C710" s="931"/>
      <c r="D710" s="532"/>
      <c r="E710" s="2497"/>
      <c r="F710" s="2497"/>
      <c r="G710" s="2497"/>
      <c r="H710" s="2497"/>
      <c r="I710" s="2497"/>
      <c r="J710" s="2497"/>
      <c r="K710" s="2497"/>
      <c r="L710" s="2497"/>
      <c r="M710" s="2497"/>
      <c r="N710" s="2497"/>
      <c r="O710" s="2497"/>
      <c r="P710" s="2497"/>
      <c r="Q710" s="2497"/>
      <c r="R710" s="2497"/>
      <c r="S710" s="2497"/>
      <c r="T710" s="2497"/>
      <c r="U710" s="2497"/>
      <c r="V710" s="2497"/>
      <c r="W710" s="2497"/>
      <c r="X710" s="2497"/>
      <c r="Y710" s="2497"/>
      <c r="Z710" s="2497"/>
      <c r="AA710" s="2497"/>
      <c r="AB710" s="2497"/>
      <c r="AC710" s="532"/>
      <c r="AD710" s="532"/>
      <c r="AE710" s="609"/>
      <c r="AF710" s="609"/>
      <c r="AG710" s="609"/>
      <c r="AH710" s="609"/>
      <c r="AI710" s="609"/>
      <c r="AJ710" s="609"/>
      <c r="AK710" s="609"/>
      <c r="AL710" s="609"/>
      <c r="AN710" s="590"/>
      <c r="AO710" s="544" t="s">
        <v>589</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685</v>
      </c>
      <c r="AP711" s="544">
        <v>2</v>
      </c>
    </row>
    <row r="712" spans="1:53" s="544" customFormat="1" ht="12.75" customHeight="1">
      <c r="B712" s="532"/>
      <c r="C712" s="922"/>
      <c r="D712" s="654" t="s">
        <v>277</v>
      </c>
      <c r="E712" s="2497" t="s">
        <v>2082</v>
      </c>
      <c r="F712" s="2497"/>
      <c r="G712" s="2497"/>
      <c r="H712" s="2497"/>
      <c r="I712" s="2497"/>
      <c r="J712" s="2497"/>
      <c r="K712" s="2497"/>
      <c r="L712" s="2497"/>
      <c r="M712" s="2497"/>
      <c r="N712" s="2497"/>
      <c r="O712" s="2497"/>
      <c r="P712" s="2497"/>
      <c r="Q712" s="2497"/>
      <c r="R712" s="2497"/>
      <c r="S712" s="2497"/>
      <c r="T712" s="2497"/>
      <c r="U712" s="2497"/>
      <c r="V712" s="2497"/>
      <c r="W712" s="2497"/>
      <c r="X712" s="2497"/>
      <c r="Y712" s="2497"/>
      <c r="Z712" s="2497"/>
      <c r="AA712" s="2497"/>
      <c r="AB712" s="2497"/>
      <c r="AC712" s="532"/>
      <c r="AD712" s="532"/>
      <c r="AE712" s="532"/>
      <c r="AF712" s="2480" t="s">
        <v>1397</v>
      </c>
      <c r="AG712" s="2480"/>
      <c r="AH712" s="2480"/>
      <c r="AI712" s="2480"/>
      <c r="AJ712" s="2480"/>
      <c r="AK712" s="2480"/>
      <c r="AL712" s="2480"/>
      <c r="AN712" s="590"/>
      <c r="AO712" s="604" t="s">
        <v>507</v>
      </c>
      <c r="AP712" s="544">
        <v>1</v>
      </c>
    </row>
    <row r="713" spans="1:53" s="544" customFormat="1" ht="12" customHeight="1">
      <c r="B713" s="532"/>
      <c r="C713" s="922"/>
      <c r="E713" s="2497"/>
      <c r="F713" s="2497"/>
      <c r="G713" s="2497"/>
      <c r="H713" s="2497"/>
      <c r="I713" s="2497"/>
      <c r="J713" s="2497"/>
      <c r="K713" s="2497"/>
      <c r="L713" s="2497"/>
      <c r="M713" s="2497"/>
      <c r="N713" s="2497"/>
      <c r="O713" s="2497"/>
      <c r="P713" s="2497"/>
      <c r="Q713" s="2497"/>
      <c r="R713" s="2497"/>
      <c r="S713" s="2497"/>
      <c r="T713" s="2497"/>
      <c r="U713" s="2497"/>
      <c r="V713" s="2497"/>
      <c r="W713" s="2497"/>
      <c r="X713" s="2497"/>
      <c r="Y713" s="2497"/>
      <c r="Z713" s="2497"/>
      <c r="AA713" s="2497"/>
      <c r="AB713" s="2497"/>
      <c r="AC713" s="532"/>
      <c r="AD713" s="532"/>
      <c r="AE713" s="609"/>
      <c r="AF713" s="532"/>
      <c r="AG713" s="532"/>
      <c r="AH713" s="532"/>
      <c r="AI713" s="532"/>
      <c r="AJ713" s="532"/>
      <c r="AK713" s="532"/>
      <c r="AL713" s="532"/>
      <c r="AN713" s="590"/>
    </row>
    <row r="714" spans="1:53" s="544" customFormat="1" ht="12" customHeight="1">
      <c r="B714" s="532"/>
      <c r="C714" s="922"/>
      <c r="D714" s="532"/>
      <c r="E714" s="2497"/>
      <c r="F714" s="2497"/>
      <c r="G714" s="2497"/>
      <c r="H714" s="2497"/>
      <c r="I714" s="2497"/>
      <c r="J714" s="2497"/>
      <c r="K714" s="2497"/>
      <c r="L714" s="2497"/>
      <c r="M714" s="2497"/>
      <c r="N714" s="2497"/>
      <c r="O714" s="2497"/>
      <c r="P714" s="2497"/>
      <c r="Q714" s="2497"/>
      <c r="R714" s="2497"/>
      <c r="S714" s="2497"/>
      <c r="T714" s="2497"/>
      <c r="U714" s="2497"/>
      <c r="V714" s="2497"/>
      <c r="W714" s="2497"/>
      <c r="X714" s="2497"/>
      <c r="Y714" s="2497"/>
      <c r="Z714" s="2497"/>
      <c r="AA714" s="2497"/>
      <c r="AB714" s="2497"/>
      <c r="AC714" s="532"/>
      <c r="AD714" s="532"/>
      <c r="AE714" s="609"/>
      <c r="AF714" s="532"/>
      <c r="AG714" s="532"/>
      <c r="AH714" s="532"/>
      <c r="AI714" s="532"/>
      <c r="AJ714" s="532"/>
      <c r="AK714" s="532"/>
      <c r="AL714" s="532"/>
      <c r="AN714" s="590"/>
    </row>
    <row r="715" spans="1:53" s="544" customFormat="1" ht="12" customHeight="1">
      <c r="B715" s="532"/>
      <c r="C715" s="922"/>
      <c r="D715" s="532"/>
      <c r="E715" s="2497"/>
      <c r="F715" s="2497"/>
      <c r="G715" s="2497"/>
      <c r="H715" s="2497"/>
      <c r="I715" s="2497"/>
      <c r="J715" s="2497"/>
      <c r="K715" s="2497"/>
      <c r="L715" s="2497"/>
      <c r="M715" s="2497"/>
      <c r="N715" s="2497"/>
      <c r="O715" s="2497"/>
      <c r="P715" s="2497"/>
      <c r="Q715" s="2497"/>
      <c r="R715" s="2497"/>
      <c r="S715" s="2497"/>
      <c r="T715" s="2497"/>
      <c r="U715" s="2497"/>
      <c r="V715" s="2497"/>
      <c r="W715" s="2497"/>
      <c r="X715" s="2497"/>
      <c r="Y715" s="2497"/>
      <c r="Z715" s="2497"/>
      <c r="AA715" s="2497"/>
      <c r="AB715" s="2497"/>
      <c r="AC715" s="532"/>
      <c r="AD715" s="532"/>
      <c r="AE715" s="609"/>
      <c r="AF715" s="532"/>
      <c r="AG715" s="532"/>
      <c r="AH715" s="532"/>
      <c r="AI715" s="532"/>
      <c r="AJ715" s="532"/>
      <c r="AK715" s="532"/>
      <c r="AL715" s="532"/>
      <c r="AN715" s="590"/>
    </row>
    <row r="716" spans="1:53" s="563" customFormat="1" ht="12.95" customHeight="1">
      <c r="A716" s="544"/>
      <c r="B716" s="532"/>
      <c r="C716" s="922"/>
      <c r="D716" s="532"/>
      <c r="E716" s="2497"/>
      <c r="F716" s="2497"/>
      <c r="G716" s="2497"/>
      <c r="H716" s="2497"/>
      <c r="I716" s="2497"/>
      <c r="J716" s="2497"/>
      <c r="K716" s="2497"/>
      <c r="L716" s="2497"/>
      <c r="M716" s="2497"/>
      <c r="N716" s="2497"/>
      <c r="O716" s="2497"/>
      <c r="P716" s="2497"/>
      <c r="Q716" s="2497"/>
      <c r="R716" s="2497"/>
      <c r="S716" s="2497"/>
      <c r="T716" s="2497"/>
      <c r="U716" s="2497"/>
      <c r="V716" s="2497"/>
      <c r="W716" s="2497"/>
      <c r="X716" s="2497"/>
      <c r="Y716" s="2497"/>
      <c r="Z716" s="2497"/>
      <c r="AA716" s="2497"/>
      <c r="AB716" s="2497"/>
      <c r="AC716" s="532"/>
      <c r="AD716" s="532"/>
      <c r="AE716" s="609"/>
      <c r="AF716" s="609"/>
      <c r="AG716" s="609"/>
      <c r="AH716" s="609"/>
      <c r="AI716" s="609"/>
      <c r="AJ716" s="532"/>
      <c r="AK716" s="532"/>
      <c r="AL716" s="532"/>
      <c r="AM716" s="544"/>
      <c r="AN716" s="675"/>
      <c r="AO716" s="544" t="s">
        <v>589</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685</v>
      </c>
      <c r="AP717" s="544">
        <v>3</v>
      </c>
    </row>
    <row r="718" spans="1:53" customFormat="1" ht="12.75" customHeight="1">
      <c r="A718" s="22"/>
      <c r="B718" s="3"/>
      <c r="C718" s="36"/>
      <c r="D718" s="17" t="s">
        <v>1386</v>
      </c>
      <c r="E718" s="1298" t="s">
        <v>2632</v>
      </c>
      <c r="F718" s="1298"/>
      <c r="G718" s="1298"/>
      <c r="H718" s="1298"/>
      <c r="I718" s="1298"/>
      <c r="J718" s="1298"/>
      <c r="K718" s="1298"/>
      <c r="L718" s="1298"/>
      <c r="M718" s="1298"/>
      <c r="N718" s="1298"/>
      <c r="O718" s="1298"/>
      <c r="P718" s="1298"/>
      <c r="Q718" s="1298"/>
      <c r="R718" s="1298"/>
      <c r="S718" s="1298"/>
      <c r="T718" s="1298"/>
      <c r="U718" s="1298"/>
      <c r="V718" s="1298"/>
      <c r="W718" s="1298"/>
      <c r="X718" s="1298"/>
      <c r="Y718" s="1298"/>
      <c r="Z718" s="1298"/>
      <c r="AA718" s="1298"/>
      <c r="AB718" s="1298"/>
      <c r="AC718" s="22"/>
      <c r="AD718" s="3"/>
      <c r="AE718" s="22"/>
      <c r="AF718" s="1450" t="s">
        <v>1397</v>
      </c>
      <c r="AG718" s="1450"/>
      <c r="AH718" s="1450"/>
      <c r="AI718" s="1450"/>
      <c r="AJ718" s="1450"/>
      <c r="AK718" s="1450"/>
      <c r="AL718" s="1450"/>
      <c r="AM718" s="22"/>
      <c r="AN718" s="114"/>
      <c r="AO718" s="604" t="s">
        <v>507</v>
      </c>
      <c r="AP718" s="544">
        <f>3*$AO$708</f>
        <v>3</v>
      </c>
      <c r="AY718" s="14"/>
      <c r="AZ718" s="14"/>
      <c r="BA718" s="14"/>
    </row>
    <row r="719" spans="1:53" customFormat="1" ht="12.75" customHeight="1">
      <c r="A719" s="22"/>
      <c r="B719" s="3"/>
      <c r="C719" s="36"/>
      <c r="D719" s="17"/>
      <c r="E719" s="1298"/>
      <c r="F719" s="1298"/>
      <c r="G719" s="1298"/>
      <c r="H719" s="1298"/>
      <c r="I719" s="1298"/>
      <c r="J719" s="1298"/>
      <c r="K719" s="1298"/>
      <c r="L719" s="1298"/>
      <c r="M719" s="1298"/>
      <c r="N719" s="1298"/>
      <c r="O719" s="1298"/>
      <c r="P719" s="1298"/>
      <c r="Q719" s="1298"/>
      <c r="R719" s="1298"/>
      <c r="S719" s="1298"/>
      <c r="T719" s="1298"/>
      <c r="U719" s="1298"/>
      <c r="V719" s="1298"/>
      <c r="W719" s="1298"/>
      <c r="X719" s="1298"/>
      <c r="Y719" s="1298"/>
      <c r="Z719" s="1298"/>
      <c r="AA719" s="1298"/>
      <c r="AB719" s="1298"/>
      <c r="AC719" s="22"/>
      <c r="AD719" s="3"/>
      <c r="AE719" s="22"/>
      <c r="AF719" s="1450"/>
      <c r="AG719" s="1450"/>
      <c r="AH719" s="1450"/>
      <c r="AI719" s="1450"/>
      <c r="AJ719" s="1450"/>
      <c r="AK719" s="1450"/>
      <c r="AL719" s="1450"/>
      <c r="AM719" s="22"/>
      <c r="AN719" s="114"/>
      <c r="AO719" s="604" t="s">
        <v>277</v>
      </c>
      <c r="AP719" s="544">
        <f>2*$AO$708</f>
        <v>2</v>
      </c>
      <c r="AY719" s="14"/>
      <c r="AZ719" s="14"/>
      <c r="BA719" s="14"/>
    </row>
    <row r="720" spans="1:53" customFormat="1" ht="12.75" customHeight="1">
      <c r="A720" s="22"/>
      <c r="B720" s="3"/>
      <c r="C720" s="36"/>
      <c r="D720" s="22"/>
      <c r="E720" s="1262"/>
      <c r="F720" s="1262"/>
      <c r="G720" s="1262"/>
      <c r="H720" s="1262"/>
      <c r="I720" s="1262"/>
      <c r="J720" s="1262"/>
      <c r="K720" s="1262"/>
      <c r="L720" s="1262"/>
      <c r="M720" s="1262"/>
      <c r="N720" s="1262"/>
      <c r="O720" s="1262"/>
      <c r="P720" s="1262"/>
      <c r="Q720" s="1262"/>
      <c r="R720" s="1262"/>
      <c r="S720" s="1262"/>
      <c r="T720" s="1262"/>
      <c r="U720" s="1262"/>
      <c r="V720" s="1262"/>
      <c r="W720" s="1262"/>
      <c r="X720" s="1262"/>
      <c r="Y720" s="1262"/>
      <c r="Z720" s="1262"/>
      <c r="AA720" s="1262"/>
      <c r="AB720" s="1262"/>
      <c r="AC720" s="22"/>
      <c r="AD720" s="3"/>
      <c r="AE720" s="20"/>
      <c r="AF720" s="20"/>
      <c r="AG720" s="20"/>
      <c r="AH720" s="20"/>
      <c r="AI720" s="20"/>
      <c r="AJ720" s="22"/>
      <c r="AK720" s="22"/>
      <c r="AL720" s="22"/>
      <c r="AM720" s="22"/>
      <c r="AN720" s="114"/>
      <c r="AO720" s="604" t="s">
        <v>1386</v>
      </c>
      <c r="AP720" s="544">
        <v>2</v>
      </c>
      <c r="AY720" s="14"/>
      <c r="AZ720" s="14"/>
      <c r="BA720" s="14"/>
    </row>
    <row r="721" spans="1:43" s="563" customFormat="1" ht="12.75" customHeight="1">
      <c r="A721" s="544"/>
      <c r="B721" s="532"/>
      <c r="C721" s="922"/>
      <c r="D721" s="532"/>
      <c r="E721" s="2497" t="s">
        <v>1679</v>
      </c>
      <c r="F721" s="2497"/>
      <c r="G721" s="2497"/>
      <c r="H721" s="2497"/>
      <c r="I721" s="2497"/>
      <c r="J721" s="2497"/>
      <c r="K721" s="2497"/>
      <c r="L721" s="2497"/>
      <c r="M721" s="2497"/>
      <c r="N721" s="2497"/>
      <c r="O721" s="2497"/>
      <c r="P721" s="2497"/>
      <c r="Q721" s="2497"/>
      <c r="R721" s="2497"/>
      <c r="S721" s="2497"/>
      <c r="T721" s="2497"/>
      <c r="U721" s="2497"/>
      <c r="V721" s="2497"/>
      <c r="W721" s="2497"/>
      <c r="X721" s="2497"/>
      <c r="Y721" s="2497"/>
      <c r="Z721" s="2497"/>
      <c r="AA721" s="2497"/>
      <c r="AB721" s="2497"/>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97"/>
      <c r="F722" s="2497"/>
      <c r="G722" s="2497"/>
      <c r="H722" s="2497"/>
      <c r="I722" s="2497"/>
      <c r="J722" s="2497"/>
      <c r="K722" s="2497"/>
      <c r="L722" s="2497"/>
      <c r="M722" s="2497"/>
      <c r="N722" s="2497"/>
      <c r="O722" s="2497"/>
      <c r="P722" s="2497"/>
      <c r="Q722" s="2497"/>
      <c r="R722" s="2497"/>
      <c r="S722" s="2497"/>
      <c r="T722" s="2497"/>
      <c r="U722" s="2497"/>
      <c r="V722" s="2497"/>
      <c r="W722" s="2497"/>
      <c r="X722" s="2497"/>
      <c r="Y722" s="2497"/>
      <c r="Z722" s="2497"/>
      <c r="AA722" s="2497"/>
      <c r="AB722" s="2497"/>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97"/>
      <c r="F723" s="2497"/>
      <c r="G723" s="2497"/>
      <c r="H723" s="2497"/>
      <c r="I723" s="2497"/>
      <c r="J723" s="2497"/>
      <c r="K723" s="2497"/>
      <c r="L723" s="2497"/>
      <c r="M723" s="2497"/>
      <c r="N723" s="2497"/>
      <c r="O723" s="2497"/>
      <c r="P723" s="2497"/>
      <c r="Q723" s="2497"/>
      <c r="R723" s="2497"/>
      <c r="S723" s="2497"/>
      <c r="T723" s="2497"/>
      <c r="U723" s="2497"/>
      <c r="V723" s="2497"/>
      <c r="W723" s="2497"/>
      <c r="X723" s="2497"/>
      <c r="Y723" s="2497"/>
      <c r="Z723" s="2497"/>
      <c r="AA723" s="2497"/>
      <c r="AB723" s="2497"/>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1389</v>
      </c>
      <c r="E725" s="927"/>
      <c r="F725" s="927"/>
      <c r="G725" s="927"/>
      <c r="H725" s="2560" t="s">
        <v>277</v>
      </c>
      <c r="I725" s="2560"/>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1416</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1394</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2084</v>
      </c>
      <c r="AJ727" s="2505">
        <f>VLOOKUP($H$725,$AO$716:$AP$720,2,FALSE)</f>
        <v>2</v>
      </c>
      <c r="AK727" s="2507"/>
      <c r="AL727" s="588"/>
      <c r="AM727" s="544"/>
      <c r="AN727" s="675"/>
      <c r="AP727" s="563" t="s">
        <v>1401</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1417</v>
      </c>
    </row>
    <row r="729" spans="1:43" s="563" customFormat="1" ht="12.75" customHeight="1">
      <c r="A729" s="544"/>
      <c r="B729" s="532"/>
      <c r="C729" s="535" t="s">
        <v>1418</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1419</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1420</v>
      </c>
    </row>
    <row r="731" spans="1:43" s="563" customFormat="1" ht="12.75" customHeight="1">
      <c r="A731" s="630"/>
      <c r="B731" s="532"/>
      <c r="C731" s="922"/>
      <c r="D731" s="654" t="s">
        <v>685</v>
      </c>
      <c r="E731" s="2568" t="s">
        <v>1681</v>
      </c>
      <c r="F731" s="2568"/>
      <c r="G731" s="2568"/>
      <c r="H731" s="2568"/>
      <c r="I731" s="2568"/>
      <c r="J731" s="2568"/>
      <c r="K731" s="2568"/>
      <c r="L731" s="2568"/>
      <c r="M731" s="2568"/>
      <c r="N731" s="2568"/>
      <c r="O731" s="2568"/>
      <c r="P731" s="2568"/>
      <c r="Q731" s="2568"/>
      <c r="R731" s="2568"/>
      <c r="S731" s="2568"/>
      <c r="T731" s="2568"/>
      <c r="U731" s="2568"/>
      <c r="V731" s="2568"/>
      <c r="W731" s="2568"/>
      <c r="X731" s="2568"/>
      <c r="Y731" s="2568"/>
      <c r="Z731" s="2568"/>
      <c r="AA731" s="2568"/>
      <c r="AB731" s="2568"/>
      <c r="AC731" s="532"/>
      <c r="AD731" s="532"/>
      <c r="AE731" s="532"/>
      <c r="AF731" s="2480" t="s">
        <v>1343</v>
      </c>
      <c r="AG731" s="2480"/>
      <c r="AH731" s="2480"/>
      <c r="AI731" s="2480"/>
      <c r="AJ731" s="2480"/>
      <c r="AK731" s="2480"/>
      <c r="AL731" s="2480"/>
      <c r="AM731" s="544"/>
      <c r="AN731" s="675"/>
      <c r="AP731" s="563" t="s">
        <v>1421</v>
      </c>
    </row>
    <row r="732" spans="1:43" s="563" customFormat="1" ht="11.85" customHeight="1">
      <c r="A732" s="544"/>
      <c r="B732" s="532"/>
      <c r="C732" s="924"/>
      <c r="D732" s="654"/>
      <c r="E732" s="2568"/>
      <c r="F732" s="2568"/>
      <c r="G732" s="2568"/>
      <c r="H732" s="2568"/>
      <c r="I732" s="2568"/>
      <c r="J732" s="2568"/>
      <c r="K732" s="2568"/>
      <c r="L732" s="2568"/>
      <c r="M732" s="2568"/>
      <c r="N732" s="2568"/>
      <c r="O732" s="2568"/>
      <c r="P732" s="2568"/>
      <c r="Q732" s="2568"/>
      <c r="R732" s="2568"/>
      <c r="S732" s="2568"/>
      <c r="T732" s="2568"/>
      <c r="U732" s="2568"/>
      <c r="V732" s="2568"/>
      <c r="W732" s="2568"/>
      <c r="X732" s="2568"/>
      <c r="Y732" s="2568"/>
      <c r="Z732" s="2568"/>
      <c r="AA732" s="2568"/>
      <c r="AB732" s="2568"/>
      <c r="AC732" s="532"/>
      <c r="AD732" s="532"/>
      <c r="AE732" s="532"/>
      <c r="AF732" s="532"/>
      <c r="AG732" s="532"/>
      <c r="AH732" s="532"/>
      <c r="AI732" s="532"/>
      <c r="AJ732" s="532"/>
      <c r="AK732" s="532"/>
      <c r="AL732" s="532"/>
      <c r="AM732" s="544"/>
      <c r="AN732" s="675"/>
      <c r="AP732" s="563" t="s">
        <v>1422</v>
      </c>
    </row>
    <row r="733" spans="1:43" s="563" customFormat="1" ht="14.1" customHeight="1">
      <c r="A733" s="544"/>
      <c r="B733" s="603"/>
      <c r="C733" s="922"/>
      <c r="D733" s="654"/>
      <c r="E733" s="2568"/>
      <c r="F733" s="2568"/>
      <c r="G733" s="2568"/>
      <c r="H733" s="2568"/>
      <c r="I733" s="2568"/>
      <c r="J733" s="2568"/>
      <c r="K733" s="2568"/>
      <c r="L733" s="2568"/>
      <c r="M733" s="2568"/>
      <c r="N733" s="2568"/>
      <c r="O733" s="2568"/>
      <c r="P733" s="2568"/>
      <c r="Q733" s="2568"/>
      <c r="R733" s="2568"/>
      <c r="S733" s="2568"/>
      <c r="T733" s="2568"/>
      <c r="U733" s="2568"/>
      <c r="V733" s="2568"/>
      <c r="W733" s="2568"/>
      <c r="X733" s="2568"/>
      <c r="Y733" s="2568"/>
      <c r="Z733" s="2568"/>
      <c r="AA733" s="2568"/>
      <c r="AB733" s="2568"/>
      <c r="AC733" s="532"/>
      <c r="AD733" s="532"/>
      <c r="AE733" s="609"/>
      <c r="AF733" s="532"/>
      <c r="AG733" s="532"/>
      <c r="AH733" s="532"/>
      <c r="AI733" s="532"/>
      <c r="AJ733" s="532"/>
      <c r="AK733" s="532"/>
      <c r="AL733" s="532"/>
      <c r="AM733" s="544"/>
      <c r="AN733" s="675"/>
      <c r="AP733" s="563" t="s">
        <v>1423</v>
      </c>
    </row>
    <row r="734" spans="1:43" s="563" customFormat="1" ht="14.1"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1425</v>
      </c>
    </row>
    <row r="735" spans="1:43" s="563" customFormat="1" ht="14.1" customHeight="1">
      <c r="A735" s="544"/>
      <c r="B735" s="532"/>
      <c r="C735" s="922"/>
      <c r="D735" s="654" t="s">
        <v>507</v>
      </c>
      <c r="E735" s="2569" t="s">
        <v>1424</v>
      </c>
      <c r="F735" s="2569"/>
      <c r="G735" s="2569"/>
      <c r="H735" s="2569"/>
      <c r="I735" s="2569"/>
      <c r="J735" s="2569"/>
      <c r="K735" s="2569"/>
      <c r="L735" s="2569"/>
      <c r="M735" s="2569"/>
      <c r="N735" s="2569"/>
      <c r="O735" s="2569"/>
      <c r="P735" s="2569"/>
      <c r="Q735" s="2569"/>
      <c r="R735" s="2569"/>
      <c r="S735" s="2569"/>
      <c r="T735" s="2569"/>
      <c r="U735" s="2569"/>
      <c r="V735" s="2569"/>
      <c r="W735" s="2569"/>
      <c r="X735" s="2569"/>
      <c r="Y735" s="2569"/>
      <c r="Z735" s="2569"/>
      <c r="AA735" s="2569"/>
      <c r="AB735" s="2569"/>
      <c r="AC735" s="532"/>
      <c r="AD735" s="532"/>
      <c r="AE735" s="532"/>
      <c r="AF735" s="2480" t="s">
        <v>1397</v>
      </c>
      <c r="AG735" s="2480"/>
      <c r="AH735" s="2480"/>
      <c r="AI735" s="2480"/>
      <c r="AJ735" s="2480"/>
      <c r="AK735" s="2480"/>
      <c r="AL735" s="2480"/>
      <c r="AM735" s="544"/>
      <c r="AN735" s="676"/>
    </row>
    <row r="736" spans="1:43" s="563" customFormat="1" ht="12.75" customHeight="1">
      <c r="A736" s="544"/>
      <c r="B736" s="532"/>
      <c r="C736" s="924"/>
      <c r="D736" s="532"/>
      <c r="E736" s="2569"/>
      <c r="F736" s="2569"/>
      <c r="G736" s="2569"/>
      <c r="H736" s="2569"/>
      <c r="I736" s="2569"/>
      <c r="J736" s="2569"/>
      <c r="K736" s="2569"/>
      <c r="L736" s="2569"/>
      <c r="M736" s="2569"/>
      <c r="N736" s="2569"/>
      <c r="O736" s="2569"/>
      <c r="P736" s="2569"/>
      <c r="Q736" s="2569"/>
      <c r="R736" s="2569"/>
      <c r="S736" s="2569"/>
      <c r="T736" s="2569"/>
      <c r="U736" s="2569"/>
      <c r="V736" s="2569"/>
      <c r="W736" s="2569"/>
      <c r="X736" s="2569"/>
      <c r="Y736" s="2569"/>
      <c r="Z736" s="2569"/>
      <c r="AA736" s="2569"/>
      <c r="AB736" s="2569"/>
      <c r="AC736" s="532"/>
      <c r="AD736" s="532"/>
      <c r="AE736" s="532"/>
      <c r="AF736" s="532"/>
      <c r="AG736" s="532"/>
      <c r="AH736" s="532"/>
      <c r="AI736" s="532"/>
      <c r="AJ736" s="532"/>
      <c r="AK736" s="532"/>
      <c r="AL736" s="532"/>
      <c r="AM736" s="544"/>
      <c r="AN736" s="675"/>
      <c r="AP736" s="544" t="s">
        <v>589</v>
      </c>
      <c r="AQ736" s="664">
        <v>0</v>
      </c>
    </row>
    <row r="737" spans="1:81" s="563" customFormat="1" ht="14.1" customHeight="1">
      <c r="A737" s="544"/>
      <c r="B737" s="532"/>
      <c r="C737" s="924"/>
      <c r="D737" s="532"/>
      <c r="E737" s="2569"/>
      <c r="F737" s="2569"/>
      <c r="G737" s="2569"/>
      <c r="H737" s="2569"/>
      <c r="I737" s="2569"/>
      <c r="J737" s="2569"/>
      <c r="K737" s="2569"/>
      <c r="L737" s="2569"/>
      <c r="M737" s="2569"/>
      <c r="N737" s="2569"/>
      <c r="O737" s="2569"/>
      <c r="P737" s="2569"/>
      <c r="Q737" s="2569"/>
      <c r="R737" s="2569"/>
      <c r="S737" s="2569"/>
      <c r="T737" s="2569"/>
      <c r="U737" s="2569"/>
      <c r="V737" s="2569"/>
      <c r="W737" s="2569"/>
      <c r="X737" s="2569"/>
      <c r="Y737" s="2569"/>
      <c r="Z737" s="2569"/>
      <c r="AA737" s="2569"/>
      <c r="AB737" s="2569"/>
      <c r="AC737" s="532"/>
      <c r="AD737" s="532"/>
      <c r="AE737" s="532"/>
      <c r="AF737" s="532"/>
      <c r="AG737" s="532"/>
      <c r="AH737" s="532"/>
      <c r="AI737" s="532"/>
      <c r="AJ737" s="532"/>
      <c r="AK737" s="532"/>
      <c r="AL737" s="532"/>
      <c r="AM737" s="544"/>
      <c r="AN737" s="675"/>
      <c r="AP737" s="604" t="s">
        <v>685</v>
      </c>
      <c r="AQ737" s="544">
        <v>3</v>
      </c>
    </row>
    <row r="738" spans="1:81" s="563" customFormat="1" ht="14.1"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507</v>
      </c>
      <c r="AQ738" s="544">
        <v>2</v>
      </c>
    </row>
    <row r="739" spans="1:81" s="563" customFormat="1" ht="14.1" customHeight="1">
      <c r="A739" s="544"/>
      <c r="B739" s="532"/>
      <c r="C739" s="924"/>
      <c r="D739" s="532" t="s">
        <v>1389</v>
      </c>
      <c r="E739" s="927"/>
      <c r="F739" s="927"/>
      <c r="G739" s="927"/>
      <c r="H739" s="2560" t="s">
        <v>589</v>
      </c>
      <c r="I739" s="2560"/>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1426</v>
      </c>
      <c r="AJ741" s="2505">
        <f>VLOOKUP($H$739,$AP$736:$AQ$738,2,FALSE)</f>
        <v>0</v>
      </c>
      <c r="AK741" s="2507"/>
      <c r="AL741" s="588"/>
      <c r="AM741" s="544"/>
      <c r="AN741" s="675"/>
      <c r="AP741" s="2505"/>
      <c r="AQ741" s="2507"/>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1427</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685</v>
      </c>
      <c r="E745" s="2497" t="s">
        <v>1682</v>
      </c>
      <c r="F745" s="2497"/>
      <c r="G745" s="2497"/>
      <c r="H745" s="2497"/>
      <c r="I745" s="2497"/>
      <c r="J745" s="2497"/>
      <c r="K745" s="2497"/>
      <c r="L745" s="2497"/>
      <c r="M745" s="2497"/>
      <c r="N745" s="2497"/>
      <c r="O745" s="2497"/>
      <c r="P745" s="2497"/>
      <c r="Q745" s="2497"/>
      <c r="R745" s="2497"/>
      <c r="S745" s="2497"/>
      <c r="T745" s="2497"/>
      <c r="U745" s="2497"/>
      <c r="V745" s="2497"/>
      <c r="W745" s="2497"/>
      <c r="X745" s="2497"/>
      <c r="Y745" s="2497"/>
      <c r="Z745" s="2497"/>
      <c r="AA745" s="2497"/>
      <c r="AB745" s="2497"/>
      <c r="AC745" s="532"/>
      <c r="AD745" s="532"/>
      <c r="AE745" s="532"/>
      <c r="AF745" s="2480" t="s">
        <v>1343</v>
      </c>
      <c r="AG745" s="2480"/>
      <c r="AH745" s="2480"/>
      <c r="AI745" s="2480"/>
      <c r="AJ745" s="2480"/>
      <c r="AK745" s="2480"/>
      <c r="AL745" s="2480"/>
      <c r="AM745" s="544"/>
      <c r="AN745" s="675"/>
      <c r="AT745" s="14"/>
      <c r="AU745" s="14"/>
      <c r="AV745" s="14"/>
      <c r="AW745" s="14"/>
      <c r="AX745" s="14"/>
      <c r="AY745" s="14"/>
      <c r="AZ745" s="14"/>
    </row>
    <row r="746" spans="1:81" s="563" customFormat="1">
      <c r="A746" s="544"/>
      <c r="B746" s="532"/>
      <c r="C746" s="924"/>
      <c r="D746" s="654"/>
      <c r="E746" s="2497"/>
      <c r="F746" s="2497"/>
      <c r="G746" s="2497"/>
      <c r="H746" s="2497"/>
      <c r="I746" s="2497"/>
      <c r="J746" s="2497"/>
      <c r="K746" s="2497"/>
      <c r="L746" s="2497"/>
      <c r="M746" s="2497"/>
      <c r="N746" s="2497"/>
      <c r="O746" s="2497"/>
      <c r="P746" s="2497"/>
      <c r="Q746" s="2497"/>
      <c r="R746" s="2497"/>
      <c r="S746" s="2497"/>
      <c r="T746" s="2497"/>
      <c r="U746" s="2497"/>
      <c r="V746" s="2497"/>
      <c r="W746" s="2497"/>
      <c r="X746" s="2497"/>
      <c r="Y746" s="2497"/>
      <c r="Z746" s="2497"/>
      <c r="AA746" s="2497"/>
      <c r="AB746" s="2497"/>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507</v>
      </c>
      <c r="E748" s="2497" t="s">
        <v>1428</v>
      </c>
      <c r="F748" s="2497"/>
      <c r="G748" s="2497"/>
      <c r="H748" s="2497"/>
      <c r="I748" s="2497"/>
      <c r="J748" s="2497"/>
      <c r="K748" s="2497"/>
      <c r="L748" s="2497"/>
      <c r="M748" s="2497"/>
      <c r="N748" s="2497"/>
      <c r="O748" s="2497"/>
      <c r="P748" s="2497"/>
      <c r="Q748" s="2497"/>
      <c r="R748" s="2497"/>
      <c r="S748" s="2497"/>
      <c r="T748" s="2497"/>
      <c r="U748" s="2497"/>
      <c r="V748" s="2497"/>
      <c r="W748" s="2497"/>
      <c r="X748" s="2497"/>
      <c r="Y748" s="2497"/>
      <c r="Z748" s="2497"/>
      <c r="AA748" s="2497"/>
      <c r="AB748" s="2497"/>
      <c r="AC748" s="532"/>
      <c r="AD748" s="532"/>
      <c r="AE748" s="532"/>
      <c r="AF748" s="2480" t="s">
        <v>1397</v>
      </c>
      <c r="AG748" s="2480"/>
      <c r="AH748" s="2480"/>
      <c r="AI748" s="2480"/>
      <c r="AJ748" s="2480"/>
      <c r="AK748" s="2480"/>
      <c r="AL748" s="2480"/>
      <c r="AM748" s="544"/>
      <c r="AN748" s="675"/>
      <c r="AT748" s="14"/>
      <c r="AU748" s="14"/>
      <c r="AV748" s="14"/>
      <c r="AW748" s="14"/>
      <c r="AX748" s="14"/>
      <c r="AY748" s="14"/>
      <c r="AZ748" s="14"/>
    </row>
    <row r="749" spans="1:81" s="563" customFormat="1">
      <c r="A749" s="544"/>
      <c r="B749" s="532"/>
      <c r="C749" s="924"/>
      <c r="D749" s="532"/>
      <c r="E749" s="2497"/>
      <c r="F749" s="2497"/>
      <c r="G749" s="2497"/>
      <c r="H749" s="2497"/>
      <c r="I749" s="2497"/>
      <c r="J749" s="2497"/>
      <c r="K749" s="2497"/>
      <c r="L749" s="2497"/>
      <c r="M749" s="2497"/>
      <c r="N749" s="2497"/>
      <c r="O749" s="2497"/>
      <c r="P749" s="2497"/>
      <c r="Q749" s="2497"/>
      <c r="R749" s="2497"/>
      <c r="S749" s="2497"/>
      <c r="T749" s="2497"/>
      <c r="U749" s="2497"/>
      <c r="V749" s="2497"/>
      <c r="W749" s="2497"/>
      <c r="X749" s="2497"/>
      <c r="Y749" s="2497"/>
      <c r="Z749" s="2497"/>
      <c r="AA749" s="2497"/>
      <c r="AB749" s="2497"/>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1389</v>
      </c>
      <c r="E751" s="927"/>
      <c r="F751" s="927"/>
      <c r="G751" s="927"/>
      <c r="H751" s="2560" t="s">
        <v>589</v>
      </c>
      <c r="I751" s="2560"/>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1429</v>
      </c>
      <c r="AJ753" s="2505">
        <f>VLOOKUP($H$751,$AO$679:$AP$681,2,FALSE)</f>
        <v>0</v>
      </c>
      <c r="AK753" s="2507"/>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1430</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685</v>
      </c>
      <c r="E757" s="2497" t="s">
        <v>1431</v>
      </c>
      <c r="F757" s="2497"/>
      <c r="G757" s="2497"/>
      <c r="H757" s="2497"/>
      <c r="I757" s="2497"/>
      <c r="J757" s="2497"/>
      <c r="K757" s="2497"/>
      <c r="L757" s="2497"/>
      <c r="M757" s="2497"/>
      <c r="N757" s="2497"/>
      <c r="O757" s="2497"/>
      <c r="P757" s="2497"/>
      <c r="Q757" s="2497"/>
      <c r="R757" s="2497"/>
      <c r="S757" s="2497"/>
      <c r="T757" s="2497"/>
      <c r="U757" s="2497"/>
      <c r="V757" s="2497"/>
      <c r="W757" s="2497"/>
      <c r="X757" s="2497"/>
      <c r="Y757" s="2497"/>
      <c r="Z757" s="2497"/>
      <c r="AA757" s="2497"/>
      <c r="AB757" s="2497"/>
      <c r="AC757" s="532"/>
      <c r="AD757" s="532"/>
      <c r="AE757" s="532"/>
      <c r="AF757" s="2480" t="s">
        <v>1343</v>
      </c>
      <c r="AG757" s="2480"/>
      <c r="AH757" s="2480"/>
      <c r="AI757" s="2480"/>
      <c r="AJ757" s="2480"/>
      <c r="AK757" s="2480"/>
      <c r="AL757" s="2480"/>
      <c r="AM757" s="544"/>
      <c r="AN757" s="675"/>
      <c r="AT757" s="14"/>
      <c r="AU757" s="14"/>
      <c r="AV757" s="14"/>
      <c r="AW757" s="14"/>
      <c r="AX757" s="14"/>
      <c r="AY757" s="14"/>
      <c r="AZ757" s="14"/>
    </row>
    <row r="758" spans="1:81" s="563" customFormat="1">
      <c r="A758" s="544"/>
      <c r="B758" s="532"/>
      <c r="C758" s="922"/>
      <c r="D758" s="654"/>
      <c r="E758" s="2497"/>
      <c r="F758" s="2497"/>
      <c r="G758" s="2497"/>
      <c r="H758" s="2497"/>
      <c r="I758" s="2497"/>
      <c r="J758" s="2497"/>
      <c r="K758" s="2497"/>
      <c r="L758" s="2497"/>
      <c r="M758" s="2497"/>
      <c r="N758" s="2497"/>
      <c r="O758" s="2497"/>
      <c r="P758" s="2497"/>
      <c r="Q758" s="2497"/>
      <c r="R758" s="2497"/>
      <c r="S758" s="2497"/>
      <c r="T758" s="2497"/>
      <c r="U758" s="2497"/>
      <c r="V758" s="2497"/>
      <c r="W758" s="2497"/>
      <c r="X758" s="2497"/>
      <c r="Y758" s="2497"/>
      <c r="Z758" s="2497"/>
      <c r="AA758" s="2497"/>
      <c r="AB758" s="2497"/>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97"/>
      <c r="F759" s="2497"/>
      <c r="G759" s="2497"/>
      <c r="H759" s="2497"/>
      <c r="I759" s="2497"/>
      <c r="J759" s="2497"/>
      <c r="K759" s="2497"/>
      <c r="L759" s="2497"/>
      <c r="M759" s="2497"/>
      <c r="N759" s="2497"/>
      <c r="O759" s="2497"/>
      <c r="P759" s="2497"/>
      <c r="Q759" s="2497"/>
      <c r="R759" s="2497"/>
      <c r="S759" s="2497"/>
      <c r="T759" s="2497"/>
      <c r="U759" s="2497"/>
      <c r="V759" s="2497"/>
      <c r="W759" s="2497"/>
      <c r="X759" s="2497"/>
      <c r="Y759" s="2497"/>
      <c r="Z759" s="2497"/>
      <c r="AA759" s="2497"/>
      <c r="AB759" s="2497"/>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97"/>
      <c r="F760" s="2497"/>
      <c r="G760" s="2497"/>
      <c r="H760" s="2497"/>
      <c r="I760" s="2497"/>
      <c r="J760" s="2497"/>
      <c r="K760" s="2497"/>
      <c r="L760" s="2497"/>
      <c r="M760" s="2497"/>
      <c r="N760" s="2497"/>
      <c r="O760" s="2497"/>
      <c r="P760" s="2497"/>
      <c r="Q760" s="2497"/>
      <c r="R760" s="2497"/>
      <c r="S760" s="2497"/>
      <c r="T760" s="2497"/>
      <c r="U760" s="2497"/>
      <c r="V760" s="2497"/>
      <c r="W760" s="2497"/>
      <c r="X760" s="2497"/>
      <c r="Y760" s="2497"/>
      <c r="Z760" s="2497"/>
      <c r="AA760" s="2497"/>
      <c r="AB760" s="2497"/>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507</v>
      </c>
      <c r="E762" s="2497" t="s">
        <v>1432</v>
      </c>
      <c r="F762" s="2497"/>
      <c r="G762" s="2497"/>
      <c r="H762" s="2497"/>
      <c r="I762" s="2497"/>
      <c r="J762" s="2497"/>
      <c r="K762" s="2497"/>
      <c r="L762" s="2497"/>
      <c r="M762" s="2497"/>
      <c r="N762" s="2497"/>
      <c r="O762" s="2497"/>
      <c r="P762" s="2497"/>
      <c r="Q762" s="2497"/>
      <c r="R762" s="2497"/>
      <c r="S762" s="2497"/>
      <c r="T762" s="2497"/>
      <c r="U762" s="2497"/>
      <c r="V762" s="2497"/>
      <c r="W762" s="2497"/>
      <c r="X762" s="2497"/>
      <c r="Y762" s="2497"/>
      <c r="Z762" s="2497"/>
      <c r="AA762" s="2497"/>
      <c r="AB762" s="568"/>
      <c r="AC762" s="532"/>
      <c r="AD762" s="532"/>
      <c r="AE762" s="532"/>
      <c r="AF762" s="2480" t="s">
        <v>1397</v>
      </c>
      <c r="AG762" s="2480"/>
      <c r="AH762" s="2480"/>
      <c r="AI762" s="2480"/>
      <c r="AJ762" s="2480"/>
      <c r="AK762" s="2480"/>
      <c r="AL762" s="2480"/>
      <c r="AM762" s="544"/>
      <c r="AN762" s="675"/>
      <c r="AO762" s="30"/>
      <c r="AP762" s="14"/>
    </row>
    <row r="763" spans="1:81" s="563" customFormat="1">
      <c r="A763" s="544"/>
      <c r="B763" s="532"/>
      <c r="C763" s="922"/>
      <c r="D763" s="654"/>
      <c r="E763" s="2497"/>
      <c r="F763" s="2497"/>
      <c r="G763" s="2497"/>
      <c r="H763" s="2497"/>
      <c r="I763" s="2497"/>
      <c r="J763" s="2497"/>
      <c r="K763" s="2497"/>
      <c r="L763" s="2497"/>
      <c r="M763" s="2497"/>
      <c r="N763" s="2497"/>
      <c r="O763" s="2497"/>
      <c r="P763" s="2497"/>
      <c r="Q763" s="2497"/>
      <c r="R763" s="2497"/>
      <c r="S763" s="2497"/>
      <c r="T763" s="2497"/>
      <c r="U763" s="2497"/>
      <c r="V763" s="2497"/>
      <c r="W763" s="2497"/>
      <c r="X763" s="2497"/>
      <c r="Y763" s="2497"/>
      <c r="Z763" s="2497"/>
      <c r="AA763" s="2497"/>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97"/>
      <c r="F764" s="2497"/>
      <c r="G764" s="2497"/>
      <c r="H764" s="2497"/>
      <c r="I764" s="2497"/>
      <c r="J764" s="2497"/>
      <c r="K764" s="2497"/>
      <c r="L764" s="2497"/>
      <c r="M764" s="2497"/>
      <c r="N764" s="2497"/>
      <c r="O764" s="2497"/>
      <c r="P764" s="2497"/>
      <c r="Q764" s="2497"/>
      <c r="R764" s="2497"/>
      <c r="S764" s="2497"/>
      <c r="T764" s="2497"/>
      <c r="U764" s="2497"/>
      <c r="V764" s="2497"/>
      <c r="W764" s="2497"/>
      <c r="X764" s="2497"/>
      <c r="Y764" s="2497"/>
      <c r="Z764" s="2497"/>
      <c r="AA764" s="2497"/>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97"/>
      <c r="F765" s="2497"/>
      <c r="G765" s="2497"/>
      <c r="H765" s="2497"/>
      <c r="I765" s="2497"/>
      <c r="J765" s="2497"/>
      <c r="K765" s="2497"/>
      <c r="L765" s="2497"/>
      <c r="M765" s="2497"/>
      <c r="N765" s="2497"/>
      <c r="O765" s="2497"/>
      <c r="P765" s="2497"/>
      <c r="Q765" s="2497"/>
      <c r="R765" s="2497"/>
      <c r="S765" s="2497"/>
      <c r="T765" s="2497"/>
      <c r="U765" s="2497"/>
      <c r="V765" s="2497"/>
      <c r="W765" s="2497"/>
      <c r="X765" s="2497"/>
      <c r="Y765" s="2497"/>
      <c r="Z765" s="2497"/>
      <c r="AA765" s="2497"/>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1389</v>
      </c>
      <c r="E767" s="927"/>
      <c r="F767" s="927"/>
      <c r="G767" s="927"/>
      <c r="H767" s="2560" t="s">
        <v>685</v>
      </c>
      <c r="I767" s="2560"/>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1433</v>
      </c>
      <c r="AJ769" s="2505">
        <f>VLOOKUP($H$767,$AO$693:$AP$695,2,FALSE)</f>
        <v>3</v>
      </c>
      <c r="AK769" s="2507"/>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1423</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685</v>
      </c>
      <c r="E773" s="2497" t="s">
        <v>1434</v>
      </c>
      <c r="F773" s="2497"/>
      <c r="G773" s="2497"/>
      <c r="H773" s="2497"/>
      <c r="I773" s="2497"/>
      <c r="J773" s="2497"/>
      <c r="K773" s="2497"/>
      <c r="L773" s="2497"/>
      <c r="M773" s="2497"/>
      <c r="N773" s="2497"/>
      <c r="O773" s="2497"/>
      <c r="P773" s="2497"/>
      <c r="Q773" s="2497"/>
      <c r="R773" s="2497"/>
      <c r="S773" s="2497"/>
      <c r="T773" s="2497"/>
      <c r="U773" s="2497"/>
      <c r="V773" s="2497"/>
      <c r="W773" s="2497"/>
      <c r="X773" s="2497"/>
      <c r="Y773" s="2497"/>
      <c r="Z773" s="2497"/>
      <c r="AA773" s="2497"/>
      <c r="AB773" s="2497"/>
      <c r="AC773" s="532"/>
      <c r="AD773" s="532"/>
      <c r="AE773" s="532"/>
      <c r="AF773" s="2480" t="s">
        <v>1397</v>
      </c>
      <c r="AG773" s="2480"/>
      <c r="AH773" s="2480"/>
      <c r="AI773" s="2480"/>
      <c r="AJ773" s="2480"/>
      <c r="AK773" s="2480"/>
      <c r="AL773" s="2480"/>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97"/>
      <c r="F774" s="2497"/>
      <c r="G774" s="2497"/>
      <c r="H774" s="2497"/>
      <c r="I774" s="2497"/>
      <c r="J774" s="2497"/>
      <c r="K774" s="2497"/>
      <c r="L774" s="2497"/>
      <c r="M774" s="2497"/>
      <c r="N774" s="2497"/>
      <c r="O774" s="2497"/>
      <c r="P774" s="2497"/>
      <c r="Q774" s="2497"/>
      <c r="R774" s="2497"/>
      <c r="S774" s="2497"/>
      <c r="T774" s="2497"/>
      <c r="U774" s="2497"/>
      <c r="V774" s="2497"/>
      <c r="W774" s="2497"/>
      <c r="X774" s="2497"/>
      <c r="Y774" s="2497"/>
      <c r="Z774" s="2497"/>
      <c r="AA774" s="2497"/>
      <c r="AB774" s="2497"/>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507</v>
      </c>
      <c r="E776" s="2497" t="s">
        <v>1435</v>
      </c>
      <c r="F776" s="2497"/>
      <c r="G776" s="2497"/>
      <c r="H776" s="2497"/>
      <c r="I776" s="2497"/>
      <c r="J776" s="2497"/>
      <c r="K776" s="2497"/>
      <c r="L776" s="2497"/>
      <c r="M776" s="2497"/>
      <c r="N776" s="2497"/>
      <c r="O776" s="2497"/>
      <c r="P776" s="2497"/>
      <c r="Q776" s="2497"/>
      <c r="R776" s="2497"/>
      <c r="S776" s="2497"/>
      <c r="T776" s="2497"/>
      <c r="U776" s="2497"/>
      <c r="V776" s="2497"/>
      <c r="W776" s="2497"/>
      <c r="X776" s="2497"/>
      <c r="Y776" s="2497"/>
      <c r="Z776" s="2497"/>
      <c r="AA776" s="2497"/>
      <c r="AB776" s="2497"/>
      <c r="AC776" s="532"/>
      <c r="AD776" s="532"/>
      <c r="AE776" s="532"/>
      <c r="AF776" s="2480" t="s">
        <v>1414</v>
      </c>
      <c r="AG776" s="2480"/>
      <c r="AH776" s="2480"/>
      <c r="AI776" s="2480"/>
      <c r="AJ776" s="2480"/>
      <c r="AK776" s="2480"/>
      <c r="AL776" s="2480"/>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97"/>
      <c r="F777" s="2497"/>
      <c r="G777" s="2497"/>
      <c r="H777" s="2497"/>
      <c r="I777" s="2497"/>
      <c r="J777" s="2497"/>
      <c r="K777" s="2497"/>
      <c r="L777" s="2497"/>
      <c r="M777" s="2497"/>
      <c r="N777" s="2497"/>
      <c r="O777" s="2497"/>
      <c r="P777" s="2497"/>
      <c r="Q777" s="2497"/>
      <c r="R777" s="2497"/>
      <c r="S777" s="2497"/>
      <c r="T777" s="2497"/>
      <c r="U777" s="2497"/>
      <c r="V777" s="2497"/>
      <c r="W777" s="2497"/>
      <c r="X777" s="2497"/>
      <c r="Y777" s="2497"/>
      <c r="Z777" s="2497"/>
      <c r="AA777" s="2497"/>
      <c r="AB777" s="2497"/>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1389</v>
      </c>
      <c r="E779" s="927"/>
      <c r="F779" s="927"/>
      <c r="G779" s="927"/>
      <c r="H779" s="2560" t="s">
        <v>685</v>
      </c>
      <c r="I779" s="2560"/>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4.1"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1436</v>
      </c>
      <c r="AJ781" s="2505">
        <f>VLOOKUP($H$779,$AO$710:$AP$712,2,FALSE)</f>
        <v>2</v>
      </c>
      <c r="AK781" s="2507"/>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1425</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 customHeight="1">
      <c r="A785" s="544"/>
      <c r="B785" s="609"/>
      <c r="C785" s="931"/>
      <c r="D785" s="654" t="s">
        <v>685</v>
      </c>
      <c r="E785" s="2497" t="s">
        <v>1678</v>
      </c>
      <c r="F785" s="2497"/>
      <c r="G785" s="2497"/>
      <c r="H785" s="2497"/>
      <c r="I785" s="2497"/>
      <c r="J785" s="2497"/>
      <c r="K785" s="2497"/>
      <c r="L785" s="2497"/>
      <c r="M785" s="2497"/>
      <c r="N785" s="2497"/>
      <c r="O785" s="2497"/>
      <c r="P785" s="2497"/>
      <c r="Q785" s="2497"/>
      <c r="R785" s="2497"/>
      <c r="S785" s="2497"/>
      <c r="T785" s="2497"/>
      <c r="U785" s="2497"/>
      <c r="V785" s="2497"/>
      <c r="W785" s="2497"/>
      <c r="X785" s="2497"/>
      <c r="Y785" s="2497"/>
      <c r="Z785" s="2497"/>
      <c r="AA785" s="2497"/>
      <c r="AB785" s="2497"/>
      <c r="AC785" s="2497"/>
      <c r="AD785" s="2497"/>
      <c r="AE785" s="532"/>
      <c r="AF785" s="2480" t="s">
        <v>1397</v>
      </c>
      <c r="AG785" s="2480"/>
      <c r="AH785" s="2480"/>
      <c r="AI785" s="2480"/>
      <c r="AJ785" s="2480"/>
      <c r="AK785" s="2480"/>
      <c r="AL785" s="2480"/>
      <c r="AM785" s="606"/>
      <c r="AN785" s="675"/>
      <c r="AO785" s="544" t="s">
        <v>589</v>
      </c>
      <c r="AP785" s="664">
        <v>0</v>
      </c>
    </row>
    <row r="786" spans="1:81" s="563" customFormat="1" ht="13.7" customHeight="1">
      <c r="A786" s="544"/>
      <c r="B786" s="609"/>
      <c r="C786" s="931"/>
      <c r="D786" s="654"/>
      <c r="E786" s="2497"/>
      <c r="F786" s="2497"/>
      <c r="G786" s="2497"/>
      <c r="H786" s="2497"/>
      <c r="I786" s="2497"/>
      <c r="J786" s="2497"/>
      <c r="K786" s="2497"/>
      <c r="L786" s="2497"/>
      <c r="M786" s="2497"/>
      <c r="N786" s="2497"/>
      <c r="O786" s="2497"/>
      <c r="P786" s="2497"/>
      <c r="Q786" s="2497"/>
      <c r="R786" s="2497"/>
      <c r="S786" s="2497"/>
      <c r="T786" s="2497"/>
      <c r="U786" s="2497"/>
      <c r="V786" s="2497"/>
      <c r="W786" s="2497"/>
      <c r="X786" s="2497"/>
      <c r="Y786" s="2497"/>
      <c r="Z786" s="2497"/>
      <c r="AA786" s="2497"/>
      <c r="AB786" s="2497"/>
      <c r="AC786" s="2497"/>
      <c r="AD786" s="2497"/>
      <c r="AE786" s="532"/>
      <c r="AF786" s="587"/>
      <c r="AG786" s="587"/>
      <c r="AH786" s="587"/>
      <c r="AI786" s="587"/>
      <c r="AJ786" s="587"/>
      <c r="AK786" s="587"/>
      <c r="AL786" s="587"/>
      <c r="AM786" s="606"/>
      <c r="AN786" s="675"/>
      <c r="AO786" s="604" t="s">
        <v>685</v>
      </c>
      <c r="AP786" s="544">
        <v>2</v>
      </c>
    </row>
    <row r="787" spans="1:81" s="563" customFormat="1">
      <c r="A787" s="544"/>
      <c r="B787" s="609"/>
      <c r="C787" s="931"/>
      <c r="D787" s="654"/>
      <c r="E787" s="2497"/>
      <c r="F787" s="2497"/>
      <c r="G787" s="2497"/>
      <c r="H787" s="2497"/>
      <c r="I787" s="2497"/>
      <c r="J787" s="2497"/>
      <c r="K787" s="2497"/>
      <c r="L787" s="2497"/>
      <c r="M787" s="2497"/>
      <c r="N787" s="2497"/>
      <c r="O787" s="2497"/>
      <c r="P787" s="2497"/>
      <c r="Q787" s="2497"/>
      <c r="R787" s="2497"/>
      <c r="S787" s="2497"/>
      <c r="T787" s="2497"/>
      <c r="U787" s="2497"/>
      <c r="V787" s="2497"/>
      <c r="W787" s="2497"/>
      <c r="X787" s="2497"/>
      <c r="Y787" s="2497"/>
      <c r="Z787" s="2497"/>
      <c r="AA787" s="2497"/>
      <c r="AB787" s="2497"/>
      <c r="AC787" s="2497"/>
      <c r="AD787" s="2497"/>
      <c r="AE787" s="532"/>
      <c r="AF787" s="532"/>
      <c r="AG787" s="532"/>
      <c r="AH787" s="532"/>
      <c r="AI787" s="532"/>
      <c r="AJ787" s="532"/>
      <c r="AK787" s="532"/>
      <c r="AL787" s="587"/>
      <c r="AM787" s="606"/>
      <c r="AN787" s="530"/>
      <c r="AO787" s="604" t="s">
        <v>507</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97"/>
      <c r="F788" s="2497"/>
      <c r="G788" s="2497"/>
      <c r="H788" s="2497"/>
      <c r="I788" s="2497"/>
      <c r="J788" s="2497"/>
      <c r="K788" s="2497"/>
      <c r="L788" s="2497"/>
      <c r="M788" s="2497"/>
      <c r="N788" s="2497"/>
      <c r="O788" s="2497"/>
      <c r="P788" s="2497"/>
      <c r="Q788" s="2497"/>
      <c r="R788" s="2497"/>
      <c r="S788" s="2497"/>
      <c r="T788" s="2497"/>
      <c r="U788" s="2497"/>
      <c r="V788" s="2497"/>
      <c r="W788" s="2497"/>
      <c r="X788" s="2497"/>
      <c r="Y788" s="2497"/>
      <c r="Z788" s="2497"/>
      <c r="AA788" s="2497"/>
      <c r="AB788" s="2497"/>
      <c r="AC788" s="2497"/>
      <c r="AD788" s="2497"/>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507</v>
      </c>
      <c r="E790" s="2570" t="s">
        <v>1683</v>
      </c>
      <c r="F790" s="2570"/>
      <c r="G790" s="2570"/>
      <c r="H790" s="2570"/>
      <c r="I790" s="2570"/>
      <c r="J790" s="2570"/>
      <c r="K790" s="2570"/>
      <c r="L790" s="2570"/>
      <c r="M790" s="2570"/>
      <c r="N790" s="2570"/>
      <c r="O790" s="2570"/>
      <c r="P790" s="2570"/>
      <c r="Q790" s="2570"/>
      <c r="R790" s="2570"/>
      <c r="S790" s="2570"/>
      <c r="T790" s="2570"/>
      <c r="U790" s="2570"/>
      <c r="V790" s="2570"/>
      <c r="W790" s="2570"/>
      <c r="X790" s="2570"/>
      <c r="Y790" s="2570"/>
      <c r="Z790" s="2570"/>
      <c r="AA790" s="2570"/>
      <c r="AB790" s="2570"/>
      <c r="AC790" s="2570"/>
      <c r="AD790" s="2570"/>
      <c r="AE790" s="532"/>
      <c r="AF790" s="2480" t="s">
        <v>1343</v>
      </c>
      <c r="AG790" s="2480"/>
      <c r="AH790" s="2480"/>
      <c r="AI790" s="2480"/>
      <c r="AJ790" s="2480"/>
      <c r="AK790" s="2480"/>
      <c r="AL790" s="2480"/>
      <c r="AM790" s="606"/>
      <c r="AN790" s="590"/>
    </row>
    <row r="791" spans="1:81" s="544" customFormat="1" ht="12.75" customHeight="1">
      <c r="B791" s="609"/>
      <c r="C791" s="931"/>
      <c r="D791" s="654"/>
      <c r="E791" s="2570"/>
      <c r="F791" s="2570"/>
      <c r="G791" s="2570"/>
      <c r="H791" s="2570"/>
      <c r="I791" s="2570"/>
      <c r="J791" s="2570"/>
      <c r="K791" s="2570"/>
      <c r="L791" s="2570"/>
      <c r="M791" s="2570"/>
      <c r="N791" s="2570"/>
      <c r="O791" s="2570"/>
      <c r="P791" s="2570"/>
      <c r="Q791" s="2570"/>
      <c r="R791" s="2570"/>
      <c r="S791" s="2570"/>
      <c r="T791" s="2570"/>
      <c r="U791" s="2570"/>
      <c r="V791" s="2570"/>
      <c r="W791" s="2570"/>
      <c r="X791" s="2570"/>
      <c r="Y791" s="2570"/>
      <c r="Z791" s="2570"/>
      <c r="AA791" s="2570"/>
      <c r="AB791" s="2570"/>
      <c r="AC791" s="2570"/>
      <c r="AD791" s="2570"/>
      <c r="AE791" s="587"/>
      <c r="AF791" s="587"/>
      <c r="AG791" s="587"/>
      <c r="AH791" s="587"/>
      <c r="AI791" s="587"/>
      <c r="AJ791" s="587"/>
      <c r="AK791" s="587"/>
      <c r="AL791" s="587"/>
      <c r="AM791" s="606"/>
      <c r="AN791" s="590"/>
    </row>
    <row r="792" spans="1:81" s="544" customFormat="1" ht="12.75" customHeight="1">
      <c r="B792" s="609"/>
      <c r="C792" s="931"/>
      <c r="D792" s="654"/>
      <c r="E792" s="2570"/>
      <c r="F792" s="2570"/>
      <c r="G792" s="2570"/>
      <c r="H792" s="2570"/>
      <c r="I792" s="2570"/>
      <c r="J792" s="2570"/>
      <c r="K792" s="2570"/>
      <c r="L792" s="2570"/>
      <c r="M792" s="2570"/>
      <c r="N792" s="2570"/>
      <c r="O792" s="2570"/>
      <c r="P792" s="2570"/>
      <c r="Q792" s="2570"/>
      <c r="R792" s="2570"/>
      <c r="S792" s="2570"/>
      <c r="T792" s="2570"/>
      <c r="U792" s="2570"/>
      <c r="V792" s="2570"/>
      <c r="W792" s="2570"/>
      <c r="X792" s="2570"/>
      <c r="Y792" s="2570"/>
      <c r="Z792" s="2570"/>
      <c r="AA792" s="2570"/>
      <c r="AB792" s="2570"/>
      <c r="AC792" s="2570"/>
      <c r="AD792" s="2570"/>
      <c r="AE792" s="587"/>
      <c r="AF792" s="587"/>
      <c r="AG792" s="587"/>
      <c r="AH792" s="587"/>
      <c r="AI792" s="587"/>
      <c r="AJ792" s="587"/>
      <c r="AK792" s="587"/>
      <c r="AL792" s="587"/>
      <c r="AM792" s="606"/>
      <c r="AN792" s="590"/>
    </row>
    <row r="793" spans="1:81" s="544" customFormat="1" ht="12.75" customHeight="1">
      <c r="B793" s="609"/>
      <c r="C793" s="931"/>
      <c r="D793" s="654"/>
      <c r="E793" s="2570"/>
      <c r="F793" s="2570"/>
      <c r="G793" s="2570"/>
      <c r="H793" s="2570"/>
      <c r="I793" s="2570"/>
      <c r="J793" s="2570"/>
      <c r="K793" s="2570"/>
      <c r="L793" s="2570"/>
      <c r="M793" s="2570"/>
      <c r="N793" s="2570"/>
      <c r="O793" s="2570"/>
      <c r="P793" s="2570"/>
      <c r="Q793" s="2570"/>
      <c r="R793" s="2570"/>
      <c r="S793" s="2570"/>
      <c r="T793" s="2570"/>
      <c r="U793" s="2570"/>
      <c r="V793" s="2570"/>
      <c r="W793" s="2570"/>
      <c r="X793" s="2570"/>
      <c r="Y793" s="2570"/>
      <c r="Z793" s="2570"/>
      <c r="AA793" s="2570"/>
      <c r="AB793" s="2570"/>
      <c r="AC793" s="2570"/>
      <c r="AD793" s="2570"/>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1389</v>
      </c>
      <c r="E795" s="927"/>
      <c r="F795" s="927"/>
      <c r="G795" s="927"/>
      <c r="H795" s="2560" t="s">
        <v>589</v>
      </c>
      <c r="I795" s="2560"/>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1437</v>
      </c>
      <c r="AJ797" s="2505">
        <f>VLOOKUP($H$795,$AO$785:$AP$787,2,FALSE)</f>
        <v>0</v>
      </c>
      <c r="AK797" s="2507"/>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1438</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589</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 customHeight="1">
      <c r="A801" s="544"/>
      <c r="B801" s="609"/>
      <c r="C801" s="931"/>
      <c r="D801" s="654" t="s">
        <v>685</v>
      </c>
      <c r="E801" s="2497" t="s">
        <v>2626</v>
      </c>
      <c r="F801" s="2497"/>
      <c r="G801" s="2497"/>
      <c r="H801" s="2497"/>
      <c r="I801" s="2497"/>
      <c r="J801" s="2497"/>
      <c r="K801" s="2497"/>
      <c r="L801" s="2497"/>
      <c r="M801" s="2497"/>
      <c r="N801" s="2497"/>
      <c r="O801" s="2497"/>
      <c r="P801" s="2497"/>
      <c r="Q801" s="2497"/>
      <c r="R801" s="2497"/>
      <c r="S801" s="2497"/>
      <c r="T801" s="2497"/>
      <c r="U801" s="2497"/>
      <c r="V801" s="2497"/>
      <c r="W801" s="2497"/>
      <c r="X801" s="2497"/>
      <c r="Y801" s="2497"/>
      <c r="Z801" s="2497"/>
      <c r="AA801" s="2497"/>
      <c r="AB801" s="2497"/>
      <c r="AC801" s="2497"/>
      <c r="AD801" s="2497"/>
      <c r="AE801" s="532"/>
      <c r="AF801" s="2480" t="s">
        <v>1343</v>
      </c>
      <c r="AG801" s="2480"/>
      <c r="AH801" s="2480"/>
      <c r="AI801" s="2480"/>
      <c r="AJ801" s="2480"/>
      <c r="AK801" s="2480"/>
      <c r="AL801" s="2480"/>
      <c r="AM801" s="606"/>
      <c r="AN801" s="675"/>
      <c r="AO801" s="604" t="s">
        <v>543</v>
      </c>
      <c r="AP801" s="544">
        <v>3</v>
      </c>
      <c r="AT801" s="665"/>
      <c r="AU801" s="665"/>
      <c r="AV801" s="665"/>
      <c r="AW801" s="665"/>
      <c r="AX801" s="665"/>
      <c r="AY801" s="665"/>
      <c r="AZ801" s="665"/>
    </row>
    <row r="802" spans="1:81" s="563" customFormat="1" ht="13.7" customHeight="1">
      <c r="A802" s="544"/>
      <c r="B802" s="609"/>
      <c r="C802" s="931"/>
      <c r="D802" s="654"/>
      <c r="E802" s="2497"/>
      <c r="F802" s="2497"/>
      <c r="G802" s="2497"/>
      <c r="H802" s="2497"/>
      <c r="I802" s="2497"/>
      <c r="J802" s="2497"/>
      <c r="K802" s="2497"/>
      <c r="L802" s="2497"/>
      <c r="M802" s="2497"/>
      <c r="N802" s="2497"/>
      <c r="O802" s="2497"/>
      <c r="P802" s="2497"/>
      <c r="Q802" s="2497"/>
      <c r="R802" s="2497"/>
      <c r="S802" s="2497"/>
      <c r="T802" s="2497"/>
      <c r="U802" s="2497"/>
      <c r="V802" s="2497"/>
      <c r="W802" s="2497"/>
      <c r="X802" s="2497"/>
      <c r="Y802" s="2497"/>
      <c r="Z802" s="2497"/>
      <c r="AA802" s="2497"/>
      <c r="AB802" s="2497"/>
      <c r="AC802" s="2497"/>
      <c r="AD802" s="2497"/>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97"/>
      <c r="F803" s="2497"/>
      <c r="G803" s="2497"/>
      <c r="H803" s="2497"/>
      <c r="I803" s="2497"/>
      <c r="J803" s="2497"/>
      <c r="K803" s="2497"/>
      <c r="L803" s="2497"/>
      <c r="M803" s="2497"/>
      <c r="N803" s="2497"/>
      <c r="O803" s="2497"/>
      <c r="P803" s="2497"/>
      <c r="Q803" s="2497"/>
      <c r="R803" s="2497"/>
      <c r="S803" s="2497"/>
      <c r="T803" s="2497"/>
      <c r="U803" s="2497"/>
      <c r="V803" s="2497"/>
      <c r="W803" s="2497"/>
      <c r="X803" s="2497"/>
      <c r="Y803" s="2497"/>
      <c r="Z803" s="2497"/>
      <c r="AA803" s="2497"/>
      <c r="AB803" s="2497"/>
      <c r="AC803" s="2497"/>
      <c r="AD803" s="2497"/>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97"/>
      <c r="F804" s="2497"/>
      <c r="G804" s="2497"/>
      <c r="H804" s="2497"/>
      <c r="I804" s="2497"/>
      <c r="J804" s="2497"/>
      <c r="K804" s="2497"/>
      <c r="L804" s="2497"/>
      <c r="M804" s="2497"/>
      <c r="N804" s="2497"/>
      <c r="O804" s="2497"/>
      <c r="P804" s="2497"/>
      <c r="Q804" s="2497"/>
      <c r="R804" s="2497"/>
      <c r="S804" s="2497"/>
      <c r="T804" s="2497"/>
      <c r="U804" s="2497"/>
      <c r="V804" s="2497"/>
      <c r="W804" s="2497"/>
      <c r="X804" s="2497"/>
      <c r="Y804" s="2497"/>
      <c r="Z804" s="2497"/>
      <c r="AA804" s="2497"/>
      <c r="AB804" s="2497"/>
      <c r="AC804" s="2497"/>
      <c r="AD804" s="2497"/>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1389</v>
      </c>
      <c r="E806" s="927"/>
      <c r="F806" s="927"/>
      <c r="G806" s="927"/>
      <c r="H806" s="2560" t="s">
        <v>543</v>
      </c>
      <c r="I806" s="2560"/>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1439</v>
      </c>
      <c r="AJ808" s="2505">
        <f>VLOOKUP($H$806,$AO$800:$AP$801,2,FALSE)</f>
        <v>3</v>
      </c>
      <c r="AK808" s="2507"/>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2587</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685</v>
      </c>
      <c r="E812" s="2497" t="s">
        <v>2588</v>
      </c>
      <c r="F812" s="2497"/>
      <c r="G812" s="2497"/>
      <c r="H812" s="2497"/>
      <c r="I812" s="2497"/>
      <c r="J812" s="2497"/>
      <c r="K812" s="2497"/>
      <c r="L812" s="2497"/>
      <c r="M812" s="2497"/>
      <c r="N812" s="2497"/>
      <c r="O812" s="2497"/>
      <c r="P812" s="2497"/>
      <c r="Q812" s="2497"/>
      <c r="R812" s="2497"/>
      <c r="S812" s="2497"/>
      <c r="T812" s="2497"/>
      <c r="U812" s="2497"/>
      <c r="V812" s="2497"/>
      <c r="W812" s="2497"/>
      <c r="X812" s="2497"/>
      <c r="Y812" s="2497"/>
      <c r="Z812" s="2497"/>
      <c r="AA812" s="2497"/>
      <c r="AB812" s="2497"/>
      <c r="AC812" s="2497"/>
      <c r="AD812" s="2497"/>
      <c r="AE812" s="545"/>
      <c r="AF812" s="2480" t="s">
        <v>1368</v>
      </c>
      <c r="AG812" s="2480"/>
      <c r="AH812" s="2480"/>
      <c r="AI812" s="2480"/>
      <c r="AJ812" s="2480"/>
      <c r="AK812" s="2480"/>
      <c r="AL812" s="2480"/>
      <c r="AN812" s="590"/>
    </row>
    <row r="813" spans="1:81" s="544" customFormat="1" ht="12.75" customHeight="1">
      <c r="B813" s="609"/>
      <c r="C813" s="679"/>
      <c r="D813" s="654"/>
      <c r="E813" s="2497"/>
      <c r="F813" s="2497"/>
      <c r="G813" s="2497"/>
      <c r="H813" s="2497"/>
      <c r="I813" s="2497"/>
      <c r="J813" s="2497"/>
      <c r="K813" s="2497"/>
      <c r="L813" s="2497"/>
      <c r="M813" s="2497"/>
      <c r="N813" s="2497"/>
      <c r="O813" s="2497"/>
      <c r="P813" s="2497"/>
      <c r="Q813" s="2497"/>
      <c r="R813" s="2497"/>
      <c r="S813" s="2497"/>
      <c r="T813" s="2497"/>
      <c r="U813" s="2497"/>
      <c r="V813" s="2497"/>
      <c r="W813" s="2497"/>
      <c r="X813" s="2497"/>
      <c r="Y813" s="2497"/>
      <c r="Z813" s="2497"/>
      <c r="AA813" s="2497"/>
      <c r="AB813" s="2497"/>
      <c r="AC813" s="2497"/>
      <c r="AD813" s="2497"/>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1389</v>
      </c>
      <c r="E815" s="927"/>
      <c r="F815" s="927"/>
      <c r="G815" s="927"/>
      <c r="H815" s="2560" t="s">
        <v>589</v>
      </c>
      <c r="I815" s="2560"/>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2589</v>
      </c>
      <c r="AJ817" s="2505">
        <f>IF(H815="Yes",5,0)</f>
        <v>0</v>
      </c>
      <c r="AK817" s="2507"/>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1440</v>
      </c>
      <c r="AK819" s="2505">
        <f>IF(($AJ$634+$AJ$653+$AJ$665+$AJ$700+$AJ$727+$AJ$741+$AJ$753+$AJ$769+$AJ$781+$AJ$797+AJ808+AJ817)&gt;10,10,($AJ$634+$AJ$653+$AJ$665+$AJ$700+$AJ$727+$AJ$741+$AJ$753+$AJ$769+$AJ$781+$AJ$797+AJ808+AJ817))</f>
        <v>10</v>
      </c>
      <c r="AL819" s="2506"/>
      <c r="AM819" s="2507"/>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7"/>
      <c r="B821" s="1268" t="s">
        <v>2655</v>
      </c>
      <c r="C821" s="1269"/>
      <c r="D821" s="1269"/>
      <c r="E821" s="1269"/>
      <c r="F821" s="1269"/>
      <c r="G821" s="1269"/>
      <c r="H821" s="1269"/>
      <c r="I821" s="1269"/>
      <c r="J821" s="1269"/>
      <c r="K821" s="1269"/>
      <c r="L821" s="1269"/>
      <c r="M821" s="1269"/>
      <c r="N821" s="1269"/>
      <c r="O821" s="1269"/>
      <c r="P821" s="1269"/>
      <c r="Q821" s="1269"/>
      <c r="R821" s="1269"/>
      <c r="S821" s="1269"/>
      <c r="T821" s="1269"/>
      <c r="U821" s="1269"/>
      <c r="V821" s="1269"/>
      <c r="W821" s="1269"/>
      <c r="X821" s="1269"/>
      <c r="Y821" s="1269"/>
      <c r="Z821" s="1269"/>
      <c r="AA821" s="1269"/>
      <c r="AB821" s="1269"/>
      <c r="AC821" s="1270"/>
      <c r="AD821" s="1269"/>
      <c r="AE821" s="1267"/>
      <c r="AF821" s="1267"/>
      <c r="AG821" s="1267"/>
      <c r="AH821" s="1267"/>
      <c r="AI821" s="1271"/>
      <c r="AJ821" s="1272"/>
      <c r="AK821" s="1272"/>
      <c r="AL821" s="1272"/>
      <c r="AM821" s="1267"/>
      <c r="AN821" s="1273"/>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3"/>
    </row>
    <row r="823" spans="1:81" s="22" customFormat="1" ht="12.75" customHeight="1">
      <c r="B823" s="3" t="s">
        <v>2656</v>
      </c>
      <c r="C823" s="3"/>
      <c r="D823" s="3"/>
      <c r="E823" s="3"/>
      <c r="F823" s="3"/>
      <c r="G823"/>
      <c r="H823" s="1396" t="s">
        <v>2786</v>
      </c>
      <c r="I823" s="1397"/>
      <c r="J823" s="1397"/>
      <c r="K823" s="1397"/>
      <c r="L823" s="1397"/>
      <c r="M823" s="1397"/>
      <c r="N823" s="1397"/>
      <c r="O823" s="1397"/>
      <c r="P823" s="1397"/>
      <c r="Q823" s="1397"/>
      <c r="R823" s="1397"/>
      <c r="S823"/>
      <c r="T823" s="3" t="s">
        <v>2656</v>
      </c>
      <c r="U823"/>
      <c r="V823" s="3"/>
      <c r="W823" s="3"/>
      <c r="X823" s="3"/>
      <c r="Y823" s="3"/>
      <c r="Z823"/>
      <c r="AA823" s="1396" t="s">
        <v>2789</v>
      </c>
      <c r="AB823" s="1397"/>
      <c r="AC823" s="1397"/>
      <c r="AD823" s="1397"/>
      <c r="AE823" s="1397"/>
      <c r="AF823" s="1397"/>
      <c r="AG823" s="1397"/>
      <c r="AH823" s="1397"/>
      <c r="AI823" s="1397"/>
      <c r="AJ823" s="1397"/>
      <c r="AK823" s="1397"/>
      <c r="AL823" s="350"/>
      <c r="AN823" s="1273"/>
      <c r="AP823"/>
    </row>
    <row r="824" spans="1:81" s="22" customFormat="1" ht="12.75" customHeight="1">
      <c r="B824" s="3" t="s">
        <v>469</v>
      </c>
      <c r="C824" s="3"/>
      <c r="D824" s="3"/>
      <c r="E824" s="3"/>
      <c r="F824" s="3"/>
      <c r="G824"/>
      <c r="H824" s="1412" t="s">
        <v>2783</v>
      </c>
      <c r="I824" s="1420"/>
      <c r="J824" s="1420"/>
      <c r="K824" s="1420"/>
      <c r="L824" s="1420"/>
      <c r="M824" s="1420"/>
      <c r="N824" s="1420"/>
      <c r="O824" s="1420"/>
      <c r="P824" s="1420"/>
      <c r="Q824" s="1420"/>
      <c r="R824" s="1420"/>
      <c r="S824"/>
      <c r="T824" s="3" t="s">
        <v>469</v>
      </c>
      <c r="U824"/>
      <c r="V824" s="3"/>
      <c r="W824" s="3"/>
      <c r="X824" s="3"/>
      <c r="Y824" s="3"/>
      <c r="Z824"/>
      <c r="AA824" s="1412" t="s">
        <v>2790</v>
      </c>
      <c r="AB824" s="1420"/>
      <c r="AC824" s="1420"/>
      <c r="AD824" s="1420"/>
      <c r="AE824" s="1420"/>
      <c r="AF824" s="1420"/>
      <c r="AG824" s="1420"/>
      <c r="AH824" s="1420"/>
      <c r="AI824" s="1420"/>
      <c r="AJ824" s="1420"/>
      <c r="AK824" s="1420"/>
      <c r="AL824" s="350"/>
      <c r="AN824" s="1273"/>
      <c r="AP824"/>
    </row>
    <row r="825" spans="1:81" s="22" customFormat="1" ht="12.75" customHeight="1">
      <c r="B825" s="3" t="s">
        <v>2657</v>
      </c>
      <c r="C825" s="3"/>
      <c r="D825" s="3"/>
      <c r="E825" s="3"/>
      <c r="F825" s="3"/>
      <c r="G825"/>
      <c r="H825" s="1412" t="s">
        <v>2791</v>
      </c>
      <c r="I825" s="1420"/>
      <c r="J825" s="1420"/>
      <c r="K825" s="1420"/>
      <c r="L825" s="1420"/>
      <c r="M825" s="1420"/>
      <c r="N825" s="1420"/>
      <c r="O825" s="1420"/>
      <c r="P825" s="1420"/>
      <c r="Q825" s="1420"/>
      <c r="R825" s="1420"/>
      <c r="S825"/>
      <c r="T825" s="3" t="s">
        <v>2657</v>
      </c>
      <c r="U825"/>
      <c r="V825" s="3"/>
      <c r="W825" s="3"/>
      <c r="X825" s="3"/>
      <c r="Y825" s="3"/>
      <c r="Z825"/>
      <c r="AA825" s="1412" t="s">
        <v>2791</v>
      </c>
      <c r="AB825" s="1420"/>
      <c r="AC825" s="1420"/>
      <c r="AD825" s="1420"/>
      <c r="AE825" s="1420"/>
      <c r="AF825" s="1420"/>
      <c r="AG825" s="1420"/>
      <c r="AH825" s="1420"/>
      <c r="AI825" s="1420"/>
      <c r="AJ825" s="1420"/>
      <c r="AK825" s="1420"/>
      <c r="AL825" s="350"/>
      <c r="AN825" s="1273"/>
      <c r="AO825" s="1274"/>
      <c r="AP825"/>
    </row>
    <row r="826" spans="1:81" s="22" customFormat="1" ht="12.75" customHeight="1">
      <c r="B826" s="3" t="s">
        <v>87</v>
      </c>
      <c r="C826" s="3"/>
      <c r="D826" s="3"/>
      <c r="E826" s="3"/>
      <c r="F826" s="3"/>
      <c r="G826"/>
      <c r="H826" s="1412" t="s">
        <v>2784</v>
      </c>
      <c r="I826" s="1420"/>
      <c r="J826" s="1420"/>
      <c r="K826" s="1420"/>
      <c r="L826" s="1420"/>
      <c r="M826" s="1420"/>
      <c r="N826" s="1420"/>
      <c r="O826" s="1420"/>
      <c r="P826" s="1420"/>
      <c r="Q826" s="1420"/>
      <c r="R826" s="1420"/>
      <c r="S826"/>
      <c r="T826" s="3" t="s">
        <v>87</v>
      </c>
      <c r="U826"/>
      <c r="V826" s="3"/>
      <c r="W826" s="3"/>
      <c r="X826" s="3"/>
      <c r="Y826" s="3"/>
      <c r="Z826"/>
      <c r="AA826" s="1412" t="s">
        <v>2793</v>
      </c>
      <c r="AB826" s="1420"/>
      <c r="AC826" s="1420"/>
      <c r="AD826" s="1420"/>
      <c r="AE826" s="1420"/>
      <c r="AF826" s="1420"/>
      <c r="AG826" s="1420"/>
      <c r="AH826" s="1420"/>
      <c r="AI826" s="1420"/>
      <c r="AJ826" s="1420"/>
      <c r="AK826" s="1420"/>
      <c r="AL826" s="350"/>
      <c r="AN826" s="1273"/>
      <c r="AO826" s="1274"/>
      <c r="AP826"/>
    </row>
    <row r="827" spans="1:81" s="22" customFormat="1" ht="12.75" customHeight="1">
      <c r="B827" s="3" t="s">
        <v>88</v>
      </c>
      <c r="C827" s="3"/>
      <c r="D827" s="3"/>
      <c r="E827" s="3"/>
      <c r="F827" s="3"/>
      <c r="G827" s="3"/>
      <c r="H827" s="1442" t="s">
        <v>2785</v>
      </c>
      <c r="I827" s="1442"/>
      <c r="J827" s="1442"/>
      <c r="K827" s="1442"/>
      <c r="L827" s="1442"/>
      <c r="M827" s="1442"/>
      <c r="N827" s="3" t="s">
        <v>205</v>
      </c>
      <c r="O827" s="3"/>
      <c r="P827" s="1396"/>
      <c r="Q827" s="1396"/>
      <c r="R827" s="1396"/>
      <c r="S827" s="3"/>
      <c r="T827" s="3" t="s">
        <v>88</v>
      </c>
      <c r="U827"/>
      <c r="V827" s="3"/>
      <c r="W827" s="3"/>
      <c r="X827" s="3"/>
      <c r="Y827" s="3"/>
      <c r="Z827"/>
      <c r="AA827" s="1442" t="s">
        <v>2792</v>
      </c>
      <c r="AB827" s="1442"/>
      <c r="AC827" s="1442"/>
      <c r="AD827" s="1442"/>
      <c r="AE827" s="1442"/>
      <c r="AF827" s="1442"/>
      <c r="AG827" s="3" t="s">
        <v>205</v>
      </c>
      <c r="AH827" s="3"/>
      <c r="AI827" s="1396"/>
      <c r="AJ827" s="1396"/>
      <c r="AK827" s="1396"/>
      <c r="AL827" s="350"/>
      <c r="AN827" s="1273"/>
      <c r="AO827" s="1274"/>
      <c r="AP827"/>
    </row>
    <row r="828" spans="1:81" s="22" customFormat="1" ht="12.75" customHeight="1">
      <c r="B828" s="3" t="s">
        <v>2658</v>
      </c>
      <c r="C828" s="3"/>
      <c r="D828" s="3"/>
      <c r="E828" s="3"/>
      <c r="F828" s="3"/>
      <c r="G828" s="3"/>
      <c r="H828" s="1420"/>
      <c r="I828" s="1420"/>
      <c r="J828" s="1420"/>
      <c r="K828" s="1420"/>
      <c r="L828" s="1420"/>
      <c r="M828" s="1420"/>
      <c r="N828" s="1420"/>
      <c r="O828" s="1420"/>
      <c r="P828" s="1420"/>
      <c r="Q828" s="1420"/>
      <c r="R828" s="1420"/>
      <c r="S828" s="3"/>
      <c r="T828" s="3" t="s">
        <v>2658</v>
      </c>
      <c r="U828"/>
      <c r="V828" s="3"/>
      <c r="W828" s="3"/>
      <c r="X828" s="3"/>
      <c r="Y828" s="3"/>
      <c r="Z828"/>
      <c r="AA828" s="1420"/>
      <c r="AB828" s="1420"/>
      <c r="AC828" s="1420"/>
      <c r="AD828" s="1420"/>
      <c r="AE828" s="1420"/>
      <c r="AF828" s="1420"/>
      <c r="AG828" s="1420"/>
      <c r="AH828" s="1420"/>
      <c r="AI828" s="1420"/>
      <c r="AJ828" s="1420"/>
      <c r="AK828" s="1420"/>
      <c r="AL828" s="350"/>
      <c r="AN828" s="1273"/>
      <c r="AO828" s="1274"/>
      <c r="AP828"/>
    </row>
    <row r="829" spans="1:81" s="22" customFormat="1" ht="12.75" customHeight="1">
      <c r="B829" s="3" t="s">
        <v>2659</v>
      </c>
      <c r="C829" s="3"/>
      <c r="D829" s="3"/>
      <c r="E829" s="3"/>
      <c r="F829" s="3"/>
      <c r="G829" s="3"/>
      <c r="H829" s="1412" t="s">
        <v>2788</v>
      </c>
      <c r="I829" s="1420"/>
      <c r="J829" s="1420"/>
      <c r="K829" s="1420"/>
      <c r="L829" s="1420"/>
      <c r="M829" s="1420"/>
      <c r="N829" s="1420"/>
      <c r="O829" s="1420"/>
      <c r="P829" s="1420"/>
      <c r="Q829" s="1420"/>
      <c r="R829" s="1420"/>
      <c r="S829" s="3"/>
      <c r="T829" s="3" t="s">
        <v>2659</v>
      </c>
      <c r="U829"/>
      <c r="V829" s="3"/>
      <c r="W829" s="3"/>
      <c r="X829" s="3"/>
      <c r="Y829" s="3"/>
      <c r="Z829"/>
      <c r="AA829" s="1412" t="s">
        <v>2794</v>
      </c>
      <c r="AB829" s="1420"/>
      <c r="AC829" s="1420"/>
      <c r="AD829" s="1420"/>
      <c r="AE829" s="1420"/>
      <c r="AF829" s="1420"/>
      <c r="AG829" s="1420"/>
      <c r="AH829" s="1420"/>
      <c r="AI829" s="1420"/>
      <c r="AJ829" s="1420"/>
      <c r="AK829" s="1420"/>
      <c r="AL829" s="350"/>
      <c r="AN829" s="1273"/>
      <c r="AP829"/>
    </row>
    <row r="830" spans="1:81" s="22" customFormat="1" ht="12.75" customHeight="1">
      <c r="B830" s="3" t="s">
        <v>2660</v>
      </c>
      <c r="C830" s="3"/>
      <c r="D830" s="3"/>
      <c r="E830" s="3"/>
      <c r="F830" s="3"/>
      <c r="G830" s="3"/>
      <c r="H830" s="2417" t="s">
        <v>2787</v>
      </c>
      <c r="I830" s="1725"/>
      <c r="J830" s="1725"/>
      <c r="K830" s="1725"/>
      <c r="L830" s="1725"/>
      <c r="M830" s="1725"/>
      <c r="N830" s="1725"/>
      <c r="O830" s="1725"/>
      <c r="P830" s="1725"/>
      <c r="Q830" s="1725"/>
      <c r="R830" s="1725"/>
      <c r="S830" s="3"/>
      <c r="T830" s="3" t="s">
        <v>2660</v>
      </c>
      <c r="U830" s="3"/>
      <c r="V830" s="3"/>
      <c r="W830" s="3"/>
      <c r="X830" s="3"/>
      <c r="Y830" s="3"/>
      <c r="Z830" s="8"/>
      <c r="AA830" s="2417" t="s">
        <v>2795</v>
      </c>
      <c r="AB830" s="1725"/>
      <c r="AC830" s="1725"/>
      <c r="AD830" s="1725"/>
      <c r="AE830" s="1725"/>
      <c r="AF830" s="1725"/>
      <c r="AG830" s="1725"/>
      <c r="AH830" s="1725"/>
      <c r="AI830" s="1725"/>
      <c r="AJ830" s="1725"/>
      <c r="AK830" s="1725"/>
      <c r="AL830" s="350"/>
      <c r="AN830" s="1273"/>
      <c r="AP830"/>
    </row>
    <row r="831" spans="1:81" s="22" customFormat="1" ht="12.75" customHeight="1">
      <c r="B831" s="3"/>
      <c r="C831" s="3"/>
      <c r="D831" s="3"/>
      <c r="E831" s="3"/>
      <c r="F831" s="3"/>
      <c r="G831" s="3"/>
      <c r="H831" s="1275"/>
      <c r="I831" s="1275"/>
      <c r="J831" s="1275"/>
      <c r="K831" s="1275"/>
      <c r="L831" s="1275"/>
      <c r="M831" s="1275"/>
      <c r="N831" s="1275"/>
      <c r="O831" s="1275"/>
      <c r="P831" s="1276"/>
      <c r="Q831" s="1276"/>
      <c r="R831" s="1276"/>
      <c r="S831" s="3"/>
      <c r="T831" s="3"/>
      <c r="U831" s="3"/>
      <c r="V831" s="3"/>
      <c r="W831" s="3"/>
      <c r="X831" s="3"/>
      <c r="Y831" s="3"/>
      <c r="Z831" s="1277"/>
      <c r="AA831" s="1277"/>
      <c r="AB831" s="1277"/>
      <c r="AC831" s="1277"/>
      <c r="AD831" s="1277"/>
      <c r="AE831" s="1277"/>
      <c r="AF831" s="1277"/>
      <c r="AG831" s="1277"/>
      <c r="AH831" s="8"/>
      <c r="AI831" s="8"/>
      <c r="AJ831" s="8"/>
      <c r="AK831" s="3"/>
      <c r="AL831" s="350"/>
      <c r="AN831" s="1273"/>
      <c r="AP831"/>
    </row>
    <row r="832" spans="1:81" s="22" customFormat="1" ht="12.75" customHeight="1">
      <c r="B832" s="3" t="s">
        <v>2656</v>
      </c>
      <c r="C832" s="3"/>
      <c r="D832" s="3"/>
      <c r="E832" s="3"/>
      <c r="F832" s="3"/>
      <c r="G832"/>
      <c r="H832" s="1396" t="s">
        <v>2796</v>
      </c>
      <c r="I832" s="1397"/>
      <c r="J832" s="1397"/>
      <c r="K832" s="1397"/>
      <c r="L832" s="1397"/>
      <c r="M832" s="1397"/>
      <c r="N832" s="1397"/>
      <c r="O832" s="1397"/>
      <c r="P832" s="1397"/>
      <c r="Q832" s="1397"/>
      <c r="R832" s="1397"/>
      <c r="S832"/>
      <c r="T832" s="3" t="s">
        <v>2656</v>
      </c>
      <c r="U832"/>
      <c r="V832" s="3"/>
      <c r="W832" s="3"/>
      <c r="X832" s="3"/>
      <c r="Y832" s="3"/>
      <c r="Z832"/>
      <c r="AA832" s="1396" t="s">
        <v>2802</v>
      </c>
      <c r="AB832" s="1397"/>
      <c r="AC832" s="1397"/>
      <c r="AD832" s="1397"/>
      <c r="AE832" s="1397"/>
      <c r="AF832" s="1397"/>
      <c r="AG832" s="1397"/>
      <c r="AH832" s="1397"/>
      <c r="AI832" s="1397"/>
      <c r="AJ832" s="1397"/>
      <c r="AK832" s="1397"/>
      <c r="AL832" s="350"/>
      <c r="AN832" s="1273"/>
      <c r="AP832"/>
    </row>
    <row r="833" spans="1:42" s="1278" customFormat="1" ht="12.75" customHeight="1">
      <c r="A833" s="22"/>
      <c r="B833" s="3" t="s">
        <v>469</v>
      </c>
      <c r="C833" s="3"/>
      <c r="D833" s="3"/>
      <c r="E833" s="3"/>
      <c r="F833" s="3"/>
      <c r="G833"/>
      <c r="H833" s="1412" t="s">
        <v>2797</v>
      </c>
      <c r="I833" s="1420"/>
      <c r="J833" s="1420"/>
      <c r="K833" s="1420"/>
      <c r="L833" s="1420"/>
      <c r="M833" s="1420"/>
      <c r="N833" s="1420"/>
      <c r="O833" s="1420"/>
      <c r="P833" s="1420"/>
      <c r="Q833" s="1420"/>
      <c r="R833" s="1420"/>
      <c r="S833"/>
      <c r="T833" s="3" t="s">
        <v>469</v>
      </c>
      <c r="U833"/>
      <c r="V833" s="3"/>
      <c r="W833" s="3"/>
      <c r="X833" s="3"/>
      <c r="Y833" s="3"/>
      <c r="Z833"/>
      <c r="AA833" s="1412" t="s">
        <v>2803</v>
      </c>
      <c r="AB833" s="1420"/>
      <c r="AC833" s="1420"/>
      <c r="AD833" s="1420"/>
      <c r="AE833" s="1420"/>
      <c r="AF833" s="1420"/>
      <c r="AG833" s="1420"/>
      <c r="AH833" s="1420"/>
      <c r="AI833" s="1420"/>
      <c r="AJ833" s="1420"/>
      <c r="AK833" s="1420"/>
      <c r="AL833" s="350"/>
      <c r="AM833" s="22"/>
      <c r="AN833" s="1273"/>
      <c r="AO833" s="22"/>
      <c r="AP833" s="39"/>
    </row>
    <row r="834" spans="1:42" s="1278" customFormat="1" ht="12.75" customHeight="1">
      <c r="A834" s="22"/>
      <c r="B834" s="3" t="s">
        <v>2657</v>
      </c>
      <c r="C834" s="3"/>
      <c r="D834" s="3"/>
      <c r="E834" s="3"/>
      <c r="F834" s="3"/>
      <c r="G834"/>
      <c r="H834" s="1412" t="s">
        <v>2791</v>
      </c>
      <c r="I834" s="1420"/>
      <c r="J834" s="1420"/>
      <c r="K834" s="1420"/>
      <c r="L834" s="1420"/>
      <c r="M834" s="1420"/>
      <c r="N834" s="1420"/>
      <c r="O834" s="1420"/>
      <c r="P834" s="1420"/>
      <c r="Q834" s="1420"/>
      <c r="R834" s="1420"/>
      <c r="S834"/>
      <c r="T834" s="3" t="s">
        <v>2657</v>
      </c>
      <c r="U834"/>
      <c r="V834" s="3"/>
      <c r="W834" s="3"/>
      <c r="X834" s="3"/>
      <c r="Y834" s="3"/>
      <c r="Z834"/>
      <c r="AA834" s="1420" t="s">
        <v>2791</v>
      </c>
      <c r="AB834" s="1420"/>
      <c r="AC834" s="1420"/>
      <c r="AD834" s="1420"/>
      <c r="AE834" s="1420"/>
      <c r="AF834" s="1420"/>
      <c r="AG834" s="1420"/>
      <c r="AH834" s="1420"/>
      <c r="AI834" s="1420"/>
      <c r="AJ834" s="1420"/>
      <c r="AK834" s="1420"/>
      <c r="AL834" s="350"/>
      <c r="AM834" s="22"/>
      <c r="AN834" s="1273"/>
      <c r="AO834" s="22"/>
    </row>
    <row r="835" spans="1:42" s="22" customFormat="1" ht="12.75" customHeight="1">
      <c r="B835" s="3" t="s">
        <v>87</v>
      </c>
      <c r="C835" s="3"/>
      <c r="D835" s="3"/>
      <c r="E835" s="3"/>
      <c r="F835" s="3"/>
      <c r="G835"/>
      <c r="H835" s="1412" t="s">
        <v>2801</v>
      </c>
      <c r="I835" s="1420"/>
      <c r="J835" s="1420"/>
      <c r="K835" s="1420"/>
      <c r="L835" s="1420"/>
      <c r="M835" s="1420"/>
      <c r="N835" s="1420"/>
      <c r="O835" s="1420"/>
      <c r="P835" s="1420"/>
      <c r="Q835" s="1420"/>
      <c r="R835" s="1420"/>
      <c r="S835"/>
      <c r="T835" s="3" t="s">
        <v>87</v>
      </c>
      <c r="U835"/>
      <c r="V835" s="3"/>
      <c r="W835" s="3"/>
      <c r="X835" s="3"/>
      <c r="Y835" s="3"/>
      <c r="Z835"/>
      <c r="AA835" s="1412" t="s">
        <v>2805</v>
      </c>
      <c r="AB835" s="1420"/>
      <c r="AC835" s="1420"/>
      <c r="AD835" s="1420"/>
      <c r="AE835" s="1420"/>
      <c r="AF835" s="1420"/>
      <c r="AG835" s="1420"/>
      <c r="AH835" s="1420"/>
      <c r="AI835" s="1420"/>
      <c r="AJ835" s="1420"/>
      <c r="AK835" s="1420"/>
      <c r="AL835" s="350"/>
      <c r="AN835" s="1273"/>
    </row>
    <row r="836" spans="1:42" s="22" customFormat="1" ht="12.75" customHeight="1">
      <c r="B836" s="3" t="s">
        <v>88</v>
      </c>
      <c r="C836" s="3"/>
      <c r="D836" s="3"/>
      <c r="E836" s="3"/>
      <c r="F836" s="3"/>
      <c r="G836" s="3"/>
      <c r="H836" s="1442" t="s">
        <v>2800</v>
      </c>
      <c r="I836" s="1442"/>
      <c r="J836" s="1442"/>
      <c r="K836" s="1442"/>
      <c r="L836" s="1442"/>
      <c r="M836" s="1442"/>
      <c r="N836" s="3" t="s">
        <v>205</v>
      </c>
      <c r="O836" s="3"/>
      <c r="P836" s="1396"/>
      <c r="Q836" s="1396"/>
      <c r="R836" s="1396"/>
      <c r="S836" s="3"/>
      <c r="T836" s="3" t="s">
        <v>88</v>
      </c>
      <c r="U836"/>
      <c r="V836" s="3"/>
      <c r="W836" s="3"/>
      <c r="X836" s="3"/>
      <c r="Y836" s="3"/>
      <c r="Z836"/>
      <c r="AA836" s="1442" t="s">
        <v>2806</v>
      </c>
      <c r="AB836" s="1442"/>
      <c r="AC836" s="1442"/>
      <c r="AD836" s="1442"/>
      <c r="AE836" s="1442"/>
      <c r="AF836" s="1442"/>
      <c r="AG836" s="3" t="s">
        <v>205</v>
      </c>
      <c r="AH836" s="3"/>
      <c r="AI836" s="1396"/>
      <c r="AJ836" s="1396"/>
      <c r="AK836" s="1396"/>
      <c r="AL836" s="350"/>
      <c r="AN836" s="1273"/>
    </row>
    <row r="837" spans="1:42" s="22" customFormat="1" ht="12.75" customHeight="1">
      <c r="B837" s="3" t="s">
        <v>2658</v>
      </c>
      <c r="C837" s="3"/>
      <c r="D837" s="3"/>
      <c r="E837" s="3"/>
      <c r="F837" s="3"/>
      <c r="G837" s="3"/>
      <c r="H837" s="1420"/>
      <c r="I837" s="1420"/>
      <c r="J837" s="1420"/>
      <c r="K837" s="1420"/>
      <c r="L837" s="1420"/>
      <c r="M837" s="1420"/>
      <c r="N837" s="1420"/>
      <c r="O837" s="1420"/>
      <c r="P837" s="1420"/>
      <c r="Q837" s="1420"/>
      <c r="R837" s="1420"/>
      <c r="S837" s="3"/>
      <c r="T837" s="3" t="s">
        <v>2658</v>
      </c>
      <c r="U837"/>
      <c r="V837" s="3"/>
      <c r="W837" s="3"/>
      <c r="X837" s="3"/>
      <c r="Y837" s="3"/>
      <c r="Z837"/>
      <c r="AA837" s="1420"/>
      <c r="AB837" s="1420"/>
      <c r="AC837" s="1420"/>
      <c r="AD837" s="1420"/>
      <c r="AE837" s="1420"/>
      <c r="AF837" s="1420"/>
      <c r="AG837" s="1420"/>
      <c r="AH837" s="1420"/>
      <c r="AI837" s="1420"/>
      <c r="AJ837" s="1420"/>
      <c r="AK837" s="1420"/>
      <c r="AL837" s="350"/>
      <c r="AN837" s="1273"/>
    </row>
    <row r="838" spans="1:42" s="22" customFormat="1" ht="12.75" customHeight="1">
      <c r="B838" s="3" t="s">
        <v>2659</v>
      </c>
      <c r="C838" s="3"/>
      <c r="D838" s="3"/>
      <c r="E838" s="3"/>
      <c r="F838" s="3"/>
      <c r="G838" s="3"/>
      <c r="H838" s="1412" t="s">
        <v>2799</v>
      </c>
      <c r="I838" s="1420"/>
      <c r="J838" s="1420"/>
      <c r="K838" s="1420"/>
      <c r="L838" s="1420"/>
      <c r="M838" s="1420"/>
      <c r="N838" s="1420"/>
      <c r="O838" s="1420"/>
      <c r="P838" s="1420"/>
      <c r="Q838" s="1420"/>
      <c r="R838" s="1420"/>
      <c r="S838" s="3"/>
      <c r="T838" s="3" t="s">
        <v>2659</v>
      </c>
      <c r="U838"/>
      <c r="V838" s="3"/>
      <c r="W838" s="3"/>
      <c r="X838" s="3"/>
      <c r="Y838" s="3"/>
      <c r="Z838"/>
      <c r="AA838" s="1412" t="s">
        <v>2807</v>
      </c>
      <c r="AB838" s="1420"/>
      <c r="AC838" s="1420"/>
      <c r="AD838" s="1420"/>
      <c r="AE838" s="1420"/>
      <c r="AF838" s="1420"/>
      <c r="AG838" s="1420"/>
      <c r="AH838" s="1420"/>
      <c r="AI838" s="1420"/>
      <c r="AJ838" s="1420"/>
      <c r="AK838" s="1420"/>
      <c r="AL838" s="350"/>
      <c r="AN838" s="1273"/>
    </row>
    <row r="839" spans="1:42" s="22" customFormat="1" ht="12.75" customHeight="1">
      <c r="B839" s="3" t="s">
        <v>2660</v>
      </c>
      <c r="C839" s="3"/>
      <c r="D839" s="3"/>
      <c r="E839" s="3"/>
      <c r="F839" s="3"/>
      <c r="G839" s="3"/>
      <c r="H839" s="2417" t="s">
        <v>2798</v>
      </c>
      <c r="I839" s="1725"/>
      <c r="J839" s="1725"/>
      <c r="K839" s="1725"/>
      <c r="L839" s="1725"/>
      <c r="M839" s="1725"/>
      <c r="N839" s="1725"/>
      <c r="O839" s="1725"/>
      <c r="P839" s="1725"/>
      <c r="Q839" s="1725"/>
      <c r="R839" s="1725"/>
      <c r="S839" s="3"/>
      <c r="T839" s="3" t="s">
        <v>2660</v>
      </c>
      <c r="U839" s="3"/>
      <c r="V839" s="3"/>
      <c r="W839" s="3"/>
      <c r="X839" s="3"/>
      <c r="Y839" s="3"/>
      <c r="Z839" s="8"/>
      <c r="AA839" s="2417" t="s">
        <v>2804</v>
      </c>
      <c r="AB839" s="1725"/>
      <c r="AC839" s="1725"/>
      <c r="AD839" s="1725"/>
      <c r="AE839" s="1725"/>
      <c r="AF839" s="1725"/>
      <c r="AG839" s="1725"/>
      <c r="AH839" s="1725"/>
      <c r="AI839" s="1725"/>
      <c r="AJ839" s="1725"/>
      <c r="AK839" s="1725"/>
      <c r="AL839" s="350"/>
      <c r="AN839" s="1273"/>
    </row>
    <row r="840" spans="1:42" s="22" customFormat="1" ht="12.75" customHeight="1">
      <c r="B840" s="3"/>
      <c r="C840" s="3"/>
      <c r="D840" s="3"/>
      <c r="E840" s="3"/>
      <c r="F840" s="3"/>
      <c r="G840" s="3"/>
      <c r="H840" s="1275"/>
      <c r="I840" s="1275"/>
      <c r="J840" s="1275"/>
      <c r="K840" s="1275"/>
      <c r="L840" s="1275"/>
      <c r="M840" s="1275"/>
      <c r="N840" s="1275"/>
      <c r="O840" s="1275"/>
      <c r="P840" s="1276"/>
      <c r="Q840" s="1276"/>
      <c r="R840" s="1276"/>
      <c r="S840" s="3"/>
      <c r="T840" s="3"/>
      <c r="U840" s="3"/>
      <c r="V840" s="3"/>
      <c r="W840" s="3"/>
      <c r="X840" s="3"/>
      <c r="Y840" s="3"/>
      <c r="Z840" s="1277"/>
      <c r="AA840" s="1277"/>
      <c r="AB840" s="1277"/>
      <c r="AC840" s="1277"/>
      <c r="AD840" s="1277"/>
      <c r="AE840" s="1277"/>
      <c r="AF840" s="1277"/>
      <c r="AG840" s="1277"/>
      <c r="AH840" s="8"/>
      <c r="AI840" s="8"/>
      <c r="AJ840" s="8"/>
      <c r="AK840" s="3"/>
      <c r="AL840" s="350"/>
      <c r="AN840" s="1273"/>
    </row>
    <row r="841" spans="1:42" s="22" customFormat="1" ht="12.75" customHeight="1">
      <c r="B841" s="3" t="s">
        <v>2656</v>
      </c>
      <c r="C841" s="3"/>
      <c r="D841" s="3"/>
      <c r="E841" s="3"/>
      <c r="F841" s="3"/>
      <c r="G841"/>
      <c r="H841" s="1396" t="s">
        <v>2808</v>
      </c>
      <c r="I841" s="1397"/>
      <c r="J841" s="1397"/>
      <c r="K841" s="1397"/>
      <c r="L841" s="1397"/>
      <c r="M841" s="1397"/>
      <c r="N841" s="1397"/>
      <c r="O841" s="1397"/>
      <c r="P841" s="1397"/>
      <c r="Q841" s="1397"/>
      <c r="R841" s="1397"/>
      <c r="S841"/>
      <c r="T841" s="3" t="s">
        <v>2656</v>
      </c>
      <c r="U841"/>
      <c r="V841" s="3"/>
      <c r="W841" s="3"/>
      <c r="X841" s="3"/>
      <c r="Y841" s="3"/>
      <c r="Z841"/>
      <c r="AA841" s="1396" t="s">
        <v>2814</v>
      </c>
      <c r="AB841" s="1397"/>
      <c r="AC841" s="1397"/>
      <c r="AD841" s="1397"/>
      <c r="AE841" s="1397"/>
      <c r="AF841" s="1397"/>
      <c r="AG841" s="1397"/>
      <c r="AH841" s="1397"/>
      <c r="AI841" s="1397"/>
      <c r="AJ841" s="1397"/>
      <c r="AK841" s="1397"/>
      <c r="AL841" s="350"/>
      <c r="AN841" s="1273"/>
    </row>
    <row r="842" spans="1:42" s="22" customFormat="1" ht="12.75" customHeight="1">
      <c r="B842" s="3" t="s">
        <v>469</v>
      </c>
      <c r="C842" s="3"/>
      <c r="D842" s="3"/>
      <c r="E842" s="3"/>
      <c r="F842" s="3"/>
      <c r="G842"/>
      <c r="H842" s="1412" t="s">
        <v>2809</v>
      </c>
      <c r="I842" s="1420"/>
      <c r="J842" s="1420"/>
      <c r="K842" s="1420"/>
      <c r="L842" s="1420"/>
      <c r="M842" s="1420"/>
      <c r="N842" s="1420"/>
      <c r="O842" s="1420"/>
      <c r="P842" s="1420"/>
      <c r="Q842" s="1420"/>
      <c r="R842" s="1420"/>
      <c r="S842"/>
      <c r="T842" s="3" t="s">
        <v>469</v>
      </c>
      <c r="U842"/>
      <c r="V842" s="3"/>
      <c r="W842" s="3"/>
      <c r="X842" s="3"/>
      <c r="Y842" s="3"/>
      <c r="Z842"/>
      <c r="AA842" s="1412" t="s">
        <v>2815</v>
      </c>
      <c r="AB842" s="1420"/>
      <c r="AC842" s="1420"/>
      <c r="AD842" s="1420"/>
      <c r="AE842" s="1420"/>
      <c r="AF842" s="1420"/>
      <c r="AG842" s="1420"/>
      <c r="AH842" s="1420"/>
      <c r="AI842" s="1420"/>
      <c r="AJ842" s="1420"/>
      <c r="AK842" s="1420"/>
      <c r="AL842" s="350"/>
      <c r="AN842" s="1273"/>
    </row>
    <row r="843" spans="1:42" s="22" customFormat="1" ht="12.75" customHeight="1">
      <c r="B843" s="3" t="s">
        <v>2657</v>
      </c>
      <c r="C843" s="3"/>
      <c r="D843" s="3"/>
      <c r="E843" s="3"/>
      <c r="F843" s="3"/>
      <c r="G843"/>
      <c r="H843" s="1420" t="s">
        <v>2791</v>
      </c>
      <c r="I843" s="1420"/>
      <c r="J843" s="1420"/>
      <c r="K843" s="1420"/>
      <c r="L843" s="1420"/>
      <c r="M843" s="1420"/>
      <c r="N843" s="1420"/>
      <c r="O843" s="1420"/>
      <c r="P843" s="1420"/>
      <c r="Q843" s="1420"/>
      <c r="R843" s="1420"/>
      <c r="S843"/>
      <c r="T843" s="3" t="s">
        <v>2657</v>
      </c>
      <c r="U843"/>
      <c r="V843" s="3"/>
      <c r="W843" s="3"/>
      <c r="X843" s="3"/>
      <c r="Y843" s="3"/>
      <c r="Z843"/>
      <c r="AA843" s="1420" t="s">
        <v>2791</v>
      </c>
      <c r="AB843" s="1420"/>
      <c r="AC843" s="1420"/>
      <c r="AD843" s="1420"/>
      <c r="AE843" s="1420"/>
      <c r="AF843" s="1420"/>
      <c r="AG843" s="1420"/>
      <c r="AH843" s="1420"/>
      <c r="AI843" s="1420"/>
      <c r="AJ843" s="1420"/>
      <c r="AK843" s="1420"/>
      <c r="AL843" s="350"/>
      <c r="AN843" s="1273"/>
    </row>
    <row r="844" spans="1:42" s="22" customFormat="1" ht="12.75" customHeight="1">
      <c r="B844" s="3" t="s">
        <v>87</v>
      </c>
      <c r="C844" s="3"/>
      <c r="D844" s="3"/>
      <c r="E844" s="3"/>
      <c r="F844" s="3"/>
      <c r="G844"/>
      <c r="H844" s="1412" t="s">
        <v>2810</v>
      </c>
      <c r="I844" s="1420"/>
      <c r="J844" s="1420"/>
      <c r="K844" s="1420"/>
      <c r="L844" s="1420"/>
      <c r="M844" s="1420"/>
      <c r="N844" s="1420"/>
      <c r="O844" s="1420"/>
      <c r="P844" s="1420"/>
      <c r="Q844" s="1420"/>
      <c r="R844" s="1420"/>
      <c r="S844"/>
      <c r="T844" s="3" t="s">
        <v>87</v>
      </c>
      <c r="U844"/>
      <c r="V844" s="3"/>
      <c r="W844" s="3"/>
      <c r="X844" s="3"/>
      <c r="Y844" s="3"/>
      <c r="Z844"/>
      <c r="AA844" s="1412" t="s">
        <v>2819</v>
      </c>
      <c r="AB844" s="1420"/>
      <c r="AC844" s="1420"/>
      <c r="AD844" s="1420"/>
      <c r="AE844" s="1420"/>
      <c r="AF844" s="1420"/>
      <c r="AG844" s="1420"/>
      <c r="AH844" s="1420"/>
      <c r="AI844" s="1420"/>
      <c r="AJ844" s="1420"/>
      <c r="AK844" s="1420"/>
      <c r="AL844" s="350"/>
      <c r="AN844" s="1273"/>
    </row>
    <row r="845" spans="1:42" s="22" customFormat="1" ht="12.75" customHeight="1">
      <c r="B845" s="3" t="s">
        <v>88</v>
      </c>
      <c r="C845" s="3"/>
      <c r="D845" s="3"/>
      <c r="E845" s="3"/>
      <c r="F845" s="3"/>
      <c r="G845" s="3"/>
      <c r="H845" s="1442" t="s">
        <v>2811</v>
      </c>
      <c r="I845" s="1442"/>
      <c r="J845" s="1442"/>
      <c r="K845" s="1442"/>
      <c r="L845" s="1442"/>
      <c r="M845" s="1442"/>
      <c r="N845" s="3" t="s">
        <v>205</v>
      </c>
      <c r="O845" s="3"/>
      <c r="P845" s="1396"/>
      <c r="Q845" s="1396"/>
      <c r="R845" s="1396"/>
      <c r="S845" s="3"/>
      <c r="T845" s="3" t="s">
        <v>88</v>
      </c>
      <c r="U845"/>
      <c r="V845" s="3"/>
      <c r="W845" s="3"/>
      <c r="X845" s="3"/>
      <c r="Y845" s="3"/>
      <c r="Z845"/>
      <c r="AA845" s="1442" t="s">
        <v>2818</v>
      </c>
      <c r="AB845" s="1442"/>
      <c r="AC845" s="1442"/>
      <c r="AD845" s="1442"/>
      <c r="AE845" s="1442"/>
      <c r="AF845" s="1442"/>
      <c r="AG845" s="3" t="s">
        <v>205</v>
      </c>
      <c r="AH845" s="3"/>
      <c r="AI845" s="1396"/>
      <c r="AJ845" s="1396"/>
      <c r="AK845" s="1396"/>
      <c r="AL845" s="350"/>
      <c r="AN845" s="1273"/>
    </row>
    <row r="846" spans="1:42" s="22" customFormat="1" ht="12.75" customHeight="1">
      <c r="B846" s="3" t="s">
        <v>2658</v>
      </c>
      <c r="C846" s="3"/>
      <c r="D846" s="3"/>
      <c r="E846" s="3"/>
      <c r="F846" s="3"/>
      <c r="G846" s="3"/>
      <c r="H846" s="1420"/>
      <c r="I846" s="1420"/>
      <c r="J846" s="1420"/>
      <c r="K846" s="1420"/>
      <c r="L846" s="1420"/>
      <c r="M846" s="1420"/>
      <c r="N846" s="1420"/>
      <c r="O846" s="1420"/>
      <c r="P846" s="1420"/>
      <c r="Q846" s="1420"/>
      <c r="R846" s="1420"/>
      <c r="S846" s="3"/>
      <c r="T846" s="3" t="s">
        <v>2658</v>
      </c>
      <c r="U846"/>
      <c r="V846" s="3"/>
      <c r="W846" s="3"/>
      <c r="X846" s="3"/>
      <c r="Y846" s="3"/>
      <c r="Z846"/>
      <c r="AA846" s="1420"/>
      <c r="AB846" s="1420"/>
      <c r="AC846" s="1420"/>
      <c r="AD846" s="1420"/>
      <c r="AE846" s="1420"/>
      <c r="AF846" s="1420"/>
      <c r="AG846" s="1420"/>
      <c r="AH846" s="1420"/>
      <c r="AI846" s="1420"/>
      <c r="AJ846" s="1420"/>
      <c r="AK846" s="1420"/>
      <c r="AL846" s="350"/>
      <c r="AN846" s="1273"/>
    </row>
    <row r="847" spans="1:42" s="22" customFormat="1" ht="12.75" customHeight="1">
      <c r="B847" s="3" t="s">
        <v>2659</v>
      </c>
      <c r="C847" s="3"/>
      <c r="D847" s="3"/>
      <c r="E847" s="3"/>
      <c r="F847" s="3"/>
      <c r="G847" s="3"/>
      <c r="H847" s="1412" t="s">
        <v>2812</v>
      </c>
      <c r="I847" s="1420"/>
      <c r="J847" s="1420"/>
      <c r="K847" s="1420"/>
      <c r="L847" s="1420"/>
      <c r="M847" s="1420"/>
      <c r="N847" s="1420"/>
      <c r="O847" s="1420"/>
      <c r="P847" s="1420"/>
      <c r="Q847" s="1420"/>
      <c r="R847" s="1420"/>
      <c r="S847" s="3"/>
      <c r="T847" s="3" t="s">
        <v>2659</v>
      </c>
      <c r="U847"/>
      <c r="V847" s="3"/>
      <c r="W847" s="3"/>
      <c r="X847" s="3"/>
      <c r="Y847" s="3"/>
      <c r="Z847"/>
      <c r="AA847" s="1412" t="s">
        <v>2817</v>
      </c>
      <c r="AB847" s="1420"/>
      <c r="AC847" s="1420"/>
      <c r="AD847" s="1420"/>
      <c r="AE847" s="1420"/>
      <c r="AF847" s="1420"/>
      <c r="AG847" s="1420"/>
      <c r="AH847" s="1420"/>
      <c r="AI847" s="1420"/>
      <c r="AJ847" s="1420"/>
      <c r="AK847" s="1420"/>
      <c r="AL847" s="350"/>
      <c r="AN847" s="1273"/>
    </row>
    <row r="848" spans="1:42" s="22" customFormat="1" ht="12.75" customHeight="1">
      <c r="B848" s="3" t="s">
        <v>2660</v>
      </c>
      <c r="C848" s="3"/>
      <c r="D848" s="3"/>
      <c r="E848" s="3"/>
      <c r="F848" s="3"/>
      <c r="G848" s="3"/>
      <c r="H848" s="2417" t="s">
        <v>2813</v>
      </c>
      <c r="I848" s="1725"/>
      <c r="J848" s="1725"/>
      <c r="K848" s="1725"/>
      <c r="L848" s="1725"/>
      <c r="M848" s="1725"/>
      <c r="N848" s="1725"/>
      <c r="O848" s="1725"/>
      <c r="P848" s="1725"/>
      <c r="Q848" s="1725"/>
      <c r="R848" s="1725"/>
      <c r="S848" s="3"/>
      <c r="T848" s="3" t="s">
        <v>2660</v>
      </c>
      <c r="U848" s="3"/>
      <c r="V848" s="3"/>
      <c r="W848" s="3"/>
      <c r="X848" s="3"/>
      <c r="Y848" s="3"/>
      <c r="Z848" s="8"/>
      <c r="AA848" s="2417" t="s">
        <v>2816</v>
      </c>
      <c r="AB848" s="1725"/>
      <c r="AC848" s="1725"/>
      <c r="AD848" s="1725"/>
      <c r="AE848" s="1725"/>
      <c r="AF848" s="1725"/>
      <c r="AG848" s="1725"/>
      <c r="AH848" s="1725"/>
      <c r="AI848" s="1725"/>
      <c r="AJ848" s="1725"/>
      <c r="AK848" s="1725"/>
      <c r="AL848" s="350"/>
      <c r="AN848" s="1273"/>
    </row>
    <row r="849" spans="2:40" s="22" customFormat="1" ht="12.75" customHeight="1">
      <c r="B849" s="3"/>
      <c r="C849" s="3"/>
      <c r="D849" s="3"/>
      <c r="E849" s="3"/>
      <c r="F849" s="3"/>
      <c r="G849" s="3"/>
      <c r="H849" s="1275"/>
      <c r="I849" s="1275"/>
      <c r="J849" s="1275"/>
      <c r="K849" s="1275"/>
      <c r="L849" s="1275"/>
      <c r="M849" s="1275"/>
      <c r="N849" s="1275"/>
      <c r="O849" s="1275"/>
      <c r="P849" s="1276"/>
      <c r="Q849" s="1276"/>
      <c r="R849" s="1276"/>
      <c r="S849" s="3"/>
      <c r="T849" s="3"/>
      <c r="U849" s="3"/>
      <c r="V849" s="3"/>
      <c r="W849" s="3"/>
      <c r="X849" s="3"/>
      <c r="Y849" s="3"/>
      <c r="Z849" s="1277"/>
      <c r="AA849" s="1277"/>
      <c r="AB849" s="1277"/>
      <c r="AC849" s="1277"/>
      <c r="AD849" s="1277"/>
      <c r="AE849" s="1277"/>
      <c r="AF849" s="1277"/>
      <c r="AG849" s="1277"/>
      <c r="AH849" s="8"/>
      <c r="AI849" s="8"/>
      <c r="AJ849" s="8"/>
      <c r="AK849" s="3"/>
      <c r="AL849" s="350"/>
      <c r="AN849" s="1273"/>
    </row>
    <row r="850" spans="2:40" s="22" customFormat="1" ht="12.75" customHeight="1">
      <c r="B850" s="3" t="s">
        <v>2656</v>
      </c>
      <c r="C850" s="3"/>
      <c r="D850" s="3"/>
      <c r="E850" s="3"/>
      <c r="F850" s="3"/>
      <c r="G850"/>
      <c r="H850" s="1396" t="s">
        <v>2820</v>
      </c>
      <c r="I850" s="1397"/>
      <c r="J850" s="1397"/>
      <c r="K850" s="1397"/>
      <c r="L850" s="1397"/>
      <c r="M850" s="1397"/>
      <c r="N850" s="1397"/>
      <c r="O850" s="1397"/>
      <c r="P850" s="1397"/>
      <c r="Q850" s="1397"/>
      <c r="R850" s="1397"/>
      <c r="S850"/>
      <c r="T850" s="3" t="s">
        <v>2656</v>
      </c>
      <c r="U850"/>
      <c r="V850" s="3"/>
      <c r="W850" s="3"/>
      <c r="X850" s="3"/>
      <c r="Y850" s="3"/>
      <c r="Z850"/>
      <c r="AA850" s="1397"/>
      <c r="AB850" s="1397"/>
      <c r="AC850" s="1397"/>
      <c r="AD850" s="1397"/>
      <c r="AE850" s="1397"/>
      <c r="AF850" s="1397"/>
      <c r="AG850" s="1397"/>
      <c r="AH850" s="1397"/>
      <c r="AI850" s="1397"/>
      <c r="AJ850" s="1397"/>
      <c r="AK850" s="1397"/>
      <c r="AL850" s="350"/>
      <c r="AN850" s="1273"/>
    </row>
    <row r="851" spans="2:40" s="22" customFormat="1" ht="12.75" customHeight="1">
      <c r="B851" s="3" t="s">
        <v>469</v>
      </c>
      <c r="C851" s="3"/>
      <c r="D851" s="3"/>
      <c r="E851" s="3"/>
      <c r="F851" s="3"/>
      <c r="G851"/>
      <c r="H851" s="1412" t="s">
        <v>2821</v>
      </c>
      <c r="I851" s="1420"/>
      <c r="J851" s="1420"/>
      <c r="K851" s="1420"/>
      <c r="L851" s="1420"/>
      <c r="M851" s="1420"/>
      <c r="N851" s="1420"/>
      <c r="O851" s="1420"/>
      <c r="P851" s="1420"/>
      <c r="Q851" s="1420"/>
      <c r="R851" s="1420"/>
      <c r="S851"/>
      <c r="T851" s="3" t="s">
        <v>469</v>
      </c>
      <c r="U851"/>
      <c r="V851" s="3"/>
      <c r="W851" s="3"/>
      <c r="X851" s="3"/>
      <c r="Y851" s="3"/>
      <c r="Z851"/>
      <c r="AA851" s="1420"/>
      <c r="AB851" s="1420"/>
      <c r="AC851" s="1420"/>
      <c r="AD851" s="1420"/>
      <c r="AE851" s="1420"/>
      <c r="AF851" s="1420"/>
      <c r="AG851" s="1420"/>
      <c r="AH851" s="1420"/>
      <c r="AI851" s="1420"/>
      <c r="AJ851" s="1420"/>
      <c r="AK851" s="1420"/>
      <c r="AL851" s="350"/>
      <c r="AN851" s="1273"/>
    </row>
    <row r="852" spans="2:40" s="22" customFormat="1" ht="12.75" customHeight="1">
      <c r="B852" s="3" t="s">
        <v>2657</v>
      </c>
      <c r="C852" s="3"/>
      <c r="D852" s="3"/>
      <c r="E852" s="3"/>
      <c r="F852" s="3"/>
      <c r="G852"/>
      <c r="H852" s="1412" t="s">
        <v>2667</v>
      </c>
      <c r="I852" s="1420"/>
      <c r="J852" s="1420"/>
      <c r="K852" s="1420"/>
      <c r="L852" s="1420"/>
      <c r="M852" s="1420"/>
      <c r="N852" s="1420"/>
      <c r="O852" s="1420"/>
      <c r="P852" s="1420"/>
      <c r="Q852" s="1420"/>
      <c r="R852" s="1420"/>
      <c r="S852"/>
      <c r="T852" s="3" t="s">
        <v>2657</v>
      </c>
      <c r="U852"/>
      <c r="V852" s="3"/>
      <c r="W852" s="3"/>
      <c r="X852" s="3"/>
      <c r="Y852" s="3"/>
      <c r="Z852"/>
      <c r="AA852" s="1420"/>
      <c r="AB852" s="1420"/>
      <c r="AC852" s="1420"/>
      <c r="AD852" s="1420"/>
      <c r="AE852" s="1420"/>
      <c r="AF852" s="1420"/>
      <c r="AG852" s="1420"/>
      <c r="AH852" s="1420"/>
      <c r="AI852" s="1420"/>
      <c r="AJ852" s="1420"/>
      <c r="AK852" s="1420"/>
      <c r="AL852" s="350"/>
      <c r="AN852" s="1273"/>
    </row>
    <row r="853" spans="2:40" s="22" customFormat="1" ht="12.75" customHeight="1">
      <c r="B853" s="3" t="s">
        <v>87</v>
      </c>
      <c r="C853" s="3"/>
      <c r="D853" s="3"/>
      <c r="E853" s="3"/>
      <c r="F853" s="3"/>
      <c r="G853"/>
      <c r="H853" s="1412" t="s">
        <v>2810</v>
      </c>
      <c r="I853" s="1420"/>
      <c r="J853" s="1420"/>
      <c r="K853" s="1420"/>
      <c r="L853" s="1420"/>
      <c r="M853" s="1420"/>
      <c r="N853" s="1420"/>
      <c r="O853" s="1420"/>
      <c r="P853" s="1420"/>
      <c r="Q853" s="1420"/>
      <c r="R853" s="1420"/>
      <c r="S853"/>
      <c r="T853" s="3" t="s">
        <v>87</v>
      </c>
      <c r="U853"/>
      <c r="V853" s="3"/>
      <c r="W853" s="3"/>
      <c r="X853" s="3"/>
      <c r="Y853" s="3"/>
      <c r="Z853"/>
      <c r="AA853" s="1420"/>
      <c r="AB853" s="1420"/>
      <c r="AC853" s="1420"/>
      <c r="AD853" s="1420"/>
      <c r="AE853" s="1420"/>
      <c r="AF853" s="1420"/>
      <c r="AG853" s="1420"/>
      <c r="AH853" s="1420"/>
      <c r="AI853" s="1420"/>
      <c r="AJ853" s="1420"/>
      <c r="AK853" s="1420"/>
      <c r="AL853" s="350"/>
      <c r="AN853" s="1273"/>
    </row>
    <row r="854" spans="2:40" s="22" customFormat="1" ht="12.75" customHeight="1">
      <c r="B854" s="3" t="s">
        <v>88</v>
      </c>
      <c r="C854" s="3"/>
      <c r="D854" s="3"/>
      <c r="E854" s="3"/>
      <c r="F854" s="3"/>
      <c r="G854" s="3"/>
      <c r="H854" s="1442" t="s">
        <v>2822</v>
      </c>
      <c r="I854" s="1442"/>
      <c r="J854" s="1442"/>
      <c r="K854" s="1442"/>
      <c r="L854" s="1442"/>
      <c r="M854" s="1442"/>
      <c r="N854" s="3" t="s">
        <v>205</v>
      </c>
      <c r="O854" s="3"/>
      <c r="P854" s="1396"/>
      <c r="Q854" s="1396"/>
      <c r="R854" s="1396"/>
      <c r="S854" s="3"/>
      <c r="T854" s="3" t="s">
        <v>88</v>
      </c>
      <c r="U854"/>
      <c r="V854" s="3"/>
      <c r="W854" s="3"/>
      <c r="X854" s="3"/>
      <c r="Y854" s="3"/>
      <c r="Z854"/>
      <c r="AA854" s="1442"/>
      <c r="AB854" s="1442"/>
      <c r="AC854" s="1442"/>
      <c r="AD854" s="1442"/>
      <c r="AE854" s="1442"/>
      <c r="AF854" s="1442"/>
      <c r="AG854" s="3" t="s">
        <v>205</v>
      </c>
      <c r="AH854" s="3"/>
      <c r="AI854" s="1396"/>
      <c r="AJ854" s="1396"/>
      <c r="AK854" s="1396"/>
      <c r="AL854" s="350"/>
      <c r="AN854" s="1273"/>
    </row>
    <row r="855" spans="2:40" s="22" customFormat="1" ht="12.75" customHeight="1">
      <c r="B855" s="3" t="s">
        <v>2658</v>
      </c>
      <c r="C855" s="3"/>
      <c r="D855" s="3"/>
      <c r="E855" s="3"/>
      <c r="F855" s="3"/>
      <c r="G855" s="3"/>
      <c r="H855" s="1420"/>
      <c r="I855" s="1420"/>
      <c r="J855" s="1420"/>
      <c r="K855" s="1420"/>
      <c r="L855" s="1420"/>
      <c r="M855" s="1420"/>
      <c r="N855" s="1420"/>
      <c r="O855" s="1420"/>
      <c r="P855" s="1420"/>
      <c r="Q855" s="1420"/>
      <c r="R855" s="1420"/>
      <c r="S855" s="3"/>
      <c r="T855" s="3" t="s">
        <v>2658</v>
      </c>
      <c r="U855"/>
      <c r="V855" s="3"/>
      <c r="W855" s="3"/>
      <c r="X855" s="3"/>
      <c r="Y855" s="3"/>
      <c r="Z855"/>
      <c r="AA855" s="1420"/>
      <c r="AB855" s="1420"/>
      <c r="AC855" s="1420"/>
      <c r="AD855" s="1420"/>
      <c r="AE855" s="1420"/>
      <c r="AF855" s="1420"/>
      <c r="AG855" s="1420"/>
      <c r="AH855" s="1420"/>
      <c r="AI855" s="1420"/>
      <c r="AJ855" s="1420"/>
      <c r="AK855" s="1420"/>
      <c r="AL855" s="350"/>
      <c r="AN855" s="1273"/>
    </row>
    <row r="856" spans="2:40" s="22" customFormat="1" ht="12.75" customHeight="1">
      <c r="B856" s="3" t="s">
        <v>2659</v>
      </c>
      <c r="C856" s="3"/>
      <c r="D856" s="3"/>
      <c r="E856" s="3"/>
      <c r="F856" s="3"/>
      <c r="G856" s="3"/>
      <c r="H856" s="1412" t="s">
        <v>2823</v>
      </c>
      <c r="I856" s="1420"/>
      <c r="J856" s="1420"/>
      <c r="K856" s="1420"/>
      <c r="L856" s="1420"/>
      <c r="M856" s="1420"/>
      <c r="N856" s="1420"/>
      <c r="O856" s="1420"/>
      <c r="P856" s="1420"/>
      <c r="Q856" s="1420"/>
      <c r="R856" s="1420"/>
      <c r="S856" s="3"/>
      <c r="T856" s="3" t="s">
        <v>2659</v>
      </c>
      <c r="U856"/>
      <c r="V856" s="3"/>
      <c r="W856" s="3"/>
      <c r="X856" s="3"/>
      <c r="Y856" s="3"/>
      <c r="Z856"/>
      <c r="AA856" s="1420"/>
      <c r="AB856" s="1420"/>
      <c r="AC856" s="1420"/>
      <c r="AD856" s="1420"/>
      <c r="AE856" s="1420"/>
      <c r="AF856" s="1420"/>
      <c r="AG856" s="1420"/>
      <c r="AH856" s="1420"/>
      <c r="AI856" s="1420"/>
      <c r="AJ856" s="1420"/>
      <c r="AK856" s="1420"/>
      <c r="AL856" s="350"/>
      <c r="AN856" s="1273"/>
    </row>
    <row r="857" spans="2:40" s="22" customFormat="1" ht="12.75" customHeight="1">
      <c r="B857" s="3" t="s">
        <v>2660</v>
      </c>
      <c r="C857" s="3"/>
      <c r="D857" s="3"/>
      <c r="E857" s="3"/>
      <c r="F857" s="3"/>
      <c r="G857" s="3"/>
      <c r="H857" s="1725" t="s">
        <v>2824</v>
      </c>
      <c r="I857" s="1725"/>
      <c r="J857" s="1725"/>
      <c r="K857" s="1725"/>
      <c r="L857" s="1725"/>
      <c r="M857" s="1725"/>
      <c r="N857" s="1725"/>
      <c r="O857" s="1725"/>
      <c r="P857" s="1725"/>
      <c r="Q857" s="1725"/>
      <c r="R857" s="1725"/>
      <c r="S857" s="3"/>
      <c r="T857" s="3" t="s">
        <v>2660</v>
      </c>
      <c r="U857" s="3"/>
      <c r="V857" s="3"/>
      <c r="W857" s="3"/>
      <c r="X857" s="3"/>
      <c r="Y857" s="3"/>
      <c r="Z857" s="8"/>
      <c r="AA857" s="1725"/>
      <c r="AB857" s="1725"/>
      <c r="AC857" s="1725"/>
      <c r="AD857" s="1725"/>
      <c r="AE857" s="1725"/>
      <c r="AF857" s="1725"/>
      <c r="AG857" s="1725"/>
      <c r="AH857" s="1725"/>
      <c r="AI857" s="1725"/>
      <c r="AJ857" s="1725"/>
      <c r="AK857" s="1725"/>
      <c r="AL857" s="350"/>
      <c r="AN857" s="1273"/>
    </row>
    <row r="858" spans="2:40" s="22" customFormat="1" ht="12.75" customHeight="1">
      <c r="B858" s="3"/>
      <c r="C858" s="3"/>
      <c r="D858" s="3"/>
      <c r="E858" s="3"/>
      <c r="F858" s="3"/>
      <c r="G858" s="3"/>
      <c r="H858" s="1275"/>
      <c r="I858" s="1275"/>
      <c r="J858" s="1275"/>
      <c r="K858" s="1275"/>
      <c r="L858" s="1275"/>
      <c r="M858" s="1275"/>
      <c r="N858" s="1275"/>
      <c r="O858" s="1275"/>
      <c r="P858" s="1276"/>
      <c r="Q858" s="1276"/>
      <c r="R858" s="1276"/>
      <c r="S858" s="3"/>
      <c r="T858" s="3"/>
      <c r="U858" s="3"/>
      <c r="V858" s="3"/>
      <c r="W858" s="3"/>
      <c r="X858" s="3"/>
      <c r="Y858" s="3"/>
      <c r="Z858" s="1277"/>
      <c r="AA858" s="1277"/>
      <c r="AB858" s="1277"/>
      <c r="AC858" s="1277"/>
      <c r="AD858" s="1277"/>
      <c r="AE858" s="1277"/>
      <c r="AF858" s="1277"/>
      <c r="AG858" s="1277"/>
      <c r="AH858" s="8"/>
      <c r="AI858" s="8"/>
      <c r="AJ858" s="8"/>
      <c r="AK858" s="3"/>
      <c r="AL858" s="3"/>
      <c r="AN858" s="1273"/>
    </row>
    <row r="859" spans="2:40" s="22" customFormat="1" ht="12.75" customHeight="1">
      <c r="B859" s="3" t="s">
        <v>2656</v>
      </c>
      <c r="C859" s="3"/>
      <c r="D859" s="3"/>
      <c r="E859" s="3"/>
      <c r="F859" s="3"/>
      <c r="G859"/>
      <c r="H859" s="1397"/>
      <c r="I859" s="1397"/>
      <c r="J859" s="1397"/>
      <c r="K859" s="1397"/>
      <c r="L859" s="1397"/>
      <c r="M859" s="1397"/>
      <c r="N859" s="1397"/>
      <c r="O859" s="1397"/>
      <c r="P859" s="1397"/>
      <c r="Q859" s="1397"/>
      <c r="R859" s="1397"/>
      <c r="S859"/>
      <c r="T859" s="3" t="s">
        <v>2656</v>
      </c>
      <c r="U859"/>
      <c r="V859" s="3"/>
      <c r="W859" s="3"/>
      <c r="X859" s="3"/>
      <c r="Y859" s="3"/>
      <c r="Z859"/>
      <c r="AA859" s="1397"/>
      <c r="AB859" s="1397"/>
      <c r="AC859" s="1397"/>
      <c r="AD859" s="1397"/>
      <c r="AE859" s="1397"/>
      <c r="AF859" s="1397"/>
      <c r="AG859" s="1397"/>
      <c r="AH859" s="1397"/>
      <c r="AI859" s="1397"/>
      <c r="AJ859" s="1397"/>
      <c r="AK859" s="1397"/>
      <c r="AL859" s="3"/>
      <c r="AN859" s="1273"/>
    </row>
    <row r="860" spans="2:40" s="22" customFormat="1" ht="12.75" customHeight="1">
      <c r="B860" s="3" t="s">
        <v>469</v>
      </c>
      <c r="C860" s="3"/>
      <c r="D860" s="3"/>
      <c r="E860" s="3"/>
      <c r="F860" s="3"/>
      <c r="G860"/>
      <c r="H860" s="1420"/>
      <c r="I860" s="1420"/>
      <c r="J860" s="1420"/>
      <c r="K860" s="1420"/>
      <c r="L860" s="1420"/>
      <c r="M860" s="1420"/>
      <c r="N860" s="1420"/>
      <c r="O860" s="1420"/>
      <c r="P860" s="1420"/>
      <c r="Q860" s="1420"/>
      <c r="R860" s="1420"/>
      <c r="S860"/>
      <c r="T860" s="3" t="s">
        <v>469</v>
      </c>
      <c r="U860"/>
      <c r="V860" s="3"/>
      <c r="W860" s="3"/>
      <c r="X860" s="3"/>
      <c r="Y860" s="3"/>
      <c r="Z860"/>
      <c r="AA860" s="1420"/>
      <c r="AB860" s="1420"/>
      <c r="AC860" s="1420"/>
      <c r="AD860" s="1420"/>
      <c r="AE860" s="1420"/>
      <c r="AF860" s="1420"/>
      <c r="AG860" s="1420"/>
      <c r="AH860" s="1420"/>
      <c r="AI860" s="1420"/>
      <c r="AJ860" s="1420"/>
      <c r="AK860" s="1420"/>
      <c r="AL860" s="3"/>
      <c r="AN860" s="1273"/>
    </row>
    <row r="861" spans="2:40" s="22" customFormat="1" ht="18" customHeight="1">
      <c r="B861" s="3" t="s">
        <v>2657</v>
      </c>
      <c r="C861" s="3"/>
      <c r="D861" s="3"/>
      <c r="E861" s="3"/>
      <c r="F861" s="3"/>
      <c r="G861"/>
      <c r="H861" s="1420"/>
      <c r="I861" s="1420"/>
      <c r="J861" s="1420"/>
      <c r="K861" s="1420"/>
      <c r="L861" s="1420"/>
      <c r="M861" s="1420"/>
      <c r="N861" s="1420"/>
      <c r="O861" s="1420"/>
      <c r="P861" s="1420"/>
      <c r="Q861" s="1420"/>
      <c r="R861" s="1420"/>
      <c r="S861"/>
      <c r="T861" s="3" t="s">
        <v>2657</v>
      </c>
      <c r="U861"/>
      <c r="V861" s="3"/>
      <c r="W861" s="3"/>
      <c r="X861" s="3"/>
      <c r="Y861" s="3"/>
      <c r="Z861"/>
      <c r="AA861" s="1420"/>
      <c r="AB861" s="1420"/>
      <c r="AC861" s="1420"/>
      <c r="AD861" s="1420"/>
      <c r="AE861" s="1420"/>
      <c r="AF861" s="1420"/>
      <c r="AG861" s="1420"/>
      <c r="AH861" s="1420"/>
      <c r="AI861" s="1420"/>
      <c r="AJ861" s="1420"/>
      <c r="AK861" s="1420"/>
      <c r="AL861" s="3"/>
      <c r="AN861" s="1273"/>
    </row>
    <row r="862" spans="2:40" s="22" customFormat="1" ht="12.75" customHeight="1">
      <c r="B862" s="3" t="s">
        <v>87</v>
      </c>
      <c r="C862" s="3"/>
      <c r="D862" s="3"/>
      <c r="E862" s="3"/>
      <c r="F862" s="3"/>
      <c r="G862"/>
      <c r="H862" s="1420"/>
      <c r="I862" s="1420"/>
      <c r="J862" s="1420"/>
      <c r="K862" s="1420"/>
      <c r="L862" s="1420"/>
      <c r="M862" s="1420"/>
      <c r="N862" s="1420"/>
      <c r="O862" s="1420"/>
      <c r="P862" s="1420"/>
      <c r="Q862" s="1420"/>
      <c r="R862" s="1420"/>
      <c r="S862"/>
      <c r="T862" s="3" t="s">
        <v>87</v>
      </c>
      <c r="U862"/>
      <c r="V862" s="3"/>
      <c r="W862" s="3"/>
      <c r="X862" s="3"/>
      <c r="Y862" s="3"/>
      <c r="Z862"/>
      <c r="AA862" s="1420"/>
      <c r="AB862" s="1420"/>
      <c r="AC862" s="1420"/>
      <c r="AD862" s="1420"/>
      <c r="AE862" s="1420"/>
      <c r="AF862" s="1420"/>
      <c r="AG862" s="1420"/>
      <c r="AH862" s="1420"/>
      <c r="AI862" s="1420"/>
      <c r="AJ862" s="1420"/>
      <c r="AK862" s="1420"/>
      <c r="AL862" s="3"/>
      <c r="AN862" s="1273"/>
    </row>
    <row r="863" spans="2:40" s="22" customFormat="1" ht="12.75" customHeight="1">
      <c r="B863" s="3" t="s">
        <v>88</v>
      </c>
      <c r="C863" s="3"/>
      <c r="D863" s="3"/>
      <c r="E863" s="3"/>
      <c r="F863" s="3"/>
      <c r="G863" s="3"/>
      <c r="H863" s="1442"/>
      <c r="I863" s="1442"/>
      <c r="J863" s="1442"/>
      <c r="K863" s="1442"/>
      <c r="L863" s="1442"/>
      <c r="M863" s="1442"/>
      <c r="N863" s="3" t="s">
        <v>205</v>
      </c>
      <c r="O863" s="3"/>
      <c r="P863" s="1396"/>
      <c r="Q863" s="1396"/>
      <c r="R863" s="1396"/>
      <c r="S863" s="3"/>
      <c r="T863" s="3" t="s">
        <v>88</v>
      </c>
      <c r="U863"/>
      <c r="V863" s="3"/>
      <c r="W863" s="3"/>
      <c r="X863" s="3"/>
      <c r="Y863" s="3"/>
      <c r="Z863"/>
      <c r="AA863" s="1442"/>
      <c r="AB863" s="1442"/>
      <c r="AC863" s="1442"/>
      <c r="AD863" s="1442"/>
      <c r="AE863" s="1442"/>
      <c r="AF863" s="1442"/>
      <c r="AG863" s="3" t="s">
        <v>205</v>
      </c>
      <c r="AH863" s="3"/>
      <c r="AI863" s="1396"/>
      <c r="AJ863" s="1396"/>
      <c r="AK863" s="1396"/>
      <c r="AL863" s="3"/>
      <c r="AN863" s="1273"/>
    </row>
    <row r="864" spans="2:40" s="22" customFormat="1" ht="12.75" customHeight="1">
      <c r="B864" s="3" t="s">
        <v>2658</v>
      </c>
      <c r="C864" s="3"/>
      <c r="D864" s="3"/>
      <c r="E864" s="3"/>
      <c r="F864" s="3"/>
      <c r="G864" s="3"/>
      <c r="H864" s="1420"/>
      <c r="I864" s="1420"/>
      <c r="J864" s="1420"/>
      <c r="K864" s="1420"/>
      <c r="L864" s="1420"/>
      <c r="M864" s="1420"/>
      <c r="N864" s="1420"/>
      <c r="O864" s="1420"/>
      <c r="P864" s="1420"/>
      <c r="Q864" s="1420"/>
      <c r="R864" s="1420"/>
      <c r="S864" s="3"/>
      <c r="T864" s="3" t="s">
        <v>2658</v>
      </c>
      <c r="U864"/>
      <c r="V864" s="3"/>
      <c r="W864" s="3"/>
      <c r="X864" s="3"/>
      <c r="Y864" s="3"/>
      <c r="Z864"/>
      <c r="AA864" s="1420"/>
      <c r="AB864" s="1420"/>
      <c r="AC864" s="1420"/>
      <c r="AD864" s="1420"/>
      <c r="AE864" s="1420"/>
      <c r="AF864" s="1420"/>
      <c r="AG864" s="1420"/>
      <c r="AH864" s="1420"/>
      <c r="AI864" s="1420"/>
      <c r="AJ864" s="1420"/>
      <c r="AK864" s="1420"/>
      <c r="AL864" s="3"/>
      <c r="AN864" s="1273"/>
    </row>
    <row r="865" spans="1:43" s="22" customFormat="1" ht="12.75" customHeight="1">
      <c r="B865" s="3" t="s">
        <v>2659</v>
      </c>
      <c r="C865" s="3"/>
      <c r="D865" s="3"/>
      <c r="E865" s="3"/>
      <c r="F865" s="3"/>
      <c r="G865" s="3"/>
      <c r="H865" s="1420"/>
      <c r="I865" s="1420"/>
      <c r="J865" s="1420"/>
      <c r="K865" s="1420"/>
      <c r="L865" s="1420"/>
      <c r="M865" s="1420"/>
      <c r="N865" s="1420"/>
      <c r="O865" s="1420"/>
      <c r="P865" s="1420"/>
      <c r="Q865" s="1420"/>
      <c r="R865" s="1420"/>
      <c r="S865" s="3"/>
      <c r="T865" s="3" t="s">
        <v>2659</v>
      </c>
      <c r="U865"/>
      <c r="V865" s="3"/>
      <c r="W865" s="3"/>
      <c r="X865" s="3"/>
      <c r="Y865" s="3"/>
      <c r="Z865"/>
      <c r="AA865" s="1420"/>
      <c r="AB865" s="1420"/>
      <c r="AC865" s="1420"/>
      <c r="AD865" s="1420"/>
      <c r="AE865" s="1420"/>
      <c r="AF865" s="1420"/>
      <c r="AG865" s="1420"/>
      <c r="AH865" s="1420"/>
      <c r="AI865" s="1420"/>
      <c r="AJ865" s="1420"/>
      <c r="AK865" s="1420"/>
      <c r="AL865" s="3"/>
      <c r="AN865" s="1273"/>
    </row>
    <row r="866" spans="1:43" s="22" customFormat="1" ht="12.75" customHeight="1">
      <c r="B866" s="3" t="s">
        <v>2660</v>
      </c>
      <c r="C866" s="3"/>
      <c r="D866" s="3"/>
      <c r="E866" s="3"/>
      <c r="F866" s="3"/>
      <c r="G866" s="3"/>
      <c r="H866" s="1725"/>
      <c r="I866" s="1725"/>
      <c r="J866" s="1725"/>
      <c r="K866" s="1725"/>
      <c r="L866" s="1725"/>
      <c r="M866" s="1725"/>
      <c r="N866" s="1725"/>
      <c r="O866" s="1725"/>
      <c r="P866" s="1725"/>
      <c r="Q866" s="1725"/>
      <c r="R866" s="1725"/>
      <c r="S866" s="3"/>
      <c r="T866" s="3" t="s">
        <v>2660</v>
      </c>
      <c r="U866" s="3"/>
      <c r="V866" s="3"/>
      <c r="W866" s="3"/>
      <c r="X866" s="3"/>
      <c r="Y866" s="3"/>
      <c r="Z866" s="8"/>
      <c r="AA866" s="1725"/>
      <c r="AB866" s="1725"/>
      <c r="AC866" s="1725"/>
      <c r="AD866" s="1725"/>
      <c r="AE866" s="1725"/>
      <c r="AF866" s="1725"/>
      <c r="AG866" s="1725"/>
      <c r="AH866" s="1725"/>
      <c r="AI866" s="1725"/>
      <c r="AJ866" s="1725"/>
      <c r="AK866" s="1725"/>
      <c r="AL866" s="3"/>
      <c r="AN866" s="1273"/>
    </row>
    <row r="867" spans="1:43" s="22" customFormat="1" ht="12.75" customHeight="1" thickBot="1">
      <c r="A867" s="1279"/>
      <c r="B867" s="1279"/>
      <c r="C867" s="1280"/>
      <c r="D867" s="1281"/>
      <c r="E867" s="1281"/>
      <c r="F867" s="1281"/>
      <c r="G867" s="1281"/>
      <c r="H867" s="1281"/>
      <c r="I867" s="1281"/>
      <c r="J867" s="1281"/>
      <c r="K867" s="1281"/>
      <c r="L867" s="1281"/>
      <c r="M867" s="1281"/>
      <c r="N867" s="1281"/>
      <c r="O867" s="1281"/>
      <c r="P867" s="1281"/>
      <c r="Q867" s="1281"/>
      <c r="R867" s="1281"/>
      <c r="S867" s="1281"/>
      <c r="T867" s="1281"/>
      <c r="U867" s="1281"/>
      <c r="V867" s="1281"/>
      <c r="W867" s="1281"/>
      <c r="X867" s="1281"/>
      <c r="Y867" s="1281"/>
      <c r="Z867" s="1281"/>
      <c r="AA867" s="1281"/>
      <c r="AB867" s="1281"/>
      <c r="AC867" s="1281"/>
      <c r="AD867" s="1282"/>
      <c r="AE867" s="1281"/>
      <c r="AF867" s="1281"/>
      <c r="AG867" s="1281"/>
      <c r="AH867" s="1281"/>
      <c r="AI867" s="1280"/>
      <c r="AJ867" s="1280"/>
      <c r="AK867" s="1280"/>
      <c r="AL867" s="1280"/>
      <c r="AM867" s="1280"/>
      <c r="AN867" s="1273"/>
    </row>
    <row r="868" spans="1:43" ht="13.5"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92" t="s">
        <v>1555</v>
      </c>
      <c r="B869" s="2593"/>
      <c r="C869" s="2593"/>
      <c r="D869" s="2593"/>
      <c r="E869" s="2593"/>
      <c r="F869" s="2593"/>
      <c r="G869" s="2593"/>
      <c r="H869" s="2593"/>
      <c r="I869" s="2593"/>
      <c r="J869" s="2593"/>
      <c r="K869" s="2593"/>
      <c r="L869" s="2593"/>
      <c r="M869" s="2593"/>
      <c r="N869" s="2593"/>
      <c r="O869" s="2593"/>
      <c r="P869" s="2593"/>
      <c r="Q869" s="2593"/>
      <c r="R869" s="2593"/>
      <c r="S869" s="2593"/>
      <c r="T869" s="2593"/>
      <c r="U869" s="2593"/>
      <c r="V869" s="2593"/>
      <c r="W869" s="2593"/>
      <c r="X869" s="2593"/>
      <c r="Y869" s="2593"/>
      <c r="Z869" s="2593"/>
      <c r="AA869" s="2593"/>
      <c r="AB869" s="2593"/>
      <c r="AC869" s="2593"/>
      <c r="AD869" s="2593"/>
      <c r="AE869" s="2593"/>
      <c r="AF869" s="2593"/>
      <c r="AG869" s="2593"/>
      <c r="AH869" s="2593"/>
      <c r="AI869" s="2593"/>
      <c r="AJ869" s="2593"/>
      <c r="AK869" s="2593"/>
      <c r="AL869" s="2593"/>
      <c r="AM869" s="2593"/>
    </row>
    <row r="870" spans="1:43">
      <c r="A870" s="2594"/>
      <c r="B870" s="2594"/>
      <c r="C870" s="2594"/>
      <c r="D870" s="2594"/>
      <c r="E870" s="2594"/>
      <c r="F870" s="2594"/>
      <c r="G870" s="2594"/>
      <c r="H870" s="2594"/>
      <c r="I870" s="2594"/>
      <c r="J870" s="2594"/>
      <c r="K870" s="2594"/>
      <c r="L870" s="2594"/>
      <c r="M870" s="2594"/>
      <c r="N870" s="2594"/>
      <c r="O870" s="2594"/>
      <c r="P870" s="2594"/>
      <c r="Q870" s="2594"/>
      <c r="R870" s="2594"/>
      <c r="S870" s="2594"/>
      <c r="T870" s="2594"/>
      <c r="U870" s="2594"/>
      <c r="V870" s="2594"/>
      <c r="W870" s="2594"/>
      <c r="X870" s="2594"/>
      <c r="Y870" s="2594"/>
      <c r="Z870" s="2594"/>
      <c r="AA870" s="2594"/>
      <c r="AB870" s="2594"/>
      <c r="AC870" s="2594"/>
      <c r="AD870" s="2594"/>
      <c r="AE870" s="2594"/>
      <c r="AF870" s="2594"/>
      <c r="AG870" s="2594"/>
      <c r="AH870" s="2594"/>
      <c r="AI870" s="2594"/>
      <c r="AJ870" s="2594"/>
      <c r="AK870" s="2594"/>
      <c r="AL870" s="2594"/>
      <c r="AM870" s="2594"/>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543"/>
      <c r="B872" s="2543"/>
      <c r="C872" s="2543"/>
      <c r="D872" s="2543"/>
      <c r="E872" s="2543"/>
      <c r="F872" s="2543"/>
      <c r="G872" s="2543"/>
      <c r="H872" s="2543"/>
      <c r="I872" s="2543"/>
      <c r="J872" s="2543"/>
      <c r="K872" s="2543"/>
      <c r="L872" s="2543"/>
      <c r="M872" s="2543"/>
      <c r="N872" s="2543"/>
      <c r="O872" s="2543"/>
      <c r="P872" s="2543"/>
      <c r="Q872" s="2543"/>
      <c r="R872" s="2543"/>
      <c r="S872" s="2543"/>
      <c r="T872" s="2543"/>
      <c r="U872" s="2543"/>
      <c r="V872" s="2543"/>
      <c r="W872" s="2543"/>
      <c r="X872" s="2543"/>
      <c r="Y872" s="2543"/>
      <c r="Z872" s="2543"/>
      <c r="AA872" s="2543"/>
      <c r="AB872" s="2543"/>
      <c r="AC872" s="2543"/>
      <c r="AD872" s="2543"/>
      <c r="AE872" s="2543"/>
      <c r="AF872" s="2543"/>
      <c r="AG872" s="2543"/>
      <c r="AH872" s="2543"/>
      <c r="AI872" s="2543"/>
      <c r="AJ872" s="2543"/>
      <c r="AK872" s="2543"/>
      <c r="AL872" s="2543"/>
      <c r="AM872" s="2543"/>
      <c r="AP872" s="807"/>
      <c r="AQ872" s="807"/>
    </row>
    <row r="873" spans="1:43">
      <c r="A873" s="2543"/>
      <c r="B873" s="2543"/>
      <c r="C873" s="2543"/>
      <c r="D873" s="2543"/>
      <c r="E873" s="2543"/>
      <c r="F873" s="2543"/>
      <c r="G873" s="2543"/>
      <c r="H873" s="2543"/>
      <c r="I873" s="2543"/>
      <c r="J873" s="2543"/>
      <c r="K873" s="2543"/>
      <c r="L873" s="2543"/>
      <c r="M873" s="2543"/>
      <c r="N873" s="2543"/>
      <c r="O873" s="2543"/>
      <c r="P873" s="2543"/>
      <c r="Q873" s="2543"/>
      <c r="R873" s="2543"/>
      <c r="S873" s="2543"/>
      <c r="T873" s="2543"/>
      <c r="U873" s="2543"/>
      <c r="V873" s="2543"/>
      <c r="W873" s="2543"/>
      <c r="X873" s="2543"/>
      <c r="Y873" s="2543"/>
      <c r="Z873" s="2543"/>
      <c r="AA873" s="2543"/>
      <c r="AB873" s="2543"/>
      <c r="AC873" s="2543"/>
      <c r="AD873" s="2543"/>
      <c r="AE873" s="2543"/>
      <c r="AF873" s="2543"/>
      <c r="AG873" s="2543"/>
      <c r="AH873" s="2543"/>
      <c r="AI873" s="2543"/>
      <c r="AJ873" s="2543"/>
      <c r="AK873" s="2543"/>
      <c r="AL873" s="2543"/>
      <c r="AM873" s="2543"/>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95" t="s">
        <v>1556</v>
      </c>
      <c r="U874" s="2596"/>
      <c r="V874" s="2596"/>
      <c r="W874" s="2596"/>
      <c r="X874" s="2596"/>
      <c r="Y874" s="2597"/>
      <c r="Z874" s="2595" t="s">
        <v>1557</v>
      </c>
      <c r="AA874" s="2596"/>
      <c r="AB874" s="2596"/>
      <c r="AC874" s="2596"/>
      <c r="AD874" s="2596"/>
      <c r="AE874" s="2597"/>
      <c r="AF874" s="2595" t="s">
        <v>1558</v>
      </c>
      <c r="AG874" s="2596"/>
      <c r="AH874" s="2596"/>
      <c r="AI874" s="2596"/>
      <c r="AJ874" s="2596"/>
      <c r="AK874" s="2597"/>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98"/>
      <c r="U875" s="2599"/>
      <c r="V875" s="2599"/>
      <c r="W875" s="2599"/>
      <c r="X875" s="2599"/>
      <c r="Y875" s="2600"/>
      <c r="Z875" s="2598"/>
      <c r="AA875" s="2599"/>
      <c r="AB875" s="2599"/>
      <c r="AC875" s="2599"/>
      <c r="AD875" s="2599"/>
      <c r="AE875" s="2600"/>
      <c r="AF875" s="2598"/>
      <c r="AG875" s="2599"/>
      <c r="AH875" s="2599"/>
      <c r="AI875" s="2599"/>
      <c r="AJ875" s="2599"/>
      <c r="AK875" s="2600"/>
      <c r="AL875" s="809"/>
      <c r="AM875" s="589"/>
      <c r="AO875" s="807"/>
      <c r="AP875" s="807"/>
      <c r="AQ875" s="807"/>
    </row>
    <row r="876" spans="1:43">
      <c r="A876" s="810" t="s">
        <v>755</v>
      </c>
      <c r="B876" s="2575" t="str">
        <f>B7</f>
        <v xml:space="preserve">Acquisition/Rehabilitation Project Priorities </v>
      </c>
      <c r="C876" s="2575"/>
      <c r="D876" s="2575"/>
      <c r="E876" s="2575"/>
      <c r="F876" s="2575"/>
      <c r="G876" s="2575"/>
      <c r="H876" s="2575"/>
      <c r="I876" s="2575"/>
      <c r="J876" s="2575"/>
      <c r="K876" s="2575"/>
      <c r="L876" s="2575"/>
      <c r="M876" s="2575"/>
      <c r="N876" s="2575"/>
      <c r="O876" s="2575"/>
      <c r="P876" s="2575"/>
      <c r="Q876" s="2575"/>
      <c r="R876" s="2575"/>
      <c r="S876" s="2576"/>
      <c r="T876" s="2577">
        <f>AK61</f>
        <v>0</v>
      </c>
      <c r="U876" s="2578"/>
      <c r="V876" s="2578"/>
      <c r="W876" s="2578"/>
      <c r="X876" s="2578"/>
      <c r="Y876" s="2579"/>
      <c r="Z876" s="2580">
        <v>20</v>
      </c>
      <c r="AA876" s="2578"/>
      <c r="AB876" s="2578"/>
      <c r="AC876" s="2578"/>
      <c r="AD876" s="2578"/>
      <c r="AE876" s="2579"/>
      <c r="AF876" s="2573">
        <f>IF(T876&gt;Z876,Z876,T876)</f>
        <v>0</v>
      </c>
      <c r="AG876" s="2573"/>
      <c r="AH876" s="2573"/>
      <c r="AI876" s="2573"/>
      <c r="AJ876" s="2573"/>
      <c r="AK876" s="2573"/>
      <c r="AL876" s="809"/>
      <c r="AM876" s="589"/>
      <c r="AO876" s="807"/>
      <c r="AP876" s="807"/>
      <c r="AQ876" s="807"/>
    </row>
    <row r="877" spans="1:43">
      <c r="A877" s="810" t="s">
        <v>1529</v>
      </c>
      <c r="B877" s="2575" t="s">
        <v>1304</v>
      </c>
      <c r="C877" s="2575"/>
      <c r="D877" s="2575"/>
      <c r="E877" s="2575"/>
      <c r="F877" s="2575"/>
      <c r="G877" s="2575"/>
      <c r="H877" s="2575"/>
      <c r="I877" s="2575"/>
      <c r="J877" s="2575"/>
      <c r="K877" s="2575"/>
      <c r="L877" s="2575"/>
      <c r="M877" s="2575"/>
      <c r="N877" s="2575"/>
      <c r="O877" s="2575"/>
      <c r="P877" s="2575"/>
      <c r="Q877" s="2575"/>
      <c r="R877" s="2575"/>
      <c r="S877" s="2576"/>
      <c r="T877" s="2577">
        <f>AK83</f>
        <v>10</v>
      </c>
      <c r="U877" s="2578"/>
      <c r="V877" s="2578"/>
      <c r="W877" s="2578"/>
      <c r="X877" s="2578"/>
      <c r="Y877" s="2579"/>
      <c r="Z877" s="2580">
        <v>10</v>
      </c>
      <c r="AA877" s="2578"/>
      <c r="AB877" s="2578"/>
      <c r="AC877" s="2578"/>
      <c r="AD877" s="2578"/>
      <c r="AE877" s="2579"/>
      <c r="AF877" s="2573">
        <f>IF(T877&gt;Z877,Z877,T877)</f>
        <v>10</v>
      </c>
      <c r="AG877" s="2573"/>
      <c r="AH877" s="2573"/>
      <c r="AI877" s="2573"/>
      <c r="AJ877" s="2573"/>
      <c r="AK877" s="2573"/>
      <c r="AL877" s="809"/>
      <c r="AM877" s="589"/>
      <c r="AO877" s="807"/>
      <c r="AP877" s="807"/>
      <c r="AQ877" s="807"/>
    </row>
    <row r="878" spans="1:43">
      <c r="A878" s="810" t="s">
        <v>1538</v>
      </c>
      <c r="B878" s="2575" t="s">
        <v>1314</v>
      </c>
      <c r="C878" s="2575"/>
      <c r="D878" s="2575"/>
      <c r="E878" s="2575"/>
      <c r="F878" s="2575"/>
      <c r="G878" s="2575"/>
      <c r="H878" s="2575"/>
      <c r="I878" s="2575"/>
      <c r="J878" s="2575"/>
      <c r="K878" s="2575"/>
      <c r="L878" s="2575"/>
      <c r="M878" s="2575"/>
      <c r="N878" s="2575"/>
      <c r="O878" s="2575"/>
      <c r="P878" s="2575"/>
      <c r="Q878" s="2575"/>
      <c r="R878" s="2575"/>
      <c r="S878" s="2576"/>
      <c r="T878" s="2577">
        <f ca="1">AK108</f>
        <v>20</v>
      </c>
      <c r="U878" s="2578"/>
      <c r="V878" s="2578"/>
      <c r="W878" s="2578"/>
      <c r="X878" s="2578"/>
      <c r="Y878" s="2579"/>
      <c r="Z878" s="2580">
        <v>20</v>
      </c>
      <c r="AA878" s="2578"/>
      <c r="AB878" s="2578"/>
      <c r="AC878" s="2578"/>
      <c r="AD878" s="2578"/>
      <c r="AE878" s="2579"/>
      <c r="AF878" s="2573">
        <f ca="1">IF(T878&gt;Z878,Z878,T878)</f>
        <v>20</v>
      </c>
      <c r="AG878" s="2573"/>
      <c r="AH878" s="2573"/>
      <c r="AI878" s="2573"/>
      <c r="AJ878" s="2573"/>
      <c r="AK878" s="2573"/>
      <c r="AL878" s="809"/>
      <c r="AM878" s="589"/>
      <c r="AO878" s="807"/>
      <c r="AP878" s="807"/>
      <c r="AQ878" s="807"/>
    </row>
    <row r="879" spans="1:43">
      <c r="A879" s="810" t="s">
        <v>1559</v>
      </c>
      <c r="B879" s="2575" t="s">
        <v>1324</v>
      </c>
      <c r="C879" s="2575"/>
      <c r="D879" s="2575"/>
      <c r="E879" s="2575"/>
      <c r="F879" s="2575"/>
      <c r="G879" s="2575"/>
      <c r="H879" s="2575"/>
      <c r="I879" s="2575"/>
      <c r="J879" s="2575"/>
      <c r="K879" s="2575"/>
      <c r="L879" s="2575"/>
      <c r="M879" s="2575"/>
      <c r="N879" s="2575"/>
      <c r="O879" s="2575"/>
      <c r="P879" s="2575"/>
      <c r="Q879" s="2575"/>
      <c r="R879" s="2575"/>
      <c r="S879" s="2576"/>
      <c r="T879" s="2577">
        <f>AK142</f>
        <v>10</v>
      </c>
      <c r="U879" s="2578"/>
      <c r="V879" s="2578"/>
      <c r="W879" s="2578"/>
      <c r="X879" s="2578"/>
      <c r="Y879" s="2579"/>
      <c r="Z879" s="2580">
        <v>10</v>
      </c>
      <c r="AA879" s="2578"/>
      <c r="AB879" s="2578"/>
      <c r="AC879" s="2578"/>
      <c r="AD879" s="2578"/>
      <c r="AE879" s="2579"/>
      <c r="AF879" s="2573">
        <f>IF(T879&gt;Z879,Z879,T879)</f>
        <v>10</v>
      </c>
      <c r="AG879" s="2573"/>
      <c r="AH879" s="2573"/>
      <c r="AI879" s="2573"/>
      <c r="AJ879" s="2573"/>
      <c r="AK879" s="2573"/>
      <c r="AL879" s="809"/>
      <c r="AM879" s="589"/>
      <c r="AO879" s="807"/>
      <c r="AP879" s="807"/>
      <c r="AQ879" s="807"/>
    </row>
    <row r="880" spans="1:43">
      <c r="A880" s="811" t="s">
        <v>1560</v>
      </c>
      <c r="B880" s="2575" t="s">
        <v>1561</v>
      </c>
      <c r="C880" s="2575"/>
      <c r="D880" s="2575"/>
      <c r="E880" s="2575"/>
      <c r="F880" s="2575"/>
      <c r="G880" s="2575"/>
      <c r="H880" s="2575"/>
      <c r="I880" s="2575"/>
      <c r="J880" s="2575"/>
      <c r="K880" s="2575"/>
      <c r="L880" s="2575"/>
      <c r="M880" s="2575"/>
      <c r="N880" s="2575"/>
      <c r="O880" s="2575"/>
      <c r="P880" s="2575"/>
      <c r="Q880" s="2575"/>
      <c r="R880" s="2575"/>
      <c r="S880" s="2576"/>
      <c r="T880" s="2601">
        <f>SUM(T881:Y882)</f>
        <v>10</v>
      </c>
      <c r="U880" s="2601"/>
      <c r="V880" s="2601"/>
      <c r="W880" s="2601"/>
      <c r="X880" s="2601"/>
      <c r="Y880" s="2601"/>
      <c r="Z880" s="2573">
        <v>10</v>
      </c>
      <c r="AA880" s="2573"/>
      <c r="AB880" s="2573"/>
      <c r="AC880" s="2573"/>
      <c r="AD880" s="2573"/>
      <c r="AE880" s="2573"/>
      <c r="AF880" s="2573">
        <f>IF(T880&gt;Z880,Z880,T880)</f>
        <v>10</v>
      </c>
      <c r="AG880" s="2573"/>
      <c r="AH880" s="2573"/>
      <c r="AI880" s="2573"/>
      <c r="AJ880" s="2573"/>
      <c r="AK880" s="2573"/>
      <c r="AL880" s="809"/>
      <c r="AM880" s="589"/>
    </row>
    <row r="881" spans="1:81">
      <c r="A881" s="531"/>
      <c r="B881" s="594"/>
      <c r="C881" s="2602" t="s">
        <v>1562</v>
      </c>
      <c r="D881" s="2602"/>
      <c r="E881" s="2602"/>
      <c r="F881" s="2602"/>
      <c r="G881" s="2602"/>
      <c r="H881" s="2602"/>
      <c r="I881" s="2602"/>
      <c r="J881" s="2602"/>
      <c r="K881" s="2602"/>
      <c r="L881" s="2602"/>
      <c r="M881" s="2602"/>
      <c r="N881" s="2602"/>
      <c r="O881" s="2602"/>
      <c r="P881" s="2602"/>
      <c r="Q881" s="2602"/>
      <c r="R881" s="2602"/>
      <c r="S881" s="2603"/>
      <c r="T881" s="2494">
        <f>AJ165</f>
        <v>7</v>
      </c>
      <c r="U881" s="2494"/>
      <c r="V881" s="2494"/>
      <c r="W881" s="2494"/>
      <c r="X881" s="2494"/>
      <c r="Y881" s="2494"/>
      <c r="Z881" s="2495">
        <v>7</v>
      </c>
      <c r="AA881" s="2495"/>
      <c r="AB881" s="2495"/>
      <c r="AC881" s="2495"/>
      <c r="AD881" s="2495"/>
      <c r="AE881" s="2495"/>
      <c r="AF881" s="2604"/>
      <c r="AG881" s="2604"/>
      <c r="AH881" s="2604"/>
      <c r="AI881" s="2604"/>
      <c r="AJ881" s="2604"/>
      <c r="AK881" s="2604"/>
      <c r="AL881" s="809"/>
      <c r="AM881" s="589"/>
    </row>
    <row r="882" spans="1:81">
      <c r="A882" s="593"/>
      <c r="B882" s="594"/>
      <c r="C882" s="2602" t="s">
        <v>1563</v>
      </c>
      <c r="D882" s="2602"/>
      <c r="E882" s="2602"/>
      <c r="F882" s="2602"/>
      <c r="G882" s="2602"/>
      <c r="H882" s="2602"/>
      <c r="I882" s="2602"/>
      <c r="J882" s="2602"/>
      <c r="K882" s="2602"/>
      <c r="L882" s="2602"/>
      <c r="M882" s="2602"/>
      <c r="N882" s="2602"/>
      <c r="O882" s="2602"/>
      <c r="P882" s="2602"/>
      <c r="Q882" s="2602"/>
      <c r="R882" s="2602"/>
      <c r="S882" s="2603"/>
      <c r="T882" s="2494">
        <f>AJ179</f>
        <v>3</v>
      </c>
      <c r="U882" s="2494"/>
      <c r="V882" s="2494"/>
      <c r="W882" s="2494"/>
      <c r="X882" s="2494"/>
      <c r="Y882" s="2494"/>
      <c r="Z882" s="2495">
        <v>3</v>
      </c>
      <c r="AA882" s="2495"/>
      <c r="AB882" s="2495"/>
      <c r="AC882" s="2495"/>
      <c r="AD882" s="2495"/>
      <c r="AE882" s="2495"/>
      <c r="AF882" s="2604"/>
      <c r="AG882" s="2604"/>
      <c r="AH882" s="2604"/>
      <c r="AI882" s="2604"/>
      <c r="AJ882" s="2604"/>
      <c r="AK882" s="2604"/>
      <c r="AL882" s="809"/>
      <c r="AM882" s="589"/>
      <c r="AO882" s="544"/>
    </row>
    <row r="883" spans="1:81">
      <c r="A883" s="811" t="s">
        <v>1352</v>
      </c>
      <c r="B883" s="2575" t="s">
        <v>1564</v>
      </c>
      <c r="C883" s="2575"/>
      <c r="D883" s="2575"/>
      <c r="E883" s="2575"/>
      <c r="F883" s="2575"/>
      <c r="G883" s="2575"/>
      <c r="H883" s="2575"/>
      <c r="I883" s="2575"/>
      <c r="J883" s="2575"/>
      <c r="K883" s="2575"/>
      <c r="L883" s="2575"/>
      <c r="M883" s="2575"/>
      <c r="N883" s="2575"/>
      <c r="O883" s="2575"/>
      <c r="P883" s="2575"/>
      <c r="Q883" s="2575"/>
      <c r="R883" s="2575"/>
      <c r="S883" s="2576"/>
      <c r="T883" s="2601">
        <f>AK190</f>
        <v>10</v>
      </c>
      <c r="U883" s="2601"/>
      <c r="V883" s="2601"/>
      <c r="W883" s="2601"/>
      <c r="X883" s="2601"/>
      <c r="Y883" s="2601"/>
      <c r="Z883" s="2573">
        <v>10</v>
      </c>
      <c r="AA883" s="2573"/>
      <c r="AB883" s="2573"/>
      <c r="AC883" s="2573"/>
      <c r="AD883" s="2573"/>
      <c r="AE883" s="2573"/>
      <c r="AF883" s="2573">
        <f>IF(T883&gt;Z883,Z883,T883)</f>
        <v>10</v>
      </c>
      <c r="AG883" s="2573"/>
      <c r="AH883" s="2573"/>
      <c r="AI883" s="2573"/>
      <c r="AJ883" s="2573"/>
      <c r="AK883" s="2573"/>
      <c r="AL883" s="809"/>
      <c r="AM883" s="589"/>
    </row>
    <row r="884" spans="1:81" hidden="1">
      <c r="A884" s="810" t="s">
        <v>1360</v>
      </c>
      <c r="B884" s="2575" t="s">
        <v>1361</v>
      </c>
      <c r="C884" s="2575"/>
      <c r="D884" s="2575"/>
      <c r="E884" s="2575"/>
      <c r="F884" s="2575"/>
      <c r="G884" s="2575"/>
      <c r="H884" s="2575"/>
      <c r="I884" s="2575"/>
      <c r="J884" s="2575"/>
      <c r="K884" s="2575"/>
      <c r="L884" s="2575"/>
      <c r="M884" s="2575"/>
      <c r="N884" s="2575"/>
      <c r="O884" s="2575"/>
      <c r="P884" s="2575"/>
      <c r="Q884" s="2575"/>
      <c r="R884" s="2575"/>
      <c r="S884" s="2576"/>
      <c r="T884" s="2601">
        <f>AK272</f>
        <v>0</v>
      </c>
      <c r="U884" s="2601"/>
      <c r="V884" s="2601"/>
      <c r="W884" s="2601"/>
      <c r="X884" s="2601"/>
      <c r="Y884" s="2601"/>
      <c r="Z884" s="2580">
        <v>8</v>
      </c>
      <c r="AA884" s="2578"/>
      <c r="AB884" s="2578"/>
      <c r="AC884" s="2578"/>
      <c r="AD884" s="2578"/>
      <c r="AE884" s="2579"/>
      <c r="AF884" s="2573"/>
      <c r="AG884" s="2573"/>
      <c r="AH884" s="2573"/>
      <c r="AI884" s="2573"/>
      <c r="AJ884" s="2573"/>
      <c r="AK884" s="2573"/>
      <c r="AL884" s="809"/>
      <c r="AM884" s="589"/>
    </row>
    <row r="885" spans="1:81" s="530" customFormat="1" hidden="1">
      <c r="A885" s="811" t="s">
        <v>587</v>
      </c>
      <c r="B885" s="2575" t="s">
        <v>1565</v>
      </c>
      <c r="C885" s="2575"/>
      <c r="D885" s="2575"/>
      <c r="E885" s="2575"/>
      <c r="F885" s="2575"/>
      <c r="G885" s="2575"/>
      <c r="H885" s="2575"/>
      <c r="I885" s="2575"/>
      <c r="J885" s="2575"/>
      <c r="K885" s="2575"/>
      <c r="L885" s="2575"/>
      <c r="M885" s="2575"/>
      <c r="N885" s="2575"/>
      <c r="O885" s="2575"/>
      <c r="P885" s="2575"/>
      <c r="Q885" s="2575"/>
      <c r="R885" s="2575"/>
      <c r="S885" s="2576"/>
      <c r="T885" s="2601">
        <f>IF(AK548&gt;5,5,AK548)</f>
        <v>0</v>
      </c>
      <c r="U885" s="2601"/>
      <c r="V885" s="2601"/>
      <c r="W885" s="2601"/>
      <c r="X885" s="2601"/>
      <c r="Y885" s="2601"/>
      <c r="Z885" s="2573">
        <v>5</v>
      </c>
      <c r="AA885" s="2573"/>
      <c r="AB885" s="2573"/>
      <c r="AC885" s="2573"/>
      <c r="AD885" s="2573"/>
      <c r="AE885" s="2573"/>
      <c r="AF885" s="2573"/>
      <c r="AG885" s="2573"/>
      <c r="AH885" s="2573"/>
      <c r="AI885" s="2573"/>
      <c r="AJ885" s="2573"/>
      <c r="AK885" s="2573"/>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575" t="str">
        <f>B275</f>
        <v>Readiness to Proceed</v>
      </c>
      <c r="C886" s="2575"/>
      <c r="D886" s="2575"/>
      <c r="E886" s="2575"/>
      <c r="F886" s="2575"/>
      <c r="G886" s="2575"/>
      <c r="H886" s="2575"/>
      <c r="I886" s="2575"/>
      <c r="J886" s="2575"/>
      <c r="K886" s="2575"/>
      <c r="L886" s="2575"/>
      <c r="M886" s="2575"/>
      <c r="N886" s="2575"/>
      <c r="O886" s="2575"/>
      <c r="P886" s="2575"/>
      <c r="Q886" s="2575"/>
      <c r="R886" s="2575"/>
      <c r="S886" s="2576"/>
      <c r="T886" s="2601">
        <f>AK298</f>
        <v>10</v>
      </c>
      <c r="U886" s="2601"/>
      <c r="V886" s="2601"/>
      <c r="W886" s="2601"/>
      <c r="X886" s="2601"/>
      <c r="Y886" s="2601"/>
      <c r="Z886" s="2573">
        <v>10</v>
      </c>
      <c r="AA886" s="2573"/>
      <c r="AB886" s="2573"/>
      <c r="AC886" s="2573"/>
      <c r="AD886" s="2573"/>
      <c r="AE886" s="2573"/>
      <c r="AF886" s="2606">
        <f>IF(T886&gt;Z886,Z886,T886)</f>
        <v>10</v>
      </c>
      <c r="AG886" s="2607"/>
      <c r="AH886" s="2607"/>
      <c r="AI886" s="2607"/>
      <c r="AJ886" s="2607"/>
      <c r="AK886" s="2608"/>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575" t="str">
        <f>B301</f>
        <v>Access to Opportunity</v>
      </c>
      <c r="C887" s="2575"/>
      <c r="D887" s="2575"/>
      <c r="E887" s="2575"/>
      <c r="F887" s="2575"/>
      <c r="G887" s="2575"/>
      <c r="H887" s="2575"/>
      <c r="I887" s="2575"/>
      <c r="J887" s="2575"/>
      <c r="K887" s="2575"/>
      <c r="L887" s="2575"/>
      <c r="M887" s="2575"/>
      <c r="N887" s="2575"/>
      <c r="O887" s="2575"/>
      <c r="P887" s="2575"/>
      <c r="Q887" s="2575"/>
      <c r="R887" s="2575"/>
      <c r="S887" s="2576"/>
      <c r="T887" s="2601">
        <f>AK351</f>
        <v>10</v>
      </c>
      <c r="U887" s="2601"/>
      <c r="V887" s="2601"/>
      <c r="W887" s="2601"/>
      <c r="X887" s="2601"/>
      <c r="Y887" s="2601"/>
      <c r="Z887" s="2606">
        <v>10</v>
      </c>
      <c r="AA887" s="2607"/>
      <c r="AB887" s="2607"/>
      <c r="AC887" s="2607"/>
      <c r="AD887" s="2607"/>
      <c r="AE887" s="2608"/>
      <c r="AF887" s="2606">
        <f>IF(T887&gt;Z887,Z887,T887)</f>
        <v>10</v>
      </c>
      <c r="AG887" s="2607"/>
      <c r="AH887" s="2607"/>
      <c r="AI887" s="2607"/>
      <c r="AJ887" s="2607"/>
      <c r="AK887" s="2608"/>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1566</v>
      </c>
      <c r="D888" s="814"/>
      <c r="E888" s="814"/>
      <c r="F888" s="814"/>
      <c r="G888" s="814"/>
      <c r="H888" s="814"/>
      <c r="I888" s="814"/>
      <c r="J888" s="814"/>
      <c r="K888" s="814"/>
      <c r="L888" s="814"/>
      <c r="M888" s="814"/>
      <c r="N888" s="814"/>
      <c r="O888" s="814"/>
      <c r="P888" s="814"/>
      <c r="Q888" s="814"/>
      <c r="R888" s="812"/>
      <c r="S888" s="815"/>
      <c r="T888" s="2494">
        <f>AK351</f>
        <v>10</v>
      </c>
      <c r="U888" s="2494"/>
      <c r="V888" s="2494"/>
      <c r="W888" s="2494"/>
      <c r="X888" s="2494"/>
      <c r="Y888" s="2494"/>
      <c r="Z888" s="2505">
        <v>20</v>
      </c>
      <c r="AA888" s="2506"/>
      <c r="AB888" s="2506"/>
      <c r="AC888" s="2506"/>
      <c r="AD888" s="2506"/>
      <c r="AE888" s="2507"/>
      <c r="AF888" s="2604"/>
      <c r="AG888" s="2604"/>
      <c r="AH888" s="2604"/>
      <c r="AI888" s="2604"/>
      <c r="AJ888" s="2604"/>
      <c r="AK888" s="2604"/>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575" t="s">
        <v>843</v>
      </c>
      <c r="C889" s="2575"/>
      <c r="D889" s="2575"/>
      <c r="E889" s="2575"/>
      <c r="F889" s="2575"/>
      <c r="G889" s="2575"/>
      <c r="H889" s="2575"/>
      <c r="I889" s="2575"/>
      <c r="J889" s="2575"/>
      <c r="K889" s="2575"/>
      <c r="L889" s="2575"/>
      <c r="M889" s="2575"/>
      <c r="N889" s="2575"/>
      <c r="O889" s="2575"/>
      <c r="P889" s="2575"/>
      <c r="Q889" s="2575"/>
      <c r="R889" s="2575"/>
      <c r="S889" s="2576"/>
      <c r="T889" s="2601">
        <f>AK482</f>
        <v>10</v>
      </c>
      <c r="U889" s="2601"/>
      <c r="V889" s="2601"/>
      <c r="W889" s="2601"/>
      <c r="X889" s="2601"/>
      <c r="Y889" s="2601"/>
      <c r="Z889" s="2606">
        <v>10</v>
      </c>
      <c r="AA889" s="2607"/>
      <c r="AB889" s="2607"/>
      <c r="AC889" s="2607"/>
      <c r="AD889" s="2607"/>
      <c r="AE889" s="2608"/>
      <c r="AF889" s="2573">
        <f>IF(T889&gt;Z889,Z889,T889)</f>
        <v>10</v>
      </c>
      <c r="AG889" s="2573"/>
      <c r="AH889" s="2573"/>
      <c r="AI889" s="2573"/>
      <c r="AJ889" s="2573"/>
      <c r="AK889" s="2573"/>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575" t="s">
        <v>1547</v>
      </c>
      <c r="C890" s="2575"/>
      <c r="D890" s="2575"/>
      <c r="E890" s="2575"/>
      <c r="F890" s="2575"/>
      <c r="G890" s="2575"/>
      <c r="H890" s="2575"/>
      <c r="I890" s="2575"/>
      <c r="J890" s="2575"/>
      <c r="K890" s="2575"/>
      <c r="L890" s="2575"/>
      <c r="M890" s="2575"/>
      <c r="N890" s="2575"/>
      <c r="O890" s="2575"/>
      <c r="P890" s="2575"/>
      <c r="Q890" s="2575"/>
      <c r="R890" s="2575"/>
      <c r="S890" s="2576"/>
      <c r="T890" s="2601">
        <f>AK572</f>
        <v>12</v>
      </c>
      <c r="U890" s="2601"/>
      <c r="V890" s="2601"/>
      <c r="W890" s="2601"/>
      <c r="X890" s="2601"/>
      <c r="Y890" s="2601"/>
      <c r="Z890" s="2606">
        <v>12</v>
      </c>
      <c r="AA890" s="2607"/>
      <c r="AB890" s="2607"/>
      <c r="AC890" s="2607"/>
      <c r="AD890" s="2607"/>
      <c r="AE890" s="2608"/>
      <c r="AF890" s="2573">
        <f>IF(T890&gt;Z890,Z890,T890)</f>
        <v>12</v>
      </c>
      <c r="AG890" s="2573"/>
      <c r="AH890" s="2573"/>
      <c r="AI890" s="2573"/>
      <c r="AJ890" s="2573"/>
      <c r="AK890" s="2573"/>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575" t="s">
        <v>1567</v>
      </c>
      <c r="C891" s="2575"/>
      <c r="D891" s="2575"/>
      <c r="E891" s="2575"/>
      <c r="F891" s="2575"/>
      <c r="G891" s="2575"/>
      <c r="H891" s="2575"/>
      <c r="I891" s="2575"/>
      <c r="J891" s="2575"/>
      <c r="K891" s="2575"/>
      <c r="L891" s="2575"/>
      <c r="M891" s="2575"/>
      <c r="N891" s="2575"/>
      <c r="O891" s="2575"/>
      <c r="P891" s="2575"/>
      <c r="Q891" s="2575"/>
      <c r="R891" s="2575"/>
      <c r="S891" s="2576"/>
      <c r="T891" s="2601">
        <f>AK819</f>
        <v>10</v>
      </c>
      <c r="U891" s="2601"/>
      <c r="V891" s="2601"/>
      <c r="W891" s="2601"/>
      <c r="X891" s="2601"/>
      <c r="Y891" s="2601"/>
      <c r="Z891" s="2606">
        <v>10</v>
      </c>
      <c r="AA891" s="2607"/>
      <c r="AB891" s="2607"/>
      <c r="AC891" s="2607"/>
      <c r="AD891" s="2607"/>
      <c r="AE891" s="2608"/>
      <c r="AF891" s="2573">
        <f>IF(T891&gt;Z891,Z891,T891)</f>
        <v>10</v>
      </c>
      <c r="AG891" s="2573"/>
      <c r="AH891" s="2573"/>
      <c r="AI891" s="2573"/>
      <c r="AJ891" s="2573"/>
      <c r="AK891" s="2573"/>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1976</v>
      </c>
      <c r="B892" s="691" t="s">
        <v>1568</v>
      </c>
      <c r="C892" s="691"/>
      <c r="D892" s="691"/>
      <c r="E892" s="691"/>
      <c r="F892" s="691"/>
      <c r="G892" s="691"/>
      <c r="H892" s="691"/>
      <c r="I892" s="691"/>
      <c r="J892" s="691"/>
      <c r="K892" s="691"/>
      <c r="L892" s="691"/>
      <c r="M892" s="691"/>
      <c r="N892" s="691"/>
      <c r="O892" s="691"/>
      <c r="P892" s="691"/>
      <c r="Q892" s="691"/>
      <c r="R892" s="691"/>
      <c r="S892" s="1194"/>
      <c r="T892" s="2605"/>
      <c r="U892" s="2605"/>
      <c r="V892" s="2605"/>
      <c r="W892" s="2605"/>
      <c r="X892" s="2605"/>
      <c r="Y892" s="2605"/>
      <c r="Z892" s="2495" t="s">
        <v>1569</v>
      </c>
      <c r="AA892" s="2495"/>
      <c r="AB892" s="2495"/>
      <c r="AC892" s="2495"/>
      <c r="AD892" s="2495"/>
      <c r="AE892" s="2495"/>
      <c r="AF892" s="2606">
        <f>ABS(T892)</f>
        <v>0</v>
      </c>
      <c r="AG892" s="2607"/>
      <c r="AH892" s="2607"/>
      <c r="AI892" s="2607"/>
      <c r="AJ892" s="2607"/>
      <c r="AK892" s="2608"/>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75">
      <c r="A893" s="2609" t="s">
        <v>1570</v>
      </c>
      <c r="B893" s="2610"/>
      <c r="C893" s="2610"/>
      <c r="D893" s="2610"/>
      <c r="E893" s="2610"/>
      <c r="F893" s="2610"/>
      <c r="G893" s="2610"/>
      <c r="H893" s="2610"/>
      <c r="I893" s="2610"/>
      <c r="J893" s="2610"/>
      <c r="K893" s="2610"/>
      <c r="L893" s="2610"/>
      <c r="M893" s="2610"/>
      <c r="N893" s="2610"/>
      <c r="O893" s="2610"/>
      <c r="P893" s="2610"/>
      <c r="Q893" s="2610"/>
      <c r="R893" s="2610"/>
      <c r="S893" s="2610"/>
      <c r="T893" s="2610"/>
      <c r="U893" s="2610"/>
      <c r="V893" s="2610"/>
      <c r="W893" s="2610"/>
      <c r="X893" s="2610"/>
      <c r="Y893" s="2610"/>
      <c r="Z893" s="2610"/>
      <c r="AA893" s="2610"/>
      <c r="AB893" s="2610"/>
      <c r="AC893" s="2610"/>
      <c r="AD893" s="2610"/>
      <c r="AE893" s="2611"/>
      <c r="AF893" s="2615">
        <f ca="1">SUM(AF876:AK891)-AF892</f>
        <v>112</v>
      </c>
      <c r="AG893" s="2616"/>
      <c r="AH893" s="2616"/>
      <c r="AI893" s="2616"/>
      <c r="AJ893" s="2616"/>
      <c r="AK893" s="2617"/>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75">
      <c r="A894" s="2612"/>
      <c r="B894" s="2613"/>
      <c r="C894" s="2613"/>
      <c r="D894" s="2613"/>
      <c r="E894" s="2613"/>
      <c r="F894" s="2613"/>
      <c r="G894" s="2613"/>
      <c r="H894" s="2613"/>
      <c r="I894" s="2613"/>
      <c r="J894" s="2613"/>
      <c r="K894" s="2613"/>
      <c r="L894" s="2613"/>
      <c r="M894" s="2613"/>
      <c r="N894" s="2613"/>
      <c r="O894" s="2613"/>
      <c r="P894" s="2613"/>
      <c r="Q894" s="2613"/>
      <c r="R894" s="2613"/>
      <c r="S894" s="2613"/>
      <c r="T894" s="2613"/>
      <c r="U894" s="2613"/>
      <c r="V894" s="2613"/>
      <c r="W894" s="2613"/>
      <c r="X894" s="2613"/>
      <c r="Y894" s="2613"/>
      <c r="Z894" s="2613"/>
      <c r="AA894" s="2613"/>
      <c r="AB894" s="2613"/>
      <c r="AC894" s="2613"/>
      <c r="AD894" s="2613"/>
      <c r="AE894" s="2614"/>
      <c r="AF894" s="2618"/>
      <c r="AG894" s="2619"/>
      <c r="AH894" s="2619"/>
      <c r="AI894" s="2619"/>
      <c r="AJ894" s="2619"/>
      <c r="AK894" s="2620"/>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3e60seecBYWthqldq977eLrHjW5XBRmPSGLVfcJbQWK1jBOecQtqI06gcG87cvTTSlcEdmh6DBK83q5mFj7Mag==" saltValue="wfshfZ1gYDkxxCmLugvAHw=="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$AP$299:$AP$309</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zoomScale="120" zoomScaleNormal="120" workbookViewId="0">
      <selection activeCell="H145" sqref="H145"/>
    </sheetView>
  </sheetViews>
  <sheetFormatPr defaultColWidth="9.140625" defaultRowHeight="14.25"/>
  <cols>
    <col min="1" max="1" width="2.42578125" style="1034" customWidth="1"/>
    <col min="2" max="9" width="14.7109375" style="1034" customWidth="1"/>
    <col min="10" max="10" width="2.28515625" style="1034" customWidth="1"/>
    <col min="11" max="11" width="11.85546875" style="1035" customWidth="1"/>
    <col min="12" max="12" width="10.7109375" style="1034" customWidth="1"/>
    <col min="13" max="13" width="10.42578125" style="1034" customWidth="1"/>
    <col min="14" max="14" width="10.85546875" style="1034" customWidth="1"/>
    <col min="15" max="18" width="9.140625" style="1034"/>
    <col min="19" max="19" width="9.42578125" style="1034" bestFit="1" customWidth="1"/>
    <col min="20" max="16384" width="9.140625" style="1034"/>
  </cols>
  <sheetData>
    <row r="1" spans="1:13" ht="30" customHeight="1">
      <c r="A1" s="2687" t="s">
        <v>1571</v>
      </c>
      <c r="B1" s="2687"/>
      <c r="C1" s="2687"/>
      <c r="D1" s="2687"/>
      <c r="E1" s="2687"/>
      <c r="F1" s="2687"/>
      <c r="G1" s="2687"/>
      <c r="H1" s="2687"/>
      <c r="I1" s="2687"/>
      <c r="J1" s="2687"/>
    </row>
    <row r="2" spans="1:13" ht="15" customHeight="1" thickBot="1">
      <c r="A2" s="1036"/>
      <c r="B2" s="1036"/>
      <c r="I2" s="1037"/>
      <c r="K2" s="1038"/>
    </row>
    <row r="3" spans="1:13" s="1041" customFormat="1" ht="20.100000000000001" customHeight="1">
      <c r="A3" s="1089"/>
      <c r="B3" s="1090"/>
      <c r="C3" s="1091"/>
      <c r="D3" s="1096"/>
      <c r="E3" s="1091"/>
      <c r="F3" s="1092" t="s">
        <v>1955</v>
      </c>
      <c r="G3" s="1091"/>
      <c r="H3" s="1093">
        <f>E18</f>
        <v>35866168</v>
      </c>
      <c r="I3" s="1094"/>
    </row>
    <row r="4" spans="1:13" s="1041" customFormat="1" ht="20.100000000000001" customHeight="1">
      <c r="B4" s="1083"/>
      <c r="D4" s="1097"/>
      <c r="F4" s="1082" t="s">
        <v>1957</v>
      </c>
      <c r="G4" s="1081" t="s">
        <v>1956</v>
      </c>
      <c r="H4" s="1195">
        <f>I18</f>
        <v>17727790.912500001</v>
      </c>
      <c r="I4" s="1084"/>
      <c r="K4" s="1045"/>
    </row>
    <row r="5" spans="1:13" s="1041" customFormat="1" ht="20.100000000000001" customHeight="1" thickBot="1">
      <c r="B5" s="1085"/>
      <c r="C5" s="1086"/>
      <c r="D5" s="1098"/>
      <c r="E5" s="1087"/>
      <c r="F5" s="1098" t="s">
        <v>1907</v>
      </c>
      <c r="G5" s="1099"/>
      <c r="H5" s="1095">
        <f>IFERROR(H3/H4,0)</f>
        <v>2.0231605944038118</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90" t="s">
        <v>1905</v>
      </c>
      <c r="C8" s="2691"/>
      <c r="D8" s="2691"/>
      <c r="E8" s="2692"/>
      <c r="G8" s="2693" t="s">
        <v>1906</v>
      </c>
      <c r="H8" s="2694"/>
      <c r="I8" s="2695"/>
      <c r="K8" s="1047"/>
    </row>
    <row r="9" spans="1:13" ht="15" customHeight="1">
      <c r="A9" s="1036"/>
      <c r="B9" s="2688" t="s">
        <v>1939</v>
      </c>
      <c r="C9" s="2688"/>
      <c r="D9" s="2688"/>
      <c r="E9" s="1049">
        <f>G33</f>
        <v>6355000</v>
      </c>
      <c r="G9" s="2684" t="s">
        <v>1937</v>
      </c>
      <c r="H9" s="2684"/>
      <c r="I9" s="1050">
        <f>MAX(SUMIF(Application!M562:M573,"Loan, Tax-Exempt",Application!AM562:AM573),27.5%*SUM('Sources and Uses Budget'!C8,'Sources and Uses Budget'!S105,'Sources and Uses Budget'!T105))</f>
        <v>22209313</v>
      </c>
      <c r="K9" s="1051"/>
      <c r="M9" s="1052"/>
    </row>
    <row r="10" spans="1:13" ht="15" customHeight="1" thickBot="1">
      <c r="A10" s="1036"/>
      <c r="B10" s="2688" t="s">
        <v>1940</v>
      </c>
      <c r="C10" s="2688"/>
      <c r="D10" s="2688"/>
      <c r="E10" s="1050">
        <f>G47</f>
        <v>17647668.000000004</v>
      </c>
      <c r="G10" s="2686" t="s">
        <v>1908</v>
      </c>
      <c r="H10" s="2686"/>
      <c r="I10" s="1129">
        <f>IF(OR(Application!Z205="State Farmworker Credit",Application!Z205="$500M (Farmworker Housing)"),0,'Basis &amp; Credits'!AB78)</f>
        <v>0</v>
      </c>
      <c r="M10" s="1052"/>
    </row>
    <row r="11" spans="1:13" ht="15" customHeight="1">
      <c r="A11" s="1036"/>
      <c r="B11" s="2697" t="s">
        <v>2202</v>
      </c>
      <c r="C11" s="2698"/>
      <c r="D11" s="2699"/>
      <c r="E11" s="1050">
        <f>SUM(E13,E12)</f>
        <v>1060000</v>
      </c>
      <c r="G11" s="2696" t="s">
        <v>1948</v>
      </c>
      <c r="H11" s="2696"/>
      <c r="I11" s="1128">
        <f>I9+I10</f>
        <v>22209313</v>
      </c>
      <c r="M11" s="1052"/>
    </row>
    <row r="12" spans="1:13" ht="15" customHeight="1">
      <c r="A12" s="1053"/>
      <c r="B12" s="2689" t="s">
        <v>2561</v>
      </c>
      <c r="C12" s="2689"/>
      <c r="D12" s="2689"/>
      <c r="E12" s="1153">
        <f>G56</f>
        <v>1060000</v>
      </c>
      <c r="M12" s="1052"/>
    </row>
    <row r="13" spans="1:13" ht="15" customHeight="1">
      <c r="A13" s="1039"/>
      <c r="B13" s="2689" t="s">
        <v>2562</v>
      </c>
      <c r="C13" s="2689"/>
      <c r="D13" s="2689"/>
      <c r="E13" s="1153">
        <f>IF(G67,MAX(G65,G79),G65)</f>
        <v>0</v>
      </c>
      <c r="G13" s="2693" t="s">
        <v>1971</v>
      </c>
      <c r="H13" s="2694"/>
      <c r="I13" s="2695"/>
    </row>
    <row r="14" spans="1:13" ht="15" customHeight="1">
      <c r="A14" s="1039"/>
      <c r="B14" s="2697" t="s">
        <v>2203</v>
      </c>
      <c r="C14" s="2698"/>
      <c r="D14" s="2699"/>
      <c r="E14" s="1155">
        <f>MAX(E15,E16)+E17</f>
        <v>10803500</v>
      </c>
      <c r="G14" s="2684" t="s">
        <v>2578</v>
      </c>
      <c r="H14" s="2684"/>
      <c r="I14" s="1054">
        <f>IF(AND(G134="Yes",G136&lt;&gt;""),IF(OR(G141="Yes",G145="Yes"),18%,15%),0)</f>
        <v>0.18</v>
      </c>
      <c r="M14" s="1052"/>
    </row>
    <row r="15" spans="1:13" ht="15" customHeight="1">
      <c r="A15" s="1039"/>
      <c r="B15" s="2700" t="s">
        <v>2575</v>
      </c>
      <c r="C15" s="2701"/>
      <c r="D15" s="2702"/>
      <c r="E15" s="1153">
        <f>G94</f>
        <v>2542000</v>
      </c>
      <c r="G15" s="1126" t="s">
        <v>1949</v>
      </c>
      <c r="H15" s="1126"/>
      <c r="I15" s="1054">
        <f>IF(Application!AJ1041&gt;0,10%,IF(Application!AJ1045&gt;0,5%,0))</f>
        <v>0</v>
      </c>
      <c r="M15" s="1052"/>
    </row>
    <row r="16" spans="1:13" ht="15" customHeight="1">
      <c r="A16" s="1039"/>
      <c r="B16" s="2700" t="s">
        <v>2576</v>
      </c>
      <c r="C16" s="2701"/>
      <c r="D16" s="2702"/>
      <c r="E16" s="1153">
        <f>G104</f>
        <v>0</v>
      </c>
      <c r="G16" s="2684" t="s">
        <v>1950</v>
      </c>
      <c r="H16" s="2684"/>
      <c r="I16" s="1054">
        <f>G155</f>
        <v>2.1785714285714287E-2</v>
      </c>
    </row>
    <row r="17" spans="1:21" ht="15" customHeight="1" thickBot="1">
      <c r="A17" s="1039"/>
      <c r="B17" s="2700" t="s">
        <v>2577</v>
      </c>
      <c r="C17" s="2701"/>
      <c r="D17" s="2702"/>
      <c r="E17" s="1153">
        <f>G129</f>
        <v>8261500</v>
      </c>
      <c r="G17" s="2684" t="s">
        <v>2211</v>
      </c>
      <c r="H17" s="2684"/>
      <c r="I17" s="1054">
        <f>IF(AND(G161="Yes",G159),IF(G165&gt;15%,15%,G165),0)</f>
        <v>0</v>
      </c>
    </row>
    <row r="18" spans="1:21" ht="15" customHeight="1">
      <c r="A18" s="1036"/>
      <c r="B18" s="2685" t="s">
        <v>1904</v>
      </c>
      <c r="C18" s="2685"/>
      <c r="D18" s="2685"/>
      <c r="E18" s="1100">
        <f>SUM(E9:E11,E14)</f>
        <v>35866168</v>
      </c>
      <c r="G18" s="1127" t="s">
        <v>1938</v>
      </c>
      <c r="H18" s="1127"/>
      <c r="I18" s="1101">
        <f>I11-((I11*I14)+(I11*I15)+(I11*I16)+(I11*I17))</f>
        <v>17727790.912500001</v>
      </c>
      <c r="M18" s="1055">
        <f>SUM(Cdlac[Quantity])</f>
        <v>108</v>
      </c>
      <c r="O18" s="1074" t="s">
        <v>580</v>
      </c>
      <c r="P18" s="1034">
        <f>MATCH(Application!T189,Application!CB160:CB217,0)</f>
        <v>19</v>
      </c>
      <c r="T18" s="1055">
        <f>SUM(Cdlac[Population])</f>
        <v>0</v>
      </c>
    </row>
    <row r="19" spans="1:21" ht="15" customHeight="1">
      <c r="A19" s="1036"/>
      <c r="B19" s="1036"/>
      <c r="C19" s="1036"/>
      <c r="D19" s="1036"/>
      <c r="E19" s="1036"/>
      <c r="L19" s="1034" t="s">
        <v>1900</v>
      </c>
      <c r="M19" s="1034" t="s">
        <v>1899</v>
      </c>
      <c r="N19" s="1034" t="s">
        <v>1911</v>
      </c>
      <c r="O19" s="1034" t="s">
        <v>1912</v>
      </c>
      <c r="P19" s="1034" t="s">
        <v>1901</v>
      </c>
      <c r="Q19" s="1034" t="s">
        <v>2200</v>
      </c>
      <c r="R19" s="1034" t="s">
        <v>1902</v>
      </c>
      <c r="S19" s="1034" t="s">
        <v>1913</v>
      </c>
      <c r="T19" s="1034" t="s">
        <v>1919</v>
      </c>
      <c r="U19" s="1034" t="s">
        <v>384</v>
      </c>
    </row>
    <row r="20" spans="1:21" ht="15" customHeight="1">
      <c r="B20" s="1056" t="str">
        <f>B9</f>
        <v>A. Unit Production Benefit</v>
      </c>
      <c r="C20" s="1057"/>
      <c r="D20" s="1057"/>
      <c r="E20" s="1057"/>
      <c r="F20" s="1057"/>
      <c r="G20" s="1057"/>
      <c r="H20" s="1057"/>
      <c r="I20" s="1058"/>
      <c r="L20" s="1034">
        <f>IFERROR(MIN(4,MATCH(Application!B726,UnitSizes,0)-1),"")</f>
        <v>0</v>
      </c>
      <c r="M20" s="1055">
        <f>Application!G726</f>
        <v>14</v>
      </c>
      <c r="N20" s="1061">
        <f>Application!AC726</f>
        <v>0.3</v>
      </c>
      <c r="O20" s="1061">
        <f>IF(Cdlac[[#This Row],[Quantity]]&gt;0,IF(Cdlac[[#This Row],[Federal]],30%,IF(AND(OR(NOT($G$38),$G$38=""),$G$43),40%,Cdlac[[#This Row],[iAMI]])),"")</f>
        <v>0.3</v>
      </c>
      <c r="P20" s="1055" cm="1">
        <f t="array" ref="P20">IF(Cdlac[[#This Row],[Quantity]]&gt;0,INDEX(TcacRents,$P$18,Cdlac[[#This Row],[Bedrooms]]+1)*Cdlac[[#This Row],[AMI]],"")</f>
        <v>874.19999999999993</v>
      </c>
      <c r="Q20" s="1152"/>
      <c r="R20" s="1055" cm="1">
        <f t="array" ref="R20">IF(Cdlac[[#This Row],[Quantity]]&gt;0,INDEX(HudFmrs,$P$18,Cdlac[[#This Row],[Bedrooms]]+1),"")</f>
        <v>2079</v>
      </c>
      <c r="S20" s="1055">
        <f>IF(Cdlac[[#This Row],[Quantity]]&gt;0,MAX(0,Cdlac[[#This Row],[Fair Market Rent]]-IF(AND($G$37,$G$38,$G$38&lt;&gt;"",NOT(Cdlac[[#This Row],[Federal]]),Cdlac[[#This Row],[Preservation Rent]]&lt;&gt;""),Cdlac[[#This Row],[Preservation Rent]],Cdlac[[#This Row],[Restricted Rent]])),"")</f>
        <v>1204.8000000000002</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1</v>
      </c>
      <c r="M21" s="1055">
        <f>Application!G727</f>
        <v>39</v>
      </c>
      <c r="N21" s="1061">
        <f>Application!AC727</f>
        <v>0.3</v>
      </c>
      <c r="O21" s="1061">
        <f>IF(Cdlac[[#This Row],[Quantity]]&gt;0,IF(Cdlac[[#This Row],[Federal]],30%,IF(AND(OR(NOT($G$38),$G$38=""),$G$43),40%,Cdlac[[#This Row],[iAMI]])),"")</f>
        <v>0.3</v>
      </c>
      <c r="P21" s="1055" cm="1">
        <f t="array" ref="P21">IF(Cdlac[[#This Row],[Quantity]]&gt;0,INDEX(TcacRents,$P$18,Cdlac[[#This Row],[Bedrooms]]+1)*Cdlac[[#This Row],[AMI]],"")</f>
        <v>936.59999999999991</v>
      </c>
      <c r="Q21" s="1152"/>
      <c r="R21" s="1055" cm="1">
        <f t="array" ref="R21">IF(Cdlac[[#This Row],[Quantity]]&gt;0,INDEX(HudFmrs,$P$18,Cdlac[[#This Row],[Bedrooms]]+1),"")</f>
        <v>2328</v>
      </c>
      <c r="S21" s="1055">
        <f>IF(Cdlac[[#This Row],[Quantity]]&gt;0,MAX(0,Cdlac[[#This Row],[Fair Market Rent]]-IF(AND($G$37,$G$38,$G$38&lt;&gt;"",NOT(Cdlac[[#This Row],[Federal]]),Cdlac[[#This Row],[Preservation Rent]]&lt;&gt;""),Cdlac[[#This Row],[Preservation Rent]],Cdlac[[#This Row],[Restricted Rent]])),"")</f>
        <v>1391.4</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74" t="s">
        <v>1952</v>
      </c>
      <c r="D22" s="2674" t="s">
        <v>1953</v>
      </c>
      <c r="E22" s="2674" t="s">
        <v>1954</v>
      </c>
      <c r="F22" s="2674" t="s">
        <v>2524</v>
      </c>
      <c r="G22" s="2674" t="s">
        <v>1951</v>
      </c>
      <c r="H22" s="1060"/>
      <c r="I22" s="1059"/>
      <c r="L22" s="1034">
        <f>IFERROR(MIN(4,MATCH(Application!B728,UnitSizes,0)-1),"")</f>
        <v>2</v>
      </c>
      <c r="M22" s="1055">
        <f>Application!G728</f>
        <v>2</v>
      </c>
      <c r="N22" s="1061">
        <f>Application!AC728</f>
        <v>0.5</v>
      </c>
      <c r="O22" s="1061">
        <f>IF(Cdlac[[#This Row],[Quantity]]&gt;0,IF(Cdlac[[#This Row],[Federal]],30%,IF(AND(OR(NOT($G$38),$G$38=""),$G$43),40%,Cdlac[[#This Row],[iAMI]])),"")</f>
        <v>0.5</v>
      </c>
      <c r="P22" s="1055" cm="1">
        <f t="array" ref="P22">IF(Cdlac[[#This Row],[Quantity]]&gt;0,INDEX(TcacRents,$P$18,Cdlac[[#This Row],[Bedrooms]]+1)*Cdlac[[#This Row],[AMI]],"")</f>
        <v>1873</v>
      </c>
      <c r="Q22" s="1152"/>
      <c r="R22" s="1055" cm="1">
        <f t="array" ref="R22">IF(Cdlac[[#This Row],[Quantity]]&gt;0,INDEX(HudFmrs,$P$18,Cdlac[[#This Row],[Bedrooms]]+1),"")</f>
        <v>2903</v>
      </c>
      <c r="S22" s="1055">
        <f>IF(Cdlac[[#This Row],[Quantity]]&gt;0,MAX(0,Cdlac[[#This Row],[Fair Market Rent]]-IF(AND($G$37,$G$38,$G$38&lt;&gt;"",NOT(Cdlac[[#This Row],[Federal]]),Cdlac[[#This Row],[Preservation Rent]]&lt;&gt;""),Cdlac[[#This Row],[Preservation Rent]],Cdlac[[#This Row],[Restricted Rent]])),"")</f>
        <v>1030</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75"/>
      <c r="D23" s="2675"/>
      <c r="E23" s="2675"/>
      <c r="F23" s="2675"/>
      <c r="G23" s="2675"/>
      <c r="H23" s="1060"/>
      <c r="I23" s="1059"/>
      <c r="L23" s="1034">
        <f>IFERROR(MIN(4,MATCH(Application!B729,UnitSizes,0)-1),"")</f>
        <v>2</v>
      </c>
      <c r="M23" s="1055">
        <f>Application!G729</f>
        <v>26</v>
      </c>
      <c r="N23" s="1061">
        <f>Application!AC729</f>
        <v>0.7</v>
      </c>
      <c r="O23" s="1061">
        <f>IF(Cdlac[[#This Row],[Quantity]]&gt;0,IF(Cdlac[[#This Row],[Federal]],30%,IF(AND(OR(NOT($G$38),$G$38=""),$G$43),40%,Cdlac[[#This Row],[iAMI]])),"")</f>
        <v>0.7</v>
      </c>
      <c r="P23" s="1055" cm="1">
        <f t="array" ref="P23">IF(Cdlac[[#This Row],[Quantity]]&gt;0,INDEX(TcacRents,$P$18,Cdlac[[#This Row],[Bedrooms]]+1)*Cdlac[[#This Row],[AMI]],"")</f>
        <v>2622.2</v>
      </c>
      <c r="Q23" s="1152"/>
      <c r="R23" s="1055" cm="1">
        <f t="array" ref="R23">IF(Cdlac[[#This Row],[Quantity]]&gt;0,INDEX(HudFmrs,$P$18,Cdlac[[#This Row],[Bedrooms]]+1),"")</f>
        <v>2903</v>
      </c>
      <c r="S23" s="1055">
        <f>IF(Cdlac[[#This Row],[Quantity]]&gt;0,MAX(0,Cdlac[[#This Row],[Fair Market Rent]]-IF(AND($G$37,$G$38,$G$38&lt;&gt;"",NOT(Cdlac[[#This Row],[Federal]]),Cdlac[[#This Row],[Preservation Rent]]&lt;&gt;""),Cdlac[[#This Row],[Preservation Rent]],Cdlac[[#This Row],[Restricted Rent]])),"")</f>
        <v>280.80000000000018</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14</v>
      </c>
      <c r="F24" s="1062">
        <f>E24</f>
        <v>14</v>
      </c>
      <c r="G24" s="1062">
        <f>D24*F24</f>
        <v>12.6</v>
      </c>
      <c r="L24" s="1034">
        <f>IFERROR(MIN(4,MATCH(Application!B730,UnitSizes,0)-1),"")</f>
        <v>3</v>
      </c>
      <c r="M24" s="1055">
        <f>Application!G730</f>
        <v>27</v>
      </c>
      <c r="N24" s="1061">
        <f>Application!AC730</f>
        <v>0.7</v>
      </c>
      <c r="O24" s="1061">
        <f>IF(Cdlac[[#This Row],[Quantity]]&gt;0,IF(Cdlac[[#This Row],[Federal]],30%,IF(AND(OR(NOT($G$38),$G$38=""),$G$43),40%,Cdlac[[#This Row],[iAMI]])),"")</f>
        <v>0.7</v>
      </c>
      <c r="P24" s="1055" cm="1">
        <f t="array" ref="P24">IF(Cdlac[[#This Row],[Quantity]]&gt;0,INDEX(TcacRents,$P$18,Cdlac[[#This Row],[Bedrooms]]+1)*Cdlac[[#This Row],[AMI]],"")</f>
        <v>3031</v>
      </c>
      <c r="Q24" s="1152"/>
      <c r="R24" s="1055" cm="1">
        <f t="array" ref="R24">IF(Cdlac[[#This Row],[Quantity]]&gt;0,INDEX(HudFmrs,$P$18,Cdlac[[#This Row],[Bedrooms]]+1),"")</f>
        <v>3681</v>
      </c>
      <c r="S24" s="1055">
        <f>IF(Cdlac[[#This Row],[Quantity]]&gt;0,MAX(0,Cdlac[[#This Row],[Fair Market Rent]]-IF(AND($G$37,$G$38,$G$38&lt;&gt;"",NOT(Cdlac[[#This Row],[Federal]]),Cdlac[[#This Row],[Preservation Rent]]&lt;&gt;""),Cdlac[[#This Row],[Preservation Rent]],Cdlac[[#This Row],[Restricted Rent]])),"")</f>
        <v>650</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39</v>
      </c>
      <c r="F25" s="1062">
        <f>E25</f>
        <v>39</v>
      </c>
      <c r="G25" s="1062">
        <f>D25*F25</f>
        <v>39</v>
      </c>
      <c r="L25" s="1034" t="str">
        <f>IFERROR(MIN(4,MATCH(Application!B731,UnitSizes,0)-1),"")</f>
        <v/>
      </c>
      <c r="M25" s="1055">
        <f>Application!G731</f>
        <v>0</v>
      </c>
      <c r="N25" s="1061">
        <f>Application!AC731</f>
        <v>0</v>
      </c>
      <c r="O25" s="1061" t="str">
        <f>IF(Cdlac[[#This Row],[Quantity]]&gt;0,IF(Cdlac[[#This Row],[Federal]],30%,IF(AND(OR(NOT($G$38),$G$38=""),$G$43),40%,Cdlac[[#This Row],[iAMI]])),"")</f>
        <v/>
      </c>
      <c r="P25" s="1055" t="str" cm="1">
        <f t="array" ref="P25">IF(Cdlac[[#This Row],[Quantity]]&gt;0,INDEX(TcacRents,$P$18,Cdlac[[#This Row],[Bedrooms]]+1)*Cdlac[[#This Row],[AMI]],"")</f>
        <v/>
      </c>
      <c r="Q25" s="1152"/>
      <c r="R25" s="1055" t="str" cm="1">
        <f t="array" ref="R25">IF(Cdlac[[#This Row],[Quantity]]&gt;0,INDEX(HudFmrs,$P$18,Cdlac[[#This Row],[Bedrooms]]+1),"")</f>
        <v/>
      </c>
      <c r="S25" s="1055" t="str">
        <f>IF(Cdlac[[#This Row],[Quantity]]&gt;0,MAX(0,Cdlac[[#This Row],[Fair Market Rent]]-IF(AND($G$37,$G$38,$G$38&lt;&gt;"",NOT(Cdlac[[#This Row],[Federal]]),Cdlac[[#This Row],[Preservation Rent]]&lt;&gt;""),Cdlac[[#This Row],[Preservation Rent]],Cdlac[[#This Row],[Restricted Rent]])),"")</f>
        <v/>
      </c>
      <c r="T25" s="1034" t="str">
        <f>IF(Cdlac[[#This Row],[Quantity]]&gt;0,AND(Application!AK731&lt;&gt;"N/A",Application!AK731&lt;&gt;"")*Cdlac[[#This Row],[Quantity]],"")</f>
        <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28</v>
      </c>
      <c r="F26" s="1065">
        <f>SUM(E26:E28)-SUM(F27:F28)</f>
        <v>28</v>
      </c>
      <c r="G26" s="1062">
        <f>D26*F26</f>
        <v>35</v>
      </c>
      <c r="H26" s="1064"/>
      <c r="I26" s="1064"/>
      <c r="L26" s="1034" t="str">
        <f>IFERROR(MIN(4,MATCH(Application!B732,UnitSizes,0)-1),"")</f>
        <v/>
      </c>
      <c r="M26" s="1055">
        <f>Application!G732</f>
        <v>0</v>
      </c>
      <c r="N26" s="1061">
        <f>Application!AC732</f>
        <v>0</v>
      </c>
      <c r="O26" s="1061" t="str">
        <f>IF(Cdlac[[#This Row],[Quantity]]&gt;0,IF(Cdlac[[#This Row],[Federal]],30%,IF(AND(OR(NOT($G$38),$G$38=""),$G$43),40%,Cdlac[[#This Row],[iAMI]])),"")</f>
        <v/>
      </c>
      <c r="P26" s="1055" t="str" cm="1">
        <f t="array" ref="P26">IF(Cdlac[[#This Row],[Quantity]]&gt;0,INDEX(TcacRents,$P$18,Cdlac[[#This Row],[Bedrooms]]+1)*Cdlac[[#This Row],[AMI]],"")</f>
        <v/>
      </c>
      <c r="Q26" s="1152"/>
      <c r="R26" s="1055" t="str" cm="1">
        <f t="array" ref="R26">IF(Cdlac[[#This Row],[Quantity]]&gt;0,INDEX(HudFmrs,$P$18,Cdlac[[#This Row],[Bedrooms]]+1),"")</f>
        <v/>
      </c>
      <c r="S26" s="1055" t="str">
        <f>IF(Cdlac[[#This Row],[Quantity]]&gt;0,MAX(0,Cdlac[[#This Row],[Fair Market Rent]]-IF(AND($G$37,$G$38,$G$38&lt;&gt;"",NOT(Cdlac[[#This Row],[Federal]]),Cdlac[[#This Row],[Preservation Rent]]&lt;&gt;""),Cdlac[[#This Row],[Preservation Rent]],Cdlac[[#This Row],[Restricted Rent]])),"")</f>
        <v/>
      </c>
      <c r="T26" s="1034" t="str">
        <f>IF(Cdlac[[#This Row],[Quantity]]&gt;0,AND(Application!AK732&lt;&gt;"N/A",Application!AK732&lt;&gt;"")*Cdlac[[#This Row],[Quantity]],"")</f>
        <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27</v>
      </c>
      <c r="F27" s="1065">
        <f>MIN(E27,ROUNDDOWN(E29*30%,0))</f>
        <v>27</v>
      </c>
      <c r="G27" s="1062">
        <f>D27*F27</f>
        <v>40.5</v>
      </c>
      <c r="H27" s="1064"/>
      <c r="I27" s="1064"/>
      <c r="L27" s="1034" t="str">
        <f>IFERROR(MIN(4,MATCH(Application!B733,UnitSizes,0)-1),"")</f>
        <v/>
      </c>
      <c r="M27" s="1055">
        <f>Application!G733</f>
        <v>0</v>
      </c>
      <c r="N27" s="1061">
        <f>Application!AC733</f>
        <v>0</v>
      </c>
      <c r="O27" s="1061" t="str">
        <f>IF(Cdlac[[#This Row],[Quantity]]&gt;0,IF(Cdlac[[#This Row],[Federal]],30%,IF(AND(OR(NOT($G$38),$G$38=""),$G$43),40%,Cdlac[[#This Row],[iAMI]])),"")</f>
        <v/>
      </c>
      <c r="P27" s="1055" t="str" cm="1">
        <f t="array" ref="P27">IF(Cdlac[[#This Row],[Quantity]]&gt;0,INDEX(TcacRents,$P$18,Cdlac[[#This Row],[Bedrooms]]+1)*Cdlac[[#This Row],[AMI]],"")</f>
        <v/>
      </c>
      <c r="Q27" s="1152"/>
      <c r="R27" s="1055" t="str" cm="1">
        <f t="array" ref="R27">IF(Cdlac[[#This Row],[Quantity]]&gt;0,INDEX(HudFmrs,$P$18,Cdlac[[#This Row],[Bedrooms]]+1),"")</f>
        <v/>
      </c>
      <c r="S27" s="1055" t="str">
        <f>IF(Cdlac[[#This Row],[Quantity]]&gt;0,MAX(0,Cdlac[[#This Row],[Fair Market Rent]]-IF(AND($G$37,$G$38,$G$38&lt;&gt;"",NOT(Cdlac[[#This Row],[Federal]]),Cdlac[[#This Row],[Preservation Rent]]&lt;&gt;""),Cdlac[[#This Row],[Preservation Rent]],Cdlac[[#This Row],[Restricted Rent]])),"")</f>
        <v/>
      </c>
      <c r="T27" s="1034" t="str">
        <f>IF(Cdlac[[#This Row],[Quantity]]&gt;0,AND(Application!AK733&lt;&gt;"N/A",Application!AK733&lt;&gt;"")*Cdlac[[#This Row],[Quantity]],"")</f>
        <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t="str">
        <f>IFERROR(MIN(4,MATCH(Application!B734,UnitSizes,0)-1),"")</f>
        <v/>
      </c>
      <c r="M28" s="1055">
        <f>Application!G734</f>
        <v>0</v>
      </c>
      <c r="N28" s="1061">
        <f>Application!AC734</f>
        <v>0</v>
      </c>
      <c r="O28" s="1061" t="str">
        <f>IF(Cdlac[[#This Row],[Quantity]]&gt;0,IF(Cdlac[[#This Row],[Federal]],30%,IF(AND(OR(NOT($G$38),$G$38=""),$G$43),40%,Cdlac[[#This Row],[iAMI]])),"")</f>
        <v/>
      </c>
      <c r="P28" s="1055" t="str" cm="1">
        <f t="array" ref="P28">IF(Cdlac[[#This Row],[Quantity]]&gt;0,INDEX(TcacRents,$P$18,Cdlac[[#This Row],[Bedrooms]]+1)*Cdlac[[#This Row],[AMI]],"")</f>
        <v/>
      </c>
      <c r="Q28" s="1152"/>
      <c r="R28" s="1055" t="str" cm="1">
        <f t="array" ref="R28">IF(Cdlac[[#This Row],[Quantity]]&gt;0,INDEX(HudFmrs,$P$18,Cdlac[[#This Row],[Bedrooms]]+1),"")</f>
        <v/>
      </c>
      <c r="S28" s="1055" t="str">
        <f>IF(Cdlac[[#This Row],[Quantity]]&gt;0,MAX(0,Cdlac[[#This Row],[Fair Market Rent]]-IF(AND($G$37,$G$38,$G$38&lt;&gt;"",NOT(Cdlac[[#This Row],[Federal]]),Cdlac[[#This Row],[Preservation Rent]]&lt;&gt;""),Cdlac[[#This Row],[Preservation Rent]],Cdlac[[#This Row],[Restricted Rent]])),"")</f>
        <v/>
      </c>
      <c r="T28" s="1034" t="str">
        <f>IF(Cdlac[[#This Row],[Quantity]]&gt;0,AND(Application!AK734&lt;&gt;"N/A",Application!AK734&lt;&gt;"")*Cdlac[[#This Row],[Quantity]],"")</f>
        <v/>
      </c>
      <c r="U28" s="1034" t="b">
        <f>AND('Subsidy Contract Calculation'!F12&gt;0,OR('Subsidy Contract Calculation'!C12="Federal",'Subsidy Contract Calculation'!C12="Local - Approved by ED"),Cdlac[[#This Row],[Quantity]]&gt;0)</f>
        <v>0</v>
      </c>
    </row>
    <row r="29" spans="1:21" ht="15" customHeight="1">
      <c r="A29" s="1064"/>
      <c r="C29" s="2704" t="s">
        <v>1572</v>
      </c>
      <c r="D29" s="2705"/>
      <c r="E29" s="1079">
        <f>SUM(E24:E28)</f>
        <v>108</v>
      </c>
      <c r="F29" s="1079">
        <f>SUM(F24:F28)</f>
        <v>108</v>
      </c>
      <c r="G29" s="1080">
        <f>SUMPRODUCT(D24:D28,F24:F28)</f>
        <v>127.1</v>
      </c>
      <c r="H29" s="1064"/>
      <c r="I29" s="1064"/>
      <c r="L29" s="1034" t="str">
        <f>IFERROR(MIN(4,MATCH(Application!B735,UnitSizes,0)-1),"")</f>
        <v/>
      </c>
      <c r="M29" s="1055">
        <f>Application!G735</f>
        <v>0</v>
      </c>
      <c r="N29" s="1061">
        <f>Application!AC735</f>
        <v>0</v>
      </c>
      <c r="O29" s="1061" t="str">
        <f>IF(Cdlac[[#This Row],[Quantity]]&gt;0,IF(Cdlac[[#This Row],[Federal]],30%,IF(AND(OR(NOT($G$38),$G$38=""),$G$43),40%,Cdlac[[#This Row],[iAMI]])),"")</f>
        <v/>
      </c>
      <c r="P29" s="1055" t="str" cm="1">
        <f t="array" ref="P29">IF(Cdlac[[#This Row],[Quantity]]&gt;0,INDEX(TcacRents,$P$18,Cdlac[[#This Row],[Bedrooms]]+1)*Cdlac[[#This Row],[AMI]],"")</f>
        <v/>
      </c>
      <c r="Q29" s="1152"/>
      <c r="R29" s="1055" t="str" cm="1">
        <f t="array" ref="R29">IF(Cdlac[[#This Row],[Quantity]]&gt;0,INDEX(HudFmrs,$P$18,Cdlac[[#This Row],[Bedrooms]]+1),"")</f>
        <v/>
      </c>
      <c r="S29" s="1055" t="str">
        <f>IF(Cdlac[[#This Row],[Quantity]]&gt;0,MAX(0,Cdlac[[#This Row],[Fair Market Rent]]-IF(AND($G$37,$G$38,$G$38&lt;&gt;"",NOT(Cdlac[[#This Row],[Federal]]),Cdlac[[#This Row],[Preservation Rent]]&lt;&gt;""),Cdlac[[#This Row],[Preservation Rent]],Cdlac[[#This Row],[Restricted Rent]])),"")</f>
        <v/>
      </c>
      <c r="T29" s="1034" t="str">
        <f>IF(Cdlac[[#This Row],[Quantity]]&gt;0,AND(Application!AK735&lt;&gt;"N/A",Application!AK735&lt;&gt;"")*Cdlac[[#This Row],[Quantity]],"")</f>
        <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t="str">
        <f>IFERROR(MIN(4,MATCH(Application!B736,UnitSizes,0)-1),"")</f>
        <v/>
      </c>
      <c r="M30" s="1055">
        <f>Application!G736</f>
        <v>0</v>
      </c>
      <c r="N30" s="1061">
        <f>Application!AC736</f>
        <v>0</v>
      </c>
      <c r="O30" s="1061" t="str">
        <f>IF(Cdlac[[#This Row],[Quantity]]&gt;0,IF(Cdlac[[#This Row],[Federal]],30%,IF(AND(OR(NOT($G$38),$G$38=""),$G$43),40%,Cdlac[[#This Row],[iAMI]])),"")</f>
        <v/>
      </c>
      <c r="P30" s="1055" t="str" cm="1">
        <f t="array" ref="P30">IF(Cdlac[[#This Row],[Quantity]]&gt;0,INDEX(TcacRents,$P$18,Cdlac[[#This Row],[Bedrooms]]+1)*Cdlac[[#This Row],[AMI]],"")</f>
        <v/>
      </c>
      <c r="Q30" s="1152"/>
      <c r="R30" s="1055" t="str" cm="1">
        <f t="array" ref="R30">IF(Cdlac[[#This Row],[Quantity]]&gt;0,INDEX(HudFmrs,$P$18,Cdlac[[#This Row],[Bedrooms]]+1),"")</f>
        <v/>
      </c>
      <c r="S30" s="1055" t="str">
        <f>IF(Cdlac[[#This Row],[Quantity]]&gt;0,MAX(0,Cdlac[[#This Row],[Fair Market Rent]]-IF(AND($G$37,$G$38,$G$38&lt;&gt;"",NOT(Cdlac[[#This Row],[Federal]]),Cdlac[[#This Row],[Preservation Rent]]&lt;&gt;""),Cdlac[[#This Row],[Preservation Rent]],Cdlac[[#This Row],[Restricted Rent]])),"")</f>
        <v/>
      </c>
      <c r="T30" s="1034" t="str">
        <f>IF(Cdlac[[#This Row],[Quantity]]&gt;0,AND(Application!AK736&lt;&gt;"N/A",Application!AK736&lt;&gt;"")*Cdlac[[#This Row],[Quantity]],"")</f>
        <v/>
      </c>
      <c r="U30" s="1034" t="b">
        <f>AND('Subsidy Contract Calculation'!F14&gt;0,OR('Subsidy Contract Calculation'!C14="Federal",'Subsidy Contract Calculation'!C14="Local - Approved by ED"),Cdlac[[#This Row],[Quantity]]&gt;0)</f>
        <v>0</v>
      </c>
    </row>
    <row r="31" spans="1:21" ht="15" customHeight="1">
      <c r="A31" s="1064"/>
      <c r="E31" s="1106" t="s">
        <v>1951</v>
      </c>
      <c r="G31" s="1103">
        <f>G29</f>
        <v>127.1</v>
      </c>
      <c r="H31" s="1064"/>
      <c r="I31" s="1064"/>
      <c r="L31" s="1034" t="str">
        <f>IFERROR(MIN(4,MATCH(Application!B737,UnitSizes,0)-1),"")</f>
        <v/>
      </c>
      <c r="M31" s="1055">
        <f>Application!G737</f>
        <v>0</v>
      </c>
      <c r="N31" s="1061">
        <f>Application!AC737</f>
        <v>0</v>
      </c>
      <c r="O31" s="1061" t="str">
        <f>IF(Cdlac[[#This Row],[Quantity]]&gt;0,IF(Cdlac[[#This Row],[Federal]],30%,IF(AND(OR(NOT($G$38),$G$38=""),$G$43),40%,Cdlac[[#This Row],[iAMI]])),"")</f>
        <v/>
      </c>
      <c r="P31" s="1055" t="str" cm="1">
        <f t="array" ref="P31">IF(Cdlac[[#This Row],[Quantity]]&gt;0,INDEX(TcacRents,$P$18,Cdlac[[#This Row],[Bedrooms]]+1)*Cdlac[[#This Row],[AMI]],"")</f>
        <v/>
      </c>
      <c r="Q31" s="1152"/>
      <c r="R31" s="1055" t="str" cm="1">
        <f t="array" ref="R31">IF(Cdlac[[#This Row],[Quantity]]&gt;0,INDEX(HudFmrs,$P$18,Cdlac[[#This Row],[Bedrooms]]+1),"")</f>
        <v/>
      </c>
      <c r="S31" s="1055" t="str">
        <f>IF(Cdlac[[#This Row],[Quantity]]&gt;0,MAX(0,Cdlac[[#This Row],[Fair Market Rent]]-IF(AND($G$37,$G$38,$G$38&lt;&gt;"",NOT(Cdlac[[#This Row],[Federal]]),Cdlac[[#This Row],[Preservation Rent]]&lt;&gt;""),Cdlac[[#This Row],[Preservation Rent]],Cdlac[[#This Row],[Restricted Rent]])),"")</f>
        <v/>
      </c>
      <c r="T31" s="1034" t="str">
        <f>IF(Cdlac[[#This Row],[Quantity]]&gt;0,AND(Application!AK737&lt;&gt;"N/A",Application!AK737&lt;&gt;"")*Cdlac[[#This Row],[Quantity]],"")</f>
        <v/>
      </c>
      <c r="U31" s="1034" t="b">
        <f>AND('Subsidy Contract Calculation'!F15&gt;0,OR('Subsidy Contract Calculation'!C15="Federal",'Subsidy Contract Calculation'!C15="Local - Approved by ED"),Cdlac[[#This Row],[Quantity]]&gt;0)</f>
        <v>0</v>
      </c>
    </row>
    <row r="32" spans="1:21" ht="15" customHeight="1">
      <c r="A32" s="1064"/>
      <c r="E32" s="1106" t="s">
        <v>1910</v>
      </c>
      <c r="F32" s="1102" t="s">
        <v>1958</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1944</v>
      </c>
      <c r="F33" s="1036"/>
      <c r="G33" s="1108">
        <f>G32*G31</f>
        <v>6355000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2560</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2199</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707" t="str">
        <f>IF(AND(G37,G38,G38&lt;&gt;""),"Enter the average rent charged for each unit type over the last three years, as documented with rent rolls or property audits, in cells Q20:Q44","")</f>
        <v/>
      </c>
      <c r="D39" s="2707"/>
      <c r="E39" s="2707"/>
      <c r="F39" s="2707"/>
      <c r="G39" s="2707"/>
      <c r="H39" s="2707"/>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707"/>
      <c r="D40" s="2707"/>
      <c r="E40" s="2707"/>
      <c r="F40" s="2707"/>
      <c r="G40" s="2707"/>
      <c r="H40" s="2707"/>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707"/>
      <c r="D41" s="2707"/>
      <c r="E41" s="2707"/>
      <c r="F41" s="2707"/>
      <c r="G41" s="2707"/>
      <c r="H41" s="2707"/>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1969</v>
      </c>
      <c r="G42" s="1109" cm="1">
        <f t="array" ref="G42">SUMPRODUCT(Cdlac[Quantity],Cdlac[iAMI],IF(Cdlac[Federal],0,1))/SUMIFS(Cdlac[Quantity],Cdlac[Federal],FALSE)</f>
        <v>0.49999999999999994</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1964</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1914</v>
      </c>
      <c r="G45" s="1068">
        <f>IFERROR(SUMPRODUCT(Cdlac[Quantity],Cdlac[Delta]),0)</f>
        <v>98042.60000000002</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1970</v>
      </c>
      <c r="F46" s="1102" t="s">
        <v>1958</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1909</v>
      </c>
      <c r="F47" s="1036"/>
      <c r="G47" s="1112">
        <f>G45*G46</f>
        <v>17647668.000000004</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1961</v>
      </c>
      <c r="G51" s="1069">
        <f>SUMIFS(Cdlac[Quantity],Cdlac[iAMI],"&lt;=30%")</f>
        <v>53</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1960</v>
      </c>
      <c r="G52" s="1069">
        <f>ROUNDDOWN(E29*50%,0)</f>
        <v>54</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1920</v>
      </c>
      <c r="G54" s="1103">
        <f>MIN(G51:G52)</f>
        <v>53</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1910</v>
      </c>
      <c r="F55" s="1102" t="s">
        <v>1958</v>
      </c>
      <c r="G55" s="1113">
        <v>20000</v>
      </c>
      <c r="M55" s="1055"/>
      <c r="N55" s="1061"/>
      <c r="O55" s="1061"/>
      <c r="P55" s="1055"/>
      <c r="Q55" s="1152"/>
      <c r="R55" s="1055"/>
      <c r="S55" s="1055"/>
    </row>
    <row r="56" spans="2:21" ht="15" customHeight="1">
      <c r="E56" s="1107" t="s">
        <v>1942</v>
      </c>
      <c r="F56" s="1036"/>
      <c r="G56" s="1112">
        <f>G54*G55</f>
        <v>1060000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1959</v>
      </c>
      <c r="G60" s="1196">
        <f>T18</f>
        <v>0</v>
      </c>
    </row>
    <row r="61" spans="2:21" ht="15" customHeight="1">
      <c r="E61" s="1106" t="s">
        <v>1960</v>
      </c>
      <c r="G61" s="1103">
        <f>ROUNDDOWN(E29*50%,0)</f>
        <v>54</v>
      </c>
    </row>
    <row r="62" spans="2:21" ht="15" customHeight="1">
      <c r="E62" s="1106"/>
      <c r="G62" s="1114"/>
    </row>
    <row r="63" spans="2:21" ht="15" customHeight="1">
      <c r="E63" s="1106" t="s">
        <v>1920</v>
      </c>
      <c r="G63" s="1103">
        <f>MIN(G60:G61)</f>
        <v>0</v>
      </c>
    </row>
    <row r="64" spans="2:21" ht="15" customHeight="1">
      <c r="E64" s="1106" t="s">
        <v>1910</v>
      </c>
      <c r="F64" s="1102" t="s">
        <v>1958</v>
      </c>
      <c r="G64" s="1113">
        <v>10000</v>
      </c>
    </row>
    <row r="65" spans="5:7" ht="15" customHeight="1">
      <c r="E65" s="1107" t="s">
        <v>1943</v>
      </c>
      <c r="F65" s="1036"/>
      <c r="G65" s="1112">
        <f>G63*G64</f>
        <v>0</v>
      </c>
    </row>
    <row r="66" spans="5:7" ht="15" customHeight="1">
      <c r="E66" s="1107"/>
      <c r="F66" s="1036"/>
      <c r="G66" s="1112"/>
    </row>
    <row r="67" spans="5:7" ht="15" customHeight="1">
      <c r="E67" s="1074" t="s">
        <v>2565</v>
      </c>
      <c r="G67" s="1034" t="b">
        <f>Application!V227="Yes"</f>
        <v>0</v>
      </c>
    </row>
    <row r="68" spans="5:7" ht="15" customHeight="1">
      <c r="E68" s="1074" t="s">
        <v>2566</v>
      </c>
      <c r="G68" s="1196">
        <f>SUMIF(Application!AK726:AK760,"Homeless",Application!G726:G760)</f>
        <v>0</v>
      </c>
    </row>
    <row r="69" spans="5:7" ht="15" customHeight="1">
      <c r="E69" s="1074"/>
    </row>
    <row r="70" spans="5:7" ht="15" customHeight="1">
      <c r="E70" s="1074" t="s">
        <v>2567</v>
      </c>
      <c r="G70" s="1197"/>
    </row>
    <row r="71" spans="5:7" ht="15" customHeight="1">
      <c r="E71" s="1074" t="s">
        <v>2568</v>
      </c>
      <c r="G71" s="1197"/>
    </row>
    <row r="72" spans="5:7" ht="15" customHeight="1">
      <c r="E72" s="1074" t="s">
        <v>2569</v>
      </c>
      <c r="G72" s="1196">
        <f>IF(G71=0,0,(G70/G71)*100000)</f>
        <v>0</v>
      </c>
    </row>
    <row r="73" spans="5:7" ht="15" customHeight="1">
      <c r="E73" s="1074" t="s">
        <v>2570</v>
      </c>
      <c r="G73" s="1197"/>
    </row>
    <row r="74" spans="5:7" ht="15" customHeight="1">
      <c r="E74" s="1074" t="s">
        <v>2571</v>
      </c>
      <c r="G74" s="1197"/>
    </row>
    <row r="75" spans="5:7" ht="15" customHeight="1">
      <c r="E75" s="1074" t="s">
        <v>2572</v>
      </c>
      <c r="G75" s="1196">
        <f>IF(G74=0,0,(G73/G74)*100000)</f>
        <v>0</v>
      </c>
    </row>
    <row r="76" spans="5:7" ht="15" customHeight="1">
      <c r="E76" s="1107"/>
      <c r="F76" s="1036"/>
      <c r="G76" s="1112"/>
    </row>
    <row r="77" spans="5:7" ht="15" customHeight="1">
      <c r="E77" s="1106" t="s">
        <v>1920</v>
      </c>
      <c r="G77" s="1103">
        <f>IF(OR(G75&gt;G72,G71&lt;100000),G75*G68,G72*G68)</f>
        <v>0</v>
      </c>
    </row>
    <row r="78" spans="5:7" ht="15" customHeight="1">
      <c r="E78" s="1106" t="s">
        <v>1910</v>
      </c>
      <c r="F78" s="1102" t="s">
        <v>1958</v>
      </c>
      <c r="G78" s="1113">
        <v>100</v>
      </c>
    </row>
    <row r="79" spans="5:7" ht="15" customHeight="1">
      <c r="E79" s="1107" t="s">
        <v>1943</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1946</v>
      </c>
      <c r="G83" s="1033" t="s">
        <v>543</v>
      </c>
      <c r="L83" s="2676" t="s">
        <v>1935</v>
      </c>
      <c r="M83" s="2677"/>
      <c r="N83" s="1120">
        <v>30000</v>
      </c>
    </row>
    <row r="84" spans="2:14" ht="15" customHeight="1">
      <c r="C84" s="1067" t="s">
        <v>1947</v>
      </c>
      <c r="G84" s="1071" t="str">
        <f>IF(Application!D211="Large Family","Yes","No")</f>
        <v>Yes</v>
      </c>
      <c r="L84" s="2680" t="s">
        <v>1903</v>
      </c>
      <c r="M84" s="2681"/>
      <c r="N84" s="1121">
        <v>20000</v>
      </c>
    </row>
    <row r="85" spans="2:14" ht="15" customHeight="1" thickBot="1">
      <c r="C85" s="1067" t="s">
        <v>1933</v>
      </c>
      <c r="G85" s="1033" t="s">
        <v>667</v>
      </c>
      <c r="L85" s="2682" t="s">
        <v>1936</v>
      </c>
      <c r="M85" s="2683"/>
      <c r="N85" s="1122">
        <v>10000</v>
      </c>
    </row>
    <row r="86" spans="2:14" ht="15" customHeight="1" thickBot="1">
      <c r="C86" s="1067" t="s">
        <v>1934</v>
      </c>
      <c r="G86" s="1034" t="str">
        <f>Application!T193</f>
        <v>High Resource</v>
      </c>
    </row>
    <row r="87" spans="2:14" ht="15" customHeight="1">
      <c r="C87" s="2710" t="s">
        <v>2201</v>
      </c>
      <c r="D87" s="2710"/>
      <c r="E87" s="2710"/>
      <c r="F87" s="2710"/>
      <c r="G87" s="1033" t="s">
        <v>667</v>
      </c>
      <c r="L87" s="1116" t="str">
        <f>'Points System'!H651</f>
        <v>(ii)</v>
      </c>
      <c r="M87" s="2678" t="s">
        <v>1394</v>
      </c>
      <c r="N87" s="2679"/>
    </row>
    <row r="88" spans="2:14" ht="15" customHeight="1">
      <c r="C88" s="2710"/>
      <c r="D88" s="2710"/>
      <c r="E88" s="2710"/>
      <c r="F88" s="2710"/>
      <c r="L88" s="1117" t="str">
        <f>'Points System'!H663</f>
        <v>(i)</v>
      </c>
      <c r="M88" s="2670" t="s">
        <v>1922</v>
      </c>
      <c r="N88" s="2671"/>
    </row>
    <row r="89" spans="2:14" ht="15" customHeight="1">
      <c r="C89" s="1067"/>
      <c r="L89" s="1117" t="str">
        <f>'Points System'!H698</f>
        <v>(v)</v>
      </c>
      <c r="M89" s="2670" t="s">
        <v>1923</v>
      </c>
      <c r="N89" s="2671"/>
    </row>
    <row r="90" spans="2:14" ht="15" customHeight="1">
      <c r="E90" s="1074" t="s">
        <v>1965</v>
      </c>
      <c r="G90" s="1069" t="b">
        <f>OR(AND(COUNTIFS(G84:G85,"Yes")&gt;=1,G83="Yes"),G87="Yes")</f>
        <v>1</v>
      </c>
      <c r="L90" s="1117" t="str">
        <f>IF(OR('Points System'!H725="(ii)",'Points System'!H725="(i)"),"(i)","N/A")</f>
        <v>N/A</v>
      </c>
      <c r="M90" s="2670" t="s">
        <v>1924</v>
      </c>
      <c r="N90" s="2671"/>
    </row>
    <row r="91" spans="2:14" ht="15" customHeight="1">
      <c r="E91" s="1074"/>
      <c r="G91" s="1069"/>
      <c r="L91" s="1118" t="str">
        <f>'Points System'!H739</f>
        <v>N/A</v>
      </c>
      <c r="M91" s="2670" t="s">
        <v>1420</v>
      </c>
      <c r="N91" s="2671"/>
    </row>
    <row r="92" spans="2:14" ht="15" customHeight="1">
      <c r="E92" s="1074" t="s">
        <v>1910</v>
      </c>
      <c r="G92" s="1068">
        <f>IFERROR(IF($G$87="Yes",30000,INDEX(N83:N85,MATCH(LEFT(G86,17),L83:L85,0))),0)</f>
        <v>20000</v>
      </c>
      <c r="L92" s="1117" t="str">
        <f>'Points System'!H751</f>
        <v>N/A</v>
      </c>
      <c r="M92" s="2670" t="s">
        <v>1925</v>
      </c>
      <c r="N92" s="2671"/>
    </row>
    <row r="93" spans="2:14" ht="15" customHeight="1">
      <c r="E93" s="1074" t="str">
        <f>E110</f>
        <v>Bedroom-Adjusted Low-Income Units</v>
      </c>
      <c r="F93" s="1102" t="s">
        <v>1958</v>
      </c>
      <c r="G93" s="1103">
        <f>G29</f>
        <v>127.1</v>
      </c>
      <c r="L93" s="1117" t="str">
        <f>'Points System'!H767</f>
        <v>(i)</v>
      </c>
      <c r="M93" s="2670" t="s">
        <v>1926</v>
      </c>
      <c r="N93" s="2671"/>
    </row>
    <row r="94" spans="2:14" ht="15" customHeight="1" thickBot="1">
      <c r="D94" s="1036"/>
      <c r="E94" s="1107" t="s">
        <v>2204</v>
      </c>
      <c r="F94" s="1036"/>
      <c r="G94" s="1112">
        <f>G93*G92*G90</f>
        <v>2542000</v>
      </c>
      <c r="L94" s="1119" t="str">
        <f>'Points System'!H779</f>
        <v>(i)</v>
      </c>
      <c r="M94" s="2672" t="s">
        <v>1423</v>
      </c>
      <c r="N94" s="2673"/>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1941</v>
      </c>
      <c r="G98" s="1033" t="s">
        <v>667</v>
      </c>
    </row>
    <row r="99" spans="2:9" ht="15" customHeight="1">
      <c r="F99" s="1105"/>
    </row>
    <row r="100" spans="2:9" ht="15" customHeight="1">
      <c r="E100" s="1074" t="s">
        <v>1965</v>
      </c>
      <c r="G100" s="1069" t="b">
        <f>G98="Yes"</f>
        <v>0</v>
      </c>
    </row>
    <row r="101" spans="2:9" ht="15" customHeight="1"/>
    <row r="102" spans="2:9" ht="15" customHeight="1">
      <c r="E102" s="1074" t="str">
        <f>E110</f>
        <v>Bedroom-Adjusted Low-Income Units</v>
      </c>
      <c r="G102" s="1103">
        <f>G29</f>
        <v>127.1</v>
      </c>
    </row>
    <row r="103" spans="2:9" ht="15" customHeight="1">
      <c r="E103" s="1074" t="s">
        <v>1910</v>
      </c>
      <c r="F103" s="1102" t="s">
        <v>1958</v>
      </c>
      <c r="G103" s="1040">
        <v>20000</v>
      </c>
    </row>
    <row r="104" spans="2:9" ht="15" customHeight="1">
      <c r="E104" s="1107" t="s">
        <v>2205</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1921</v>
      </c>
      <c r="G108" s="1103">
        <f>VLOOKUP('Points System'!$H$619,'Points System'!$AO$599:$AP$604,2,FALSE)</f>
        <v>7</v>
      </c>
    </row>
    <row r="109" spans="2:9" ht="15" customHeight="1">
      <c r="E109" s="1074" t="s">
        <v>1910</v>
      </c>
      <c r="F109" s="1102" t="s">
        <v>1958</v>
      </c>
      <c r="G109" s="1066">
        <v>4000</v>
      </c>
    </row>
    <row r="110" spans="2:9" ht="15" customHeight="1">
      <c r="E110" s="1074" t="s">
        <v>1962</v>
      </c>
      <c r="F110" s="1102" t="s">
        <v>1958</v>
      </c>
      <c r="G110" s="1115">
        <f>G29</f>
        <v>127.1</v>
      </c>
    </row>
    <row r="111" spans="2:9" ht="15" customHeight="1">
      <c r="E111" s="1107" t="s">
        <v>1927</v>
      </c>
      <c r="F111" s="1036"/>
      <c r="G111" s="1112">
        <f>G108*G109*G110</f>
        <v>3558800</v>
      </c>
    </row>
    <row r="112" spans="2:9" ht="15" customHeight="1">
      <c r="C112" s="1067"/>
      <c r="G112" s="1103"/>
    </row>
    <row r="113" spans="2:7" ht="15" customHeight="1">
      <c r="E113" s="1074" t="s">
        <v>1963</v>
      </c>
      <c r="G113" s="1103">
        <f>COUNTIFS(L87:L94,"(i)")</f>
        <v>3</v>
      </c>
    </row>
    <row r="114" spans="2:7" ht="15" customHeight="1">
      <c r="E114" s="1074" t="s">
        <v>1910</v>
      </c>
      <c r="F114" s="1102" t="s">
        <v>1958</v>
      </c>
      <c r="G114" s="1113">
        <v>4000</v>
      </c>
    </row>
    <row r="115" spans="2:7" ht="15" customHeight="1">
      <c r="E115" s="1107" t="s">
        <v>1928</v>
      </c>
      <c r="F115" s="1036"/>
      <c r="G115" s="1112">
        <f>G110*G113*G114</f>
        <v>1525199.9999999998</v>
      </c>
    </row>
    <row r="116" spans="2:7" ht="15" customHeight="1"/>
    <row r="117" spans="2:7" ht="15" customHeight="1">
      <c r="C117" s="1070" t="s">
        <v>1930</v>
      </c>
    </row>
    <row r="118" spans="2:7" ht="15" customHeight="1">
      <c r="C118" s="1067" t="s">
        <v>1931</v>
      </c>
      <c r="G118" s="1033"/>
    </row>
    <row r="119" spans="2:7" ht="15" customHeight="1">
      <c r="C119" s="1067" t="s">
        <v>1932</v>
      </c>
      <c r="G119" s="1033"/>
    </row>
    <row r="120" spans="2:7" ht="15" customHeight="1">
      <c r="C120" s="1067" t="s">
        <v>2087</v>
      </c>
      <c r="G120" s="1033" t="s">
        <v>543</v>
      </c>
    </row>
    <row r="121" spans="2:7">
      <c r="C121" s="1067" t="s">
        <v>2088</v>
      </c>
      <c r="G121" s="1033"/>
    </row>
    <row r="123" spans="2:7">
      <c r="B123" s="1068"/>
      <c r="C123" s="1067"/>
      <c r="E123" s="1074" t="s">
        <v>1965</v>
      </c>
      <c r="G123" s="1069" t="b">
        <f>COUNTIFS(G118:G121,"Yes")&gt;=1</f>
        <v>1</v>
      </c>
    </row>
    <row r="124" spans="2:7">
      <c r="E124" s="1067"/>
    </row>
    <row r="125" spans="2:7" ht="15">
      <c r="E125" s="1074" t="s">
        <v>1962</v>
      </c>
      <c r="F125" s="1102" t="s">
        <v>1958</v>
      </c>
      <c r="G125" s="1103">
        <f>G29</f>
        <v>127.1</v>
      </c>
    </row>
    <row r="126" spans="2:7" ht="15">
      <c r="E126" s="1074" t="s">
        <v>1910</v>
      </c>
      <c r="F126" s="1102" t="s">
        <v>1958</v>
      </c>
      <c r="G126" s="1113">
        <v>25000</v>
      </c>
    </row>
    <row r="127" spans="2:7" ht="15">
      <c r="E127" s="1107" t="s">
        <v>1929</v>
      </c>
      <c r="F127" s="1036"/>
      <c r="G127" s="1112">
        <f>G123*G126*G110</f>
        <v>3177500</v>
      </c>
    </row>
    <row r="128" spans="2:7">
      <c r="C128" s="1067"/>
      <c r="E128" s="1067"/>
    </row>
    <row r="129" spans="2:9" ht="15">
      <c r="E129" s="1107" t="s">
        <v>2206</v>
      </c>
      <c r="G129" s="1112">
        <f>G127+G115+G111</f>
        <v>8261500</v>
      </c>
    </row>
    <row r="131" spans="2:9" ht="15">
      <c r="B131" s="1056" t="s">
        <v>139</v>
      </c>
      <c r="C131" s="1057"/>
      <c r="D131" s="1057"/>
      <c r="E131" s="1057"/>
      <c r="F131" s="1057"/>
      <c r="G131" s="1057"/>
      <c r="H131" s="1057"/>
      <c r="I131" s="1058"/>
    </row>
    <row r="133" spans="2:9">
      <c r="C133" s="2706" t="s">
        <v>2173</v>
      </c>
      <c r="D133" s="2706"/>
      <c r="E133" s="2706"/>
      <c r="F133" s="2706"/>
    </row>
    <row r="134" spans="2:9">
      <c r="C134" s="2706"/>
      <c r="D134" s="2706"/>
      <c r="E134" s="2706"/>
      <c r="F134" s="2706"/>
      <c r="G134" s="1033" t="s">
        <v>543</v>
      </c>
    </row>
    <row r="135" spans="2:9" ht="14.25" customHeight="1"/>
    <row r="136" spans="2:9">
      <c r="C136" s="1034" t="s">
        <v>2175</v>
      </c>
      <c r="G136" s="2708" t="s">
        <v>2751</v>
      </c>
      <c r="H136" s="2708"/>
    </row>
    <row r="137" spans="2:9">
      <c r="G137" s="2708" t="s">
        <v>2746</v>
      </c>
      <c r="H137" s="2708"/>
    </row>
    <row r="138" spans="2:9">
      <c r="G138" s="2709"/>
      <c r="H138" s="2709"/>
    </row>
    <row r="140" spans="2:9">
      <c r="C140" s="2706" t="s">
        <v>2580</v>
      </c>
      <c r="D140" s="2706"/>
      <c r="E140" s="2706"/>
      <c r="F140" s="2706"/>
    </row>
    <row r="141" spans="2:9">
      <c r="C141" s="2706"/>
      <c r="D141" s="2706"/>
      <c r="E141" s="2706"/>
      <c r="F141" s="2706"/>
      <c r="G141" s="1033" t="s">
        <v>543</v>
      </c>
    </row>
    <row r="142" spans="2:9">
      <c r="C142" s="2706"/>
      <c r="D142" s="2706"/>
      <c r="E142" s="2706"/>
      <c r="F142" s="2706"/>
    </row>
    <row r="144" spans="2:9">
      <c r="C144" s="2706" t="s">
        <v>2579</v>
      </c>
      <c r="D144" s="2706"/>
      <c r="E144" s="2706"/>
      <c r="F144" s="2706"/>
    </row>
    <row r="145" spans="2:9">
      <c r="C145" s="2706"/>
      <c r="D145" s="2706"/>
      <c r="E145" s="2706"/>
      <c r="F145" s="2706"/>
      <c r="G145" s="1033"/>
    </row>
    <row r="146" spans="2:9">
      <c r="C146" s="2706"/>
      <c r="D146" s="2706"/>
      <c r="E146" s="2706"/>
      <c r="F146" s="2706"/>
    </row>
    <row r="147" spans="2:9">
      <c r="C147" s="2706"/>
      <c r="D147" s="2706"/>
      <c r="E147" s="2706"/>
      <c r="F147" s="2706"/>
    </row>
    <row r="149" spans="2:9" ht="15">
      <c r="B149" s="1056" t="s">
        <v>1967</v>
      </c>
      <c r="C149" s="1057"/>
      <c r="D149" s="1057"/>
      <c r="E149" s="1057"/>
      <c r="F149" s="1057"/>
      <c r="G149" s="1057"/>
      <c r="H149" s="1057"/>
      <c r="I149" s="1058"/>
    </row>
    <row r="151" spans="2:9">
      <c r="E151" s="1074" t="s">
        <v>580</v>
      </c>
      <c r="G151" s="1034" t="str">
        <f>IF(Application!T189="","",Application!T189)</f>
        <v>Los Angeles</v>
      </c>
    </row>
    <row r="152" spans="2:9">
      <c r="E152" s="1074"/>
      <c r="G152" s="1068"/>
    </row>
    <row r="153" spans="2:9">
      <c r="E153" s="1074" t="str">
        <f>"2-Bedroom "&amp;G151&amp;" County Basis Limit"</f>
        <v>2-Bedroom Los Angeles County Basis Limit</v>
      </c>
      <c r="G153" s="1068">
        <f>Application!R997</f>
        <v>608800</v>
      </c>
    </row>
    <row r="154" spans="2:9">
      <c r="E154" s="1074" t="s">
        <v>1966</v>
      </c>
      <c r="G154" s="1068">
        <f>MEDIAN((Application!CU160:CU217))</f>
        <v>560000</v>
      </c>
    </row>
    <row r="155" spans="2:9" ht="15">
      <c r="D155" s="1036"/>
      <c r="E155" s="1107" t="s">
        <v>1968</v>
      </c>
      <c r="F155" s="1123"/>
      <c r="G155" s="1124">
        <f>((G153-G154)/G154)*0.25</f>
        <v>2.1785714285714287E-2</v>
      </c>
      <c r="H155" s="1032"/>
      <c r="I155" s="1032"/>
    </row>
    <row r="156" spans="2:9">
      <c r="D156" s="1035"/>
      <c r="E156" s="1035"/>
    </row>
    <row r="157" spans="2:9" ht="15">
      <c r="B157" s="1056" t="s">
        <v>2207</v>
      </c>
      <c r="C157" s="1057"/>
      <c r="D157" s="1057"/>
      <c r="E157" s="1057"/>
      <c r="F157" s="1057"/>
      <c r="G157" s="1057"/>
      <c r="H157" s="1057"/>
      <c r="I157" s="1058"/>
    </row>
    <row r="159" spans="2:9">
      <c r="E159" s="1074" t="s">
        <v>2560</v>
      </c>
      <c r="G159" s="1034" t="b">
        <f>G37</f>
        <v>0</v>
      </c>
    </row>
    <row r="160" spans="2:9">
      <c r="C160" s="2703" t="s">
        <v>2208</v>
      </c>
      <c r="D160" s="2703"/>
      <c r="E160" s="2703"/>
      <c r="F160" s="2703"/>
    </row>
    <row r="161" spans="2:7">
      <c r="B161" s="1035"/>
      <c r="C161" s="2703"/>
      <c r="D161" s="2703"/>
      <c r="E161" s="2703"/>
      <c r="F161" s="2703"/>
      <c r="G161" s="1033"/>
    </row>
    <row r="162" spans="2:7">
      <c r="B162" s="1035"/>
      <c r="C162" s="1035"/>
      <c r="D162" s="1035"/>
      <c r="E162" s="1035"/>
      <c r="F162" s="1035"/>
    </row>
    <row r="163" spans="2:7">
      <c r="E163" s="1074" t="s">
        <v>2210</v>
      </c>
      <c r="G163" s="1157"/>
    </row>
    <row r="165" spans="2:7">
      <c r="E165" s="1074" t="s">
        <v>2212</v>
      </c>
      <c r="G165" s="1156">
        <f>IF(I9=0,0,G163/I9)</f>
        <v>0</v>
      </c>
    </row>
    <row r="166" spans="2:7">
      <c r="E166" s="1074" t="s">
        <v>2209</v>
      </c>
      <c r="G166" s="1154">
        <f>I9*0.15</f>
        <v>3331396.9499999997</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7"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zoomScale="72" workbookViewId="0">
      <selection activeCell="N11" sqref="N11"/>
    </sheetView>
  </sheetViews>
  <sheetFormatPr defaultColWidth="9.140625" defaultRowHeight="14.25" zeroHeight="1"/>
  <cols>
    <col min="1" max="2" width="15.7109375" style="304" customWidth="1"/>
    <col min="3" max="3" width="11" style="304" customWidth="1"/>
    <col min="4" max="4" width="15.7109375" style="304" customWidth="1"/>
    <col min="5" max="5" width="3.7109375" style="304" customWidth="1"/>
    <col min="6" max="7" width="15.7109375" style="304" customWidth="1"/>
    <col min="8" max="8" width="3.7109375" style="304" customWidth="1"/>
    <col min="9" max="10" width="15.7109375" style="304" customWidth="1"/>
    <col min="11" max="11" width="3.28515625" style="304" customWidth="1"/>
    <col min="12" max="17" width="15.7109375" style="304" customWidth="1"/>
    <col min="18" max="16384" width="9.140625" style="304"/>
  </cols>
  <sheetData>
    <row r="1" spans="1:12">
      <c r="A1" s="2711" t="s">
        <v>907</v>
      </c>
      <c r="B1" s="2711"/>
      <c r="C1" s="2711"/>
      <c r="D1" s="2711"/>
      <c r="E1" s="2711"/>
      <c r="F1" s="2711"/>
      <c r="G1" s="2711"/>
      <c r="H1" s="2711"/>
      <c r="I1" s="2711"/>
      <c r="J1" s="2711"/>
      <c r="K1" s="204"/>
      <c r="L1" s="204"/>
    </row>
    <row r="2" spans="1:12">
      <c r="A2" s="210"/>
      <c r="B2" s="210"/>
      <c r="C2" s="210"/>
      <c r="D2" s="210"/>
      <c r="E2" s="210"/>
      <c r="F2" s="210"/>
      <c r="G2" s="210"/>
      <c r="H2" s="210"/>
      <c r="I2" s="210"/>
      <c r="J2" s="210"/>
    </row>
    <row r="3" spans="1:12" ht="100.5">
      <c r="A3" s="422" t="s">
        <v>908</v>
      </c>
      <c r="B3" s="422" t="s">
        <v>2194</v>
      </c>
      <c r="C3" s="422" t="s">
        <v>2195</v>
      </c>
      <c r="D3" s="1135" t="s">
        <v>2196</v>
      </c>
      <c r="E3" s="204"/>
      <c r="F3" s="1135" t="s">
        <v>909</v>
      </c>
      <c r="G3" s="422" t="s">
        <v>910</v>
      </c>
      <c r="H3" s="423"/>
      <c r="I3" s="422" t="s">
        <v>911</v>
      </c>
      <c r="J3" s="422" t="s">
        <v>912</v>
      </c>
      <c r="K3" s="204"/>
      <c r="L3" s="305"/>
    </row>
    <row r="4" spans="1:12">
      <c r="A4" s="424" t="str">
        <f>Application!B726</f>
        <v>SRO/Studio</v>
      </c>
      <c r="B4" s="1072">
        <f>Application!G726</f>
        <v>14</v>
      </c>
      <c r="C4" s="1150" t="s">
        <v>299</v>
      </c>
      <c r="D4" s="424">
        <f>Application!O726</f>
        <v>781</v>
      </c>
      <c r="E4" s="425"/>
      <c r="F4" s="1073">
        <f>1840-93</f>
        <v>1747</v>
      </c>
      <c r="G4" s="424">
        <f>F4*B4</f>
        <v>24458</v>
      </c>
      <c r="H4" s="425"/>
      <c r="I4" s="424">
        <f>IF(F4=0,"",MAX((F4-D4),0))</f>
        <v>966</v>
      </c>
      <c r="J4" s="424">
        <f t="shared" ref="J4:J27" si="0">IF(F4=0,"",(I4*B4))</f>
        <v>13524</v>
      </c>
      <c r="K4" s="204"/>
      <c r="L4" s="305"/>
    </row>
    <row r="5" spans="1:12">
      <c r="A5" s="424" t="str">
        <f>Application!B727</f>
        <v>1 Bedroom</v>
      </c>
      <c r="B5" s="1072">
        <f>Application!G727</f>
        <v>39</v>
      </c>
      <c r="C5" s="1150" t="s">
        <v>299</v>
      </c>
      <c r="D5" s="424">
        <f>Application!O727</f>
        <v>828</v>
      </c>
      <c r="E5" s="425"/>
      <c r="F5" s="1073">
        <f>2060-109</f>
        <v>1951</v>
      </c>
      <c r="G5" s="424">
        <f t="shared" ref="G5:G38" si="1">F5*B5</f>
        <v>76089</v>
      </c>
      <c r="H5" s="425"/>
      <c r="I5" s="424">
        <f t="shared" ref="I5:I38" si="2">IF(F5=0,"",MAX((F5-D5),0))</f>
        <v>1123</v>
      </c>
      <c r="J5" s="424">
        <f t="shared" si="0"/>
        <v>43797</v>
      </c>
      <c r="K5" s="204"/>
      <c r="L5" s="305"/>
    </row>
    <row r="6" spans="1:12">
      <c r="A6" s="424" t="str">
        <f>Application!B728</f>
        <v>2 Bedrooms</v>
      </c>
      <c r="B6" s="1072">
        <f>Application!G728</f>
        <v>2</v>
      </c>
      <c r="C6" s="1150" t="s">
        <v>299</v>
      </c>
      <c r="D6" s="424">
        <f>Application!O728</f>
        <v>1722</v>
      </c>
      <c r="E6" s="425"/>
      <c r="F6" s="1073"/>
      <c r="G6" s="424">
        <f t="shared" si="1"/>
        <v>0</v>
      </c>
      <c r="H6" s="425"/>
      <c r="I6" s="424" t="str">
        <f t="shared" si="2"/>
        <v/>
      </c>
      <c r="J6" s="424" t="str">
        <f t="shared" si="0"/>
        <v/>
      </c>
      <c r="K6" s="204"/>
      <c r="L6" s="305"/>
    </row>
    <row r="7" spans="1:12">
      <c r="A7" s="424" t="str">
        <f>Application!B729</f>
        <v>2 Bedrooms</v>
      </c>
      <c r="B7" s="1072">
        <f>Application!G729</f>
        <v>26</v>
      </c>
      <c r="C7" s="1150" t="s">
        <v>299</v>
      </c>
      <c r="D7" s="424">
        <f>Application!O729</f>
        <v>2472</v>
      </c>
      <c r="E7" s="425"/>
      <c r="F7" s="1073"/>
      <c r="G7" s="424">
        <f t="shared" si="1"/>
        <v>0</v>
      </c>
      <c r="H7" s="425"/>
      <c r="I7" s="424" t="str">
        <f t="shared" si="2"/>
        <v/>
      </c>
      <c r="J7" s="424" t="str">
        <f t="shared" si="0"/>
        <v/>
      </c>
      <c r="K7" s="204"/>
      <c r="L7" s="305"/>
    </row>
    <row r="8" spans="1:12">
      <c r="A8" s="424" t="str">
        <f>Application!B730</f>
        <v>3 Bedrooms</v>
      </c>
      <c r="B8" s="1072">
        <f>Application!G730</f>
        <v>27</v>
      </c>
      <c r="C8" s="1150" t="s">
        <v>299</v>
      </c>
      <c r="D8" s="424">
        <f>Application!O730</f>
        <v>2838</v>
      </c>
      <c r="E8" s="425"/>
      <c r="F8" s="1073"/>
      <c r="G8" s="424">
        <f t="shared" si="1"/>
        <v>0</v>
      </c>
      <c r="H8" s="425"/>
      <c r="I8" s="424" t="str">
        <f t="shared" si="2"/>
        <v/>
      </c>
      <c r="J8" s="424" t="str">
        <f t="shared" si="0"/>
        <v/>
      </c>
      <c r="K8" s="204"/>
      <c r="L8" s="305"/>
    </row>
    <row r="9" spans="1:12">
      <c r="A9" s="424">
        <f>Application!B731</f>
        <v>0</v>
      </c>
      <c r="B9" s="1072">
        <f>Application!G731</f>
        <v>0</v>
      </c>
      <c r="C9" s="1150"/>
      <c r="D9" s="424">
        <f>Application!O731</f>
        <v>0</v>
      </c>
      <c r="E9" s="425"/>
      <c r="F9" s="1073"/>
      <c r="G9" s="424">
        <f t="shared" si="1"/>
        <v>0</v>
      </c>
      <c r="H9" s="425"/>
      <c r="I9" s="424" t="str">
        <f t="shared" si="2"/>
        <v/>
      </c>
      <c r="J9" s="424" t="str">
        <f t="shared" si="0"/>
        <v/>
      </c>
      <c r="K9" s="204"/>
      <c r="L9" s="305"/>
    </row>
    <row r="10" spans="1:12">
      <c r="A10" s="424">
        <f>Application!B732</f>
        <v>0</v>
      </c>
      <c r="B10" s="1072">
        <f>Application!G732</f>
        <v>0</v>
      </c>
      <c r="C10" s="1150"/>
      <c r="D10" s="424">
        <f>Application!O732</f>
        <v>0</v>
      </c>
      <c r="E10" s="425"/>
      <c r="F10" s="1073"/>
      <c r="G10" s="424">
        <f t="shared" si="1"/>
        <v>0</v>
      </c>
      <c r="H10" s="425"/>
      <c r="I10" s="424" t="str">
        <f t="shared" si="2"/>
        <v/>
      </c>
      <c r="J10" s="424" t="str">
        <f t="shared" si="0"/>
        <v/>
      </c>
      <c r="K10" s="204"/>
      <c r="L10" s="305"/>
    </row>
    <row r="11" spans="1:12">
      <c r="A11" s="424">
        <f>Application!B733</f>
        <v>0</v>
      </c>
      <c r="B11" s="1072">
        <f>Application!G733</f>
        <v>0</v>
      </c>
      <c r="C11" s="1150"/>
      <c r="D11" s="424">
        <f>Application!O733</f>
        <v>0</v>
      </c>
      <c r="E11" s="425"/>
      <c r="F11" s="1073"/>
      <c r="G11" s="424">
        <f t="shared" si="1"/>
        <v>0</v>
      </c>
      <c r="H11" s="425"/>
      <c r="I11" s="424" t="str">
        <f t="shared" si="2"/>
        <v/>
      </c>
      <c r="J11" s="424" t="str">
        <f t="shared" si="0"/>
        <v/>
      </c>
      <c r="K11" s="204"/>
      <c r="L11" s="305"/>
    </row>
    <row r="12" spans="1:12">
      <c r="A12" s="424">
        <f>Application!B734</f>
        <v>0</v>
      </c>
      <c r="B12" s="1072">
        <f>Application!G734</f>
        <v>0</v>
      </c>
      <c r="C12" s="1150"/>
      <c r="D12" s="424">
        <f>Application!O734</f>
        <v>0</v>
      </c>
      <c r="E12" s="425"/>
      <c r="F12" s="1073"/>
      <c r="G12" s="424">
        <f t="shared" si="1"/>
        <v>0</v>
      </c>
      <c r="H12" s="425"/>
      <c r="I12" s="424" t="str">
        <f t="shared" si="2"/>
        <v/>
      </c>
      <c r="J12" s="424" t="str">
        <f t="shared" si="0"/>
        <v/>
      </c>
      <c r="K12" s="204"/>
      <c r="L12" s="305"/>
    </row>
    <row r="13" spans="1:12">
      <c r="A13" s="424">
        <f>Application!B735</f>
        <v>0</v>
      </c>
      <c r="B13" s="1072">
        <f>Application!G735</f>
        <v>0</v>
      </c>
      <c r="C13" s="1150"/>
      <c r="D13" s="424">
        <f>Application!O735</f>
        <v>0</v>
      </c>
      <c r="E13" s="425"/>
      <c r="F13" s="1073"/>
      <c r="G13" s="424">
        <f t="shared" si="1"/>
        <v>0</v>
      </c>
      <c r="H13" s="425"/>
      <c r="I13" s="424" t="str">
        <f t="shared" si="2"/>
        <v/>
      </c>
      <c r="J13" s="424" t="str">
        <f t="shared" si="0"/>
        <v/>
      </c>
      <c r="K13" s="204"/>
      <c r="L13" s="305"/>
    </row>
    <row r="14" spans="1:12">
      <c r="A14" s="424">
        <f>Application!B736</f>
        <v>0</v>
      </c>
      <c r="B14" s="1072">
        <f>Application!G736</f>
        <v>0</v>
      </c>
      <c r="C14" s="1150"/>
      <c r="D14" s="424">
        <f>Application!O736</f>
        <v>0</v>
      </c>
      <c r="E14" s="425"/>
      <c r="F14" s="1073"/>
      <c r="G14" s="424">
        <f t="shared" si="1"/>
        <v>0</v>
      </c>
      <c r="H14" s="425"/>
      <c r="I14" s="424" t="str">
        <f t="shared" si="2"/>
        <v/>
      </c>
      <c r="J14" s="424" t="str">
        <f t="shared" si="0"/>
        <v/>
      </c>
      <c r="K14" s="204"/>
      <c r="L14" s="305"/>
    </row>
    <row r="15" spans="1:12">
      <c r="A15" s="424">
        <f>Application!B737</f>
        <v>0</v>
      </c>
      <c r="B15" s="1072">
        <f>Application!G737</f>
        <v>0</v>
      </c>
      <c r="C15" s="1150"/>
      <c r="D15" s="424">
        <f>Application!O737</f>
        <v>0</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5">
      <c r="A40" s="426" t="s">
        <v>913</v>
      </c>
      <c r="B40" s="427"/>
      <c r="C40" s="427"/>
      <c r="D40" s="428">
        <f>Application!O761</f>
        <v>187568</v>
      </c>
      <c r="E40" s="425"/>
      <c r="F40" s="425"/>
      <c r="G40" s="428">
        <f>SUM(G4:G38)*12</f>
        <v>1206564</v>
      </c>
      <c r="H40" s="429"/>
      <c r="I40" s="427"/>
      <c r="J40" s="428">
        <f>SUM(J4:J38)*12</f>
        <v>687852</v>
      </c>
      <c r="K40" s="204"/>
      <c r="L40" s="306"/>
    </row>
    <row r="41" spans="1:12" ht="15">
      <c r="A41" s="426"/>
      <c r="B41" s="427"/>
      <c r="C41" s="427"/>
      <c r="D41" s="429"/>
      <c r="E41" s="425"/>
      <c r="F41" s="425"/>
      <c r="G41" s="429"/>
      <c r="H41" s="429"/>
      <c r="I41" s="427"/>
      <c r="J41" s="429"/>
      <c r="K41" s="204"/>
      <c r="L41" s="306"/>
    </row>
    <row r="42" spans="1:12">
      <c r="A42" s="304" t="s">
        <v>2197</v>
      </c>
    </row>
    <row r="43" spans="1:12">
      <c r="A43" s="2712" t="s">
        <v>2418</v>
      </c>
      <c r="B43" s="2712"/>
      <c r="C43" s="2712"/>
      <c r="D43" s="2712"/>
      <c r="E43" s="2712"/>
      <c r="F43" s="2712"/>
      <c r="G43" s="2712"/>
      <c r="H43" s="2712"/>
      <c r="I43" s="2712"/>
      <c r="J43" s="2712"/>
    </row>
    <row r="44" spans="1:12">
      <c r="A44" s="2712"/>
      <c r="B44" s="2712"/>
      <c r="C44" s="2712"/>
      <c r="D44" s="2712"/>
      <c r="E44" s="2712"/>
      <c r="F44" s="2712"/>
      <c r="G44" s="2712"/>
      <c r="H44" s="2712"/>
      <c r="I44" s="2712"/>
      <c r="J44" s="2712"/>
    </row>
    <row r="45" spans="1:12">
      <c r="A45" s="2712" t="s">
        <v>2198</v>
      </c>
      <c r="B45" s="2712"/>
      <c r="C45" s="2712"/>
      <c r="D45" s="2712"/>
      <c r="E45" s="2712"/>
      <c r="F45" s="2712"/>
      <c r="G45" s="2712"/>
      <c r="H45" s="2712"/>
      <c r="I45" s="2712"/>
      <c r="J45" s="2712"/>
    </row>
    <row r="46" spans="1:12">
      <c r="A46" s="2712"/>
      <c r="B46" s="2712"/>
      <c r="C46" s="2712"/>
      <c r="D46" s="2712"/>
      <c r="E46" s="2712"/>
      <c r="F46" s="2712"/>
      <c r="G46" s="2712"/>
      <c r="H46" s="2712"/>
      <c r="I46" s="2712"/>
      <c r="J46" s="2712"/>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71"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A27" zoomScale="89" zoomScaleNormal="100" workbookViewId="0">
      <selection activeCell="E54" sqref="E54"/>
    </sheetView>
  </sheetViews>
  <sheetFormatPr defaultColWidth="0" defaultRowHeight="12.75" zeroHeight="1"/>
  <cols>
    <col min="1" max="1" width="3.7109375" customWidth="1"/>
    <col min="2" max="2" width="30.42578125" customWidth="1"/>
    <col min="3" max="3" width="9.140625" style="214" customWidth="1"/>
    <col min="4" max="4" width="2.7109375" customWidth="1"/>
    <col min="5" max="5" width="12.7109375" customWidth="1"/>
    <col min="6" max="6" width="2.7109375" customWidth="1"/>
    <col min="7" max="7" width="12.7109375" customWidth="1"/>
    <col min="8" max="8" width="2.7109375" customWidth="1"/>
    <col min="9" max="9" width="12.7109375" customWidth="1"/>
    <col min="10" max="10" width="2.7109375" customWidth="1"/>
    <col min="11" max="11" width="12.7109375" customWidth="1"/>
    <col min="12" max="12" width="2.7109375" customWidth="1"/>
    <col min="13" max="13" width="12.7109375" customWidth="1"/>
    <col min="14" max="14" width="2.7109375" customWidth="1"/>
    <col min="15" max="15" width="12.7109375" customWidth="1"/>
    <col min="16" max="16" width="2.7109375" customWidth="1"/>
    <col min="17" max="17" width="12.7109375" customWidth="1"/>
    <col min="18" max="18" width="2.7109375" customWidth="1"/>
    <col min="19" max="19" width="12.7109375" customWidth="1"/>
    <col min="20" max="20" width="2.7109375" customWidth="1"/>
    <col min="21" max="21" width="12.7109375" customWidth="1"/>
    <col min="22" max="22" width="2.7109375" customWidth="1"/>
    <col min="23" max="23" width="12.7109375" customWidth="1"/>
    <col min="24" max="24" width="2.7109375" customWidth="1"/>
    <col min="25" max="25" width="12.7109375" customWidth="1"/>
    <col min="26" max="26" width="2.7109375" customWidth="1"/>
    <col min="27" max="27" width="12.7109375" customWidth="1"/>
    <col min="28" max="28" width="2.7109375" customWidth="1"/>
    <col min="29" max="29" width="12.7109375" customWidth="1"/>
    <col min="30" max="30" width="2.7109375" customWidth="1"/>
    <col min="31" max="31" width="12.7109375" customWidth="1"/>
    <col min="32" max="32" width="2.7109375" customWidth="1"/>
    <col min="33" max="33" width="12.7109375" customWidth="1"/>
    <col min="34" max="34" width="2.7109375" customWidth="1"/>
    <col min="35" max="35" width="0" hidden="1" customWidth="1"/>
    <col min="36" max="16384" width="8.85546875" hidden="1"/>
  </cols>
  <sheetData>
    <row r="1" spans="1:34" ht="18">
      <c r="A1" s="211" t="s">
        <v>2041</v>
      </c>
      <c r="B1" s="211"/>
    </row>
    <row r="2" spans="1:34"/>
    <row r="3" spans="1:34" ht="15.75">
      <c r="A3" s="212" t="s">
        <v>817</v>
      </c>
      <c r="B3" s="212"/>
      <c r="C3" s="235" t="s">
        <v>818</v>
      </c>
      <c r="D3" s="13"/>
      <c r="E3" s="236" t="s">
        <v>819</v>
      </c>
      <c r="F3" s="203"/>
      <c r="G3" s="236" t="s">
        <v>820</v>
      </c>
      <c r="H3" s="203"/>
      <c r="I3" s="236" t="s">
        <v>821</v>
      </c>
      <c r="J3" s="203"/>
      <c r="K3" s="236" t="s">
        <v>822</v>
      </c>
      <c r="L3" s="203"/>
      <c r="M3" s="236" t="s">
        <v>823</v>
      </c>
      <c r="N3" s="203"/>
      <c r="O3" s="236" t="s">
        <v>824</v>
      </c>
      <c r="P3" s="203"/>
      <c r="Q3" s="236" t="s">
        <v>825</v>
      </c>
      <c r="R3" s="203"/>
      <c r="S3" s="236" t="s">
        <v>826</v>
      </c>
      <c r="T3" s="203"/>
      <c r="U3" s="236" t="s">
        <v>827</v>
      </c>
      <c r="V3" s="203"/>
      <c r="W3" s="236" t="s">
        <v>828</v>
      </c>
      <c r="X3" s="203"/>
      <c r="Y3" s="236" t="s">
        <v>829</v>
      </c>
      <c r="Z3" s="203"/>
      <c r="AA3" s="236" t="s">
        <v>830</v>
      </c>
      <c r="AB3" s="203"/>
      <c r="AC3" s="236" t="s">
        <v>831</v>
      </c>
      <c r="AD3" s="203"/>
      <c r="AE3" s="236" t="s">
        <v>832</v>
      </c>
      <c r="AF3" s="203"/>
      <c r="AG3" s="236" t="s">
        <v>833</v>
      </c>
      <c r="AH3" s="13"/>
    </row>
    <row r="4" spans="1:34" s="219" customFormat="1" ht="14.25">
      <c r="A4" s="219" t="s">
        <v>835</v>
      </c>
      <c r="C4" s="237">
        <v>1.0249999999999999</v>
      </c>
      <c r="E4" s="219">
        <f>Application!Y809</f>
        <v>2250816</v>
      </c>
      <c r="G4" s="219">
        <f>E4*$C$4</f>
        <v>2307086.4</v>
      </c>
      <c r="I4" s="219">
        <f>G4*$C$4</f>
        <v>2364763.5599999996</v>
      </c>
      <c r="K4" s="219">
        <f>I4*$C$4</f>
        <v>2423882.6489999993</v>
      </c>
      <c r="M4" s="219">
        <f>K4*$C$4</f>
        <v>2484479.715224999</v>
      </c>
      <c r="O4" s="219">
        <f>M4*$C$4</f>
        <v>2546591.7081056237</v>
      </c>
      <c r="Q4" s="219">
        <f>O4*$C$4</f>
        <v>2610256.5008082641</v>
      </c>
      <c r="S4" s="219">
        <f>Q4*$C$4</f>
        <v>2675512.9133284707</v>
      </c>
      <c r="U4" s="219">
        <f>S4*$C$4</f>
        <v>2742400.7361616823</v>
      </c>
      <c r="W4" s="219">
        <f>U4*$C$4</f>
        <v>2810960.7545657242</v>
      </c>
      <c r="Y4" s="219">
        <f>W4*$C$4</f>
        <v>2881234.7734298669</v>
      </c>
      <c r="AA4" s="219">
        <f>Y4*$C$4</f>
        <v>2953265.6427656133</v>
      </c>
      <c r="AC4" s="219">
        <f>AA4*$C$4</f>
        <v>3027097.2838347536</v>
      </c>
      <c r="AE4" s="219">
        <f>AC4*$C$4</f>
        <v>3102774.7159306221</v>
      </c>
      <c r="AG4" s="219">
        <f>AE4*$C$4</f>
        <v>3180344.0838288874</v>
      </c>
    </row>
    <row r="5" spans="1:34" s="210" customFormat="1" ht="14.25">
      <c r="B5" s="210" t="s">
        <v>836</v>
      </c>
      <c r="C5" s="238">
        <f>IF(Application!$D$211="Special Needs",(((0.1*Application!$T$212)+(0.05*(1-Application!$T$212)))),0.05)</f>
        <v>0.05</v>
      </c>
      <c r="E5" s="221">
        <f>-E4*$C$5</f>
        <v>-112540.8</v>
      </c>
      <c r="F5" s="221"/>
      <c r="G5" s="221">
        <f>-G4*$C$5</f>
        <v>-115354.32</v>
      </c>
      <c r="H5" s="221"/>
      <c r="I5" s="221">
        <f>-I4*$C$5</f>
        <v>-118238.17799999999</v>
      </c>
      <c r="J5" s="221"/>
      <c r="K5" s="221">
        <f>-K4*$C$5</f>
        <v>-121194.13244999998</v>
      </c>
      <c r="L5" s="221"/>
      <c r="M5" s="221">
        <f>-M4*$C$5</f>
        <v>-124223.98576124996</v>
      </c>
      <c r="N5" s="221"/>
      <c r="O5" s="221">
        <f>-O4*$C$5</f>
        <v>-127329.58540528119</v>
      </c>
      <c r="P5" s="221"/>
      <c r="Q5" s="221">
        <f>-Q4*$C$5</f>
        <v>-130512.82504041321</v>
      </c>
      <c r="R5" s="221"/>
      <c r="S5" s="221">
        <f>-S4*$C$5</f>
        <v>-133775.64566642354</v>
      </c>
      <c r="T5" s="221"/>
      <c r="U5" s="221">
        <f>-U4*$C$5</f>
        <v>-137120.03680808411</v>
      </c>
      <c r="V5" s="221"/>
      <c r="W5" s="221">
        <f>-W4*$C$5</f>
        <v>-140548.0377282862</v>
      </c>
      <c r="X5" s="221"/>
      <c r="Y5" s="221">
        <f>-Y4*$C$5</f>
        <v>-144061.73867149334</v>
      </c>
      <c r="Z5" s="221"/>
      <c r="AA5" s="221">
        <f>-AA4*$C$5</f>
        <v>-147663.28213828066</v>
      </c>
      <c r="AB5" s="221"/>
      <c r="AC5" s="221">
        <f>-AC4*$C$5</f>
        <v>-151354.8641917377</v>
      </c>
      <c r="AD5" s="221"/>
      <c r="AE5" s="221">
        <f>-AE4*$C$5</f>
        <v>-155138.73579653111</v>
      </c>
      <c r="AF5" s="221"/>
      <c r="AG5" s="221">
        <f>-AG4*$C$5</f>
        <v>-159017.20419144438</v>
      </c>
    </row>
    <row r="6" spans="1:34" s="210" customFormat="1" ht="14.25">
      <c r="A6" s="210" t="s">
        <v>834</v>
      </c>
      <c r="C6" s="237">
        <v>1.0249999999999999</v>
      </c>
      <c r="E6" s="222">
        <f>Application!Z817</f>
        <v>687852</v>
      </c>
      <c r="F6" s="222"/>
      <c r="G6" s="222">
        <f>E6*$C$6</f>
        <v>705048.29999999993</v>
      </c>
      <c r="H6" s="222"/>
      <c r="I6" s="222">
        <f>G6*$C$6</f>
        <v>722674.50749999983</v>
      </c>
      <c r="J6" s="222"/>
      <c r="K6" s="222">
        <f>I6*$C$6</f>
        <v>740741.37018749979</v>
      </c>
      <c r="L6" s="222"/>
      <c r="M6" s="222">
        <f>K6*$C$6</f>
        <v>759259.90444218717</v>
      </c>
      <c r="N6" s="222"/>
      <c r="O6" s="222">
        <f>M6*$C$6</f>
        <v>778241.40205324173</v>
      </c>
      <c r="P6" s="222"/>
      <c r="Q6" s="222">
        <f>O6*$C$6</f>
        <v>797697.43710457266</v>
      </c>
      <c r="R6" s="222"/>
      <c r="S6" s="222">
        <f>Q6*$C$6</f>
        <v>817639.87303218688</v>
      </c>
      <c r="T6" s="222"/>
      <c r="U6" s="222">
        <f>S6*$C$6</f>
        <v>838080.86985799146</v>
      </c>
      <c r="V6" s="222"/>
      <c r="W6" s="222">
        <f>U6*$C$6</f>
        <v>859032.89160444122</v>
      </c>
      <c r="X6" s="222"/>
      <c r="Y6" s="222">
        <f>W6*$C$6</f>
        <v>880508.7138945522</v>
      </c>
      <c r="Z6" s="222"/>
      <c r="AA6" s="222">
        <f>Y6*$C$6</f>
        <v>902521.43174191588</v>
      </c>
      <c r="AB6" s="222"/>
      <c r="AC6" s="222">
        <f>AA6*$C$6</f>
        <v>925084.46753546374</v>
      </c>
      <c r="AD6" s="222"/>
      <c r="AE6" s="222">
        <f>AC6*$C$6</f>
        <v>948211.57922385028</v>
      </c>
      <c r="AF6" s="222"/>
      <c r="AG6" s="222">
        <f>AE6*$C$6</f>
        <v>971916.86870444648</v>
      </c>
    </row>
    <row r="7" spans="1:34" s="210" customFormat="1" ht="14.25">
      <c r="B7" s="210" t="s">
        <v>836</v>
      </c>
      <c r="C7" s="238">
        <f>IF(Application!$D$211="Special Needs",(((0.1*Application!$T$212)+(0.05*(1-Application!$T$212)))),0.05)</f>
        <v>0.05</v>
      </c>
      <c r="E7" s="221">
        <f>-E6*$C$7</f>
        <v>-34392.6</v>
      </c>
      <c r="F7" s="221"/>
      <c r="G7" s="221">
        <f>-G6*$C$7</f>
        <v>-35252.415000000001</v>
      </c>
      <c r="H7" s="221"/>
      <c r="I7" s="221">
        <f>-I6*$C$7</f>
        <v>-36133.725374999995</v>
      </c>
      <c r="J7" s="221"/>
      <c r="K7" s="221">
        <f>-K6*$C$7</f>
        <v>-37037.068509374993</v>
      </c>
      <c r="L7" s="221"/>
      <c r="M7" s="221">
        <f>-M6*$C$7</f>
        <v>-37962.995222109363</v>
      </c>
      <c r="N7" s="221"/>
      <c r="O7" s="221">
        <f>-O6*$C$7</f>
        <v>-38912.070102662088</v>
      </c>
      <c r="P7" s="221"/>
      <c r="Q7" s="221">
        <f>-Q6*$C$7</f>
        <v>-39884.871855228637</v>
      </c>
      <c r="R7" s="221"/>
      <c r="S7" s="221">
        <f>-S6*$C$7</f>
        <v>-40881.993651609344</v>
      </c>
      <c r="T7" s="221"/>
      <c r="U7" s="221">
        <f>-U6*$C$7</f>
        <v>-41904.043492899575</v>
      </c>
      <c r="V7" s="221"/>
      <c r="W7" s="221">
        <f>-W6*$C$7</f>
        <v>-42951.644580222062</v>
      </c>
      <c r="X7" s="221"/>
      <c r="Y7" s="221">
        <f>-Y6*$C$7</f>
        <v>-44025.43569472761</v>
      </c>
      <c r="Z7" s="221"/>
      <c r="AA7" s="221">
        <f>-AA6*$C$7</f>
        <v>-45126.071587095794</v>
      </c>
      <c r="AB7" s="221"/>
      <c r="AC7" s="221">
        <f>-AC6*$C$7</f>
        <v>-46254.223376773189</v>
      </c>
      <c r="AD7" s="221"/>
      <c r="AE7" s="221">
        <f>-AE6*$C$7</f>
        <v>-47410.578961192514</v>
      </c>
      <c r="AF7" s="221"/>
      <c r="AG7" s="221">
        <f>-AG6*$C$7</f>
        <v>-48595.843435222327</v>
      </c>
    </row>
    <row r="8" spans="1:34" s="210" customFormat="1" ht="14.25">
      <c r="A8" s="210" t="s">
        <v>287</v>
      </c>
      <c r="C8" s="237">
        <v>1.0249999999999999</v>
      </c>
      <c r="E8" s="222">
        <f>Application!Z825</f>
        <v>13080</v>
      </c>
      <c r="F8" s="222"/>
      <c r="G8" s="222">
        <f>E8*$C$8</f>
        <v>13406.999999999998</v>
      </c>
      <c r="H8" s="222"/>
      <c r="I8" s="222">
        <f>G8*$C$8</f>
        <v>13742.174999999997</v>
      </c>
      <c r="J8" s="222"/>
      <c r="K8" s="222">
        <f>I8*$C$8</f>
        <v>14085.729374999995</v>
      </c>
      <c r="L8" s="222"/>
      <c r="M8" s="222">
        <f>K8*$C$8</f>
        <v>14437.872609374994</v>
      </c>
      <c r="N8" s="222"/>
      <c r="O8" s="222">
        <f>M8*$C$8</f>
        <v>14798.819424609368</v>
      </c>
      <c r="P8" s="222"/>
      <c r="Q8" s="222">
        <f>O8*$C$8</f>
        <v>15168.789910224601</v>
      </c>
      <c r="R8" s="222"/>
      <c r="S8" s="222">
        <f>Q8*$C$8</f>
        <v>15548.009657980214</v>
      </c>
      <c r="T8" s="222"/>
      <c r="U8" s="222">
        <f>S8*$C$8</f>
        <v>15936.709899429718</v>
      </c>
      <c r="V8" s="222"/>
      <c r="W8" s="222">
        <f>U8*$C$8</f>
        <v>16335.127646915458</v>
      </c>
      <c r="X8" s="222"/>
      <c r="Y8" s="222">
        <f>W8*$C$8</f>
        <v>16743.505838088342</v>
      </c>
      <c r="Z8" s="222"/>
      <c r="AA8" s="222">
        <f>Y8*$C$8</f>
        <v>17162.09348404055</v>
      </c>
      <c r="AB8" s="222"/>
      <c r="AC8" s="222">
        <f>AA8*$C$8</f>
        <v>17591.145821141563</v>
      </c>
      <c r="AD8" s="222"/>
      <c r="AE8" s="222">
        <f>AC8*$C$8</f>
        <v>18030.924466670102</v>
      </c>
      <c r="AF8" s="222"/>
      <c r="AG8" s="222">
        <f>AE8*$C$8</f>
        <v>18481.697578336851</v>
      </c>
    </row>
    <row r="9" spans="1:34" s="210" customFormat="1" ht="14.25">
      <c r="B9" s="210" t="s">
        <v>836</v>
      </c>
      <c r="C9" s="238">
        <f>IF(Application!$D$211="Special Needs",(((0.1*Application!$T$212)+(0.05*(1-Application!$T$212)))),0.05)</f>
        <v>0.05</v>
      </c>
      <c r="E9" s="221">
        <f>-E8*$C$9</f>
        <v>-654</v>
      </c>
      <c r="F9" s="221"/>
      <c r="G9" s="221">
        <f>-G8*$C$9</f>
        <v>-670.34999999999991</v>
      </c>
      <c r="H9" s="221"/>
      <c r="I9" s="221">
        <f>-I8*$C$9</f>
        <v>-687.10874999999987</v>
      </c>
      <c r="J9" s="221"/>
      <c r="K9" s="221">
        <f>-K8*$C$9</f>
        <v>-704.28646874999981</v>
      </c>
      <c r="L9" s="221"/>
      <c r="M9" s="221">
        <f>-M8*$C$9</f>
        <v>-721.89363046874973</v>
      </c>
      <c r="N9" s="221"/>
      <c r="O9" s="221">
        <f>-O8*$C$9</f>
        <v>-739.94097123046845</v>
      </c>
      <c r="P9" s="221"/>
      <c r="Q9" s="221">
        <f>-Q8*$C$9</f>
        <v>-758.43949551123012</v>
      </c>
      <c r="R9" s="221"/>
      <c r="S9" s="221">
        <f>-S8*$C$9</f>
        <v>-777.40048289901074</v>
      </c>
      <c r="T9" s="221"/>
      <c r="U9" s="221">
        <f>-U8*$C$9</f>
        <v>-796.8354949714859</v>
      </c>
      <c r="V9" s="221"/>
      <c r="W9" s="221">
        <f>-W8*$C$9</f>
        <v>-816.75638234577298</v>
      </c>
      <c r="X9" s="221"/>
      <c r="Y9" s="221">
        <f>-Y8*$C$9</f>
        <v>-837.17529190441712</v>
      </c>
      <c r="Z9" s="221"/>
      <c r="AA9" s="221">
        <f>-AA8*$C$9</f>
        <v>-858.10467420202758</v>
      </c>
      <c r="AB9" s="221"/>
      <c r="AC9" s="221">
        <f>-AC8*$C$9</f>
        <v>-879.55729105707815</v>
      </c>
      <c r="AD9" s="221"/>
      <c r="AE9" s="221">
        <f>-AE8*$C$9</f>
        <v>-901.54622333350517</v>
      </c>
      <c r="AF9" s="221"/>
      <c r="AG9" s="221">
        <f>-AG8*$C$9</f>
        <v>-924.08487891684263</v>
      </c>
    </row>
    <row r="10" spans="1:34" s="210" customFormat="1" ht="14.25">
      <c r="A10" s="1132" t="s">
        <v>2169</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5">
      <c r="A11" s="223" t="s">
        <v>857</v>
      </c>
      <c r="C11" s="216"/>
      <c r="E11" s="223">
        <f>SUM(E4:E10)</f>
        <v>2804160.6</v>
      </c>
      <c r="G11" s="223">
        <f>SUM(G4:G10)</f>
        <v>2874264.6149999998</v>
      </c>
      <c r="I11" s="223">
        <f>SUM(I4:I10)</f>
        <v>2946121.2303749993</v>
      </c>
      <c r="K11" s="223">
        <f>SUM(K4:K10)</f>
        <v>3019774.2611343744</v>
      </c>
      <c r="M11" s="223">
        <f>SUM(M4:M10)</f>
        <v>3095268.617662733</v>
      </c>
      <c r="O11" s="223">
        <f>SUM(O4:O10)</f>
        <v>3172650.3331043003</v>
      </c>
      <c r="Q11" s="223">
        <f>SUM(Q4:Q10)</f>
        <v>3251966.5914319083</v>
      </c>
      <c r="S11" s="223">
        <f>SUM(S4:S10)</f>
        <v>3333265.7562177056</v>
      </c>
      <c r="U11" s="223">
        <f>SUM(U4:U10)</f>
        <v>3416597.4001231482</v>
      </c>
      <c r="W11" s="223">
        <f>SUM(W4:W10)</f>
        <v>3502012.3351262268</v>
      </c>
      <c r="Y11" s="223">
        <f>SUM(Y4:Y10)</f>
        <v>3589562.6435043821</v>
      </c>
      <c r="AA11" s="223">
        <f>SUM(AA4:AA10)</f>
        <v>3679301.7095919908</v>
      </c>
      <c r="AC11" s="223">
        <f>SUM(AC4:AC10)</f>
        <v>3771284.252331791</v>
      </c>
      <c r="AE11" s="223">
        <f>SUM(AE4:AE10)</f>
        <v>3865566.358640085</v>
      </c>
      <c r="AG11" s="223">
        <f>SUM(AG4:AG10)</f>
        <v>3962205.5176060875</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75">
      <c r="A13" s="212" t="s">
        <v>837</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25">
      <c r="A14" s="210" t="s">
        <v>838</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25">
      <c r="A15" s="219" t="s">
        <v>839</v>
      </c>
      <c r="C15" s="176"/>
      <c r="E15" s="219">
        <f>Application!W855</f>
        <v>115460</v>
      </c>
      <c r="G15" s="219">
        <f>E15*$C$14</f>
        <v>119501.09999999999</v>
      </c>
      <c r="I15" s="219">
        <f>G15*$C$14</f>
        <v>123683.63849999999</v>
      </c>
      <c r="K15" s="219">
        <f>I15*$C$14</f>
        <v>128012.56584749998</v>
      </c>
      <c r="M15" s="219">
        <f>K15*$C$14</f>
        <v>132493.00565216248</v>
      </c>
      <c r="O15" s="219">
        <f>M15*$C$14</f>
        <v>137130.26084998815</v>
      </c>
      <c r="Q15" s="219">
        <f>O15*$C$14</f>
        <v>141929.81997973772</v>
      </c>
      <c r="S15" s="219">
        <f>Q15*$C$14</f>
        <v>146897.36367902852</v>
      </c>
      <c r="U15" s="219">
        <f>S15*$C$14</f>
        <v>152038.7714077945</v>
      </c>
      <c r="W15" s="219">
        <f>U15*$C$14</f>
        <v>157360.1284070673</v>
      </c>
      <c r="Y15" s="219">
        <f>W15*$C$14</f>
        <v>162867.73290131465</v>
      </c>
      <c r="AA15" s="219">
        <f>Y15*$C$14</f>
        <v>168568.10355286064</v>
      </c>
      <c r="AC15" s="219">
        <f>AA15*$C$14</f>
        <v>174467.98717721074</v>
      </c>
      <c r="AE15" s="219">
        <f>AC15*$C$14</f>
        <v>180574.36672841309</v>
      </c>
      <c r="AG15" s="219">
        <f>AE15*$C$14</f>
        <v>186894.46956390754</v>
      </c>
    </row>
    <row r="16" spans="1:34" s="210" customFormat="1" ht="14.25">
      <c r="A16" s="210" t="s">
        <v>343</v>
      </c>
      <c r="C16" s="233"/>
      <c r="E16" s="222">
        <f>Application!W857</f>
        <v>86328</v>
      </c>
      <c r="F16" s="222"/>
      <c r="G16" s="222">
        <f t="shared" ref="G16:AG21" si="0">E16*$C$14</f>
        <v>89349.48</v>
      </c>
      <c r="H16" s="222"/>
      <c r="I16" s="222">
        <f t="shared" si="0"/>
        <v>92476.71179999999</v>
      </c>
      <c r="J16" s="222"/>
      <c r="K16" s="222">
        <f t="shared" si="0"/>
        <v>95713.39671299998</v>
      </c>
      <c r="L16" s="222"/>
      <c r="M16" s="222">
        <f t="shared" si="0"/>
        <v>99063.365597954966</v>
      </c>
      <c r="N16" s="222"/>
      <c r="O16" s="222">
        <f t="shared" si="0"/>
        <v>102530.58339388338</v>
      </c>
      <c r="P16" s="222"/>
      <c r="Q16" s="222">
        <f t="shared" si="0"/>
        <v>106119.15381266929</v>
      </c>
      <c r="R16" s="222"/>
      <c r="S16" s="222">
        <f t="shared" si="0"/>
        <v>109833.32419611271</v>
      </c>
      <c r="T16" s="222"/>
      <c r="U16" s="222">
        <f t="shared" si="0"/>
        <v>113677.49054297664</v>
      </c>
      <c r="V16" s="222"/>
      <c r="W16" s="222">
        <f t="shared" si="0"/>
        <v>117656.2027119808</v>
      </c>
      <c r="X16" s="222"/>
      <c r="Y16" s="222">
        <f t="shared" si="0"/>
        <v>121774.16980690013</v>
      </c>
      <c r="Z16" s="222"/>
      <c r="AA16" s="222">
        <f t="shared" si="0"/>
        <v>126036.26575014163</v>
      </c>
      <c r="AB16" s="222"/>
      <c r="AC16" s="222">
        <f t="shared" si="0"/>
        <v>130447.53505139657</v>
      </c>
      <c r="AD16" s="222"/>
      <c r="AE16" s="222">
        <f t="shared" si="0"/>
        <v>135013.19877819542</v>
      </c>
      <c r="AF16" s="222"/>
      <c r="AG16" s="222">
        <f t="shared" si="0"/>
        <v>139738.66073543226</v>
      </c>
    </row>
    <row r="17" spans="1:33" s="210" customFormat="1" ht="14.25">
      <c r="A17" s="210" t="s">
        <v>559</v>
      </c>
      <c r="C17" s="233"/>
      <c r="E17" s="222">
        <f>Application!W863</f>
        <v>142900</v>
      </c>
      <c r="F17" s="222"/>
      <c r="G17" s="222">
        <f t="shared" si="0"/>
        <v>147901.5</v>
      </c>
      <c r="H17" s="222"/>
      <c r="I17" s="222">
        <f t="shared" si="0"/>
        <v>153078.05249999999</v>
      </c>
      <c r="J17" s="222"/>
      <c r="K17" s="222">
        <f t="shared" si="0"/>
        <v>158435.78433749996</v>
      </c>
      <c r="L17" s="222"/>
      <c r="M17" s="222">
        <f t="shared" si="0"/>
        <v>163981.03678931246</v>
      </c>
      <c r="N17" s="222"/>
      <c r="O17" s="222">
        <f t="shared" si="0"/>
        <v>169720.37307693838</v>
      </c>
      <c r="P17" s="222"/>
      <c r="Q17" s="222">
        <f t="shared" si="0"/>
        <v>175660.58613463122</v>
      </c>
      <c r="R17" s="222"/>
      <c r="S17" s="222">
        <f t="shared" si="0"/>
        <v>181808.70664934331</v>
      </c>
      <c r="T17" s="222"/>
      <c r="U17" s="222">
        <f t="shared" si="0"/>
        <v>188172.01138207031</v>
      </c>
      <c r="V17" s="222"/>
      <c r="W17" s="222">
        <f t="shared" si="0"/>
        <v>194758.03178044275</v>
      </c>
      <c r="X17" s="222"/>
      <c r="Y17" s="222">
        <f t="shared" si="0"/>
        <v>201574.56289275823</v>
      </c>
      <c r="Z17" s="222"/>
      <c r="AA17" s="222">
        <f t="shared" si="0"/>
        <v>208629.67259400475</v>
      </c>
      <c r="AB17" s="222"/>
      <c r="AC17" s="222">
        <f t="shared" si="0"/>
        <v>215931.7111347949</v>
      </c>
      <c r="AD17" s="222"/>
      <c r="AE17" s="222">
        <f t="shared" si="0"/>
        <v>223489.3210245127</v>
      </c>
      <c r="AF17" s="222"/>
      <c r="AG17" s="222">
        <f t="shared" si="0"/>
        <v>231311.44726037062</v>
      </c>
    </row>
    <row r="18" spans="1:33" s="210" customFormat="1" ht="14.25">
      <c r="A18" s="210" t="s">
        <v>840</v>
      </c>
      <c r="C18" s="233"/>
      <c r="E18" s="222">
        <f>Application!W870</f>
        <v>280675</v>
      </c>
      <c r="F18" s="222"/>
      <c r="G18" s="222">
        <f t="shared" si="0"/>
        <v>290498.625</v>
      </c>
      <c r="H18" s="222"/>
      <c r="I18" s="222">
        <f t="shared" si="0"/>
        <v>300666.07687499997</v>
      </c>
      <c r="J18" s="222"/>
      <c r="K18" s="222">
        <f t="shared" si="0"/>
        <v>311189.38956562494</v>
      </c>
      <c r="L18" s="222"/>
      <c r="M18" s="222">
        <f t="shared" si="0"/>
        <v>322081.01820042176</v>
      </c>
      <c r="N18" s="222"/>
      <c r="O18" s="222">
        <f t="shared" si="0"/>
        <v>333353.85383743647</v>
      </c>
      <c r="P18" s="222"/>
      <c r="Q18" s="222">
        <f t="shared" si="0"/>
        <v>345021.23872174672</v>
      </c>
      <c r="R18" s="222"/>
      <c r="S18" s="222">
        <f t="shared" si="0"/>
        <v>357096.98207700782</v>
      </c>
      <c r="T18" s="222"/>
      <c r="U18" s="222">
        <f t="shared" si="0"/>
        <v>369595.37644970306</v>
      </c>
      <c r="V18" s="222"/>
      <c r="W18" s="222">
        <f t="shared" si="0"/>
        <v>382531.21462544263</v>
      </c>
      <c r="X18" s="222"/>
      <c r="Y18" s="222">
        <f t="shared" si="0"/>
        <v>395919.80713733309</v>
      </c>
      <c r="Z18" s="222"/>
      <c r="AA18" s="222">
        <f t="shared" si="0"/>
        <v>409777.00038713973</v>
      </c>
      <c r="AB18" s="222"/>
      <c r="AC18" s="222">
        <f t="shared" si="0"/>
        <v>424119.19540068961</v>
      </c>
      <c r="AD18" s="222"/>
      <c r="AE18" s="222">
        <f t="shared" si="0"/>
        <v>438963.36723971373</v>
      </c>
      <c r="AF18" s="222"/>
      <c r="AG18" s="222">
        <f t="shared" si="0"/>
        <v>454327.0850931037</v>
      </c>
    </row>
    <row r="19" spans="1:33" s="210" customFormat="1" ht="14.25">
      <c r="A19" s="210" t="s">
        <v>155</v>
      </c>
      <c r="C19" s="233"/>
      <c r="E19" s="222">
        <f>Application!W872</f>
        <v>141700</v>
      </c>
      <c r="F19" s="222"/>
      <c r="G19" s="222">
        <f t="shared" si="0"/>
        <v>146659.5</v>
      </c>
      <c r="H19" s="222"/>
      <c r="I19" s="222">
        <f t="shared" si="0"/>
        <v>151792.58249999999</v>
      </c>
      <c r="J19" s="222"/>
      <c r="K19" s="222">
        <f t="shared" si="0"/>
        <v>157105.32288749999</v>
      </c>
      <c r="L19" s="222"/>
      <c r="M19" s="222">
        <f t="shared" si="0"/>
        <v>162604.00918856249</v>
      </c>
      <c r="N19" s="222"/>
      <c r="O19" s="222">
        <f t="shared" si="0"/>
        <v>168295.14951016215</v>
      </c>
      <c r="P19" s="222"/>
      <c r="Q19" s="222">
        <f t="shared" si="0"/>
        <v>174185.47974301782</v>
      </c>
      <c r="R19" s="222"/>
      <c r="S19" s="222">
        <f t="shared" si="0"/>
        <v>180281.97153402341</v>
      </c>
      <c r="T19" s="222"/>
      <c r="U19" s="222">
        <f t="shared" si="0"/>
        <v>186591.84053771422</v>
      </c>
      <c r="V19" s="222"/>
      <c r="W19" s="222">
        <f t="shared" si="0"/>
        <v>193122.55495653421</v>
      </c>
      <c r="X19" s="222"/>
      <c r="Y19" s="222">
        <f t="shared" si="0"/>
        <v>199881.84438001289</v>
      </c>
      <c r="Z19" s="222"/>
      <c r="AA19" s="222">
        <f t="shared" si="0"/>
        <v>206877.70893331332</v>
      </c>
      <c r="AB19" s="222"/>
      <c r="AC19" s="222">
        <f t="shared" si="0"/>
        <v>214118.42874597927</v>
      </c>
      <c r="AD19" s="222"/>
      <c r="AE19" s="222">
        <f t="shared" si="0"/>
        <v>221612.57375208853</v>
      </c>
      <c r="AF19" s="222"/>
      <c r="AG19" s="222">
        <f t="shared" si="0"/>
        <v>229369.01383341162</v>
      </c>
    </row>
    <row r="20" spans="1:33" s="210" customFormat="1" ht="14.25">
      <c r="A20" s="210" t="s">
        <v>389</v>
      </c>
      <c r="C20" s="233"/>
      <c r="E20" s="222">
        <f>Application!W881</f>
        <v>193257</v>
      </c>
      <c r="F20" s="222"/>
      <c r="G20" s="222">
        <f t="shared" si="0"/>
        <v>200020.995</v>
      </c>
      <c r="H20" s="222"/>
      <c r="I20" s="222">
        <f t="shared" si="0"/>
        <v>207021.72982499999</v>
      </c>
      <c r="J20" s="222"/>
      <c r="K20" s="222">
        <f t="shared" si="0"/>
        <v>214267.49036887498</v>
      </c>
      <c r="L20" s="222"/>
      <c r="M20" s="222">
        <f t="shared" si="0"/>
        <v>221766.85253178558</v>
      </c>
      <c r="N20" s="222"/>
      <c r="O20" s="222">
        <f t="shared" si="0"/>
        <v>229528.69237039806</v>
      </c>
      <c r="P20" s="222"/>
      <c r="Q20" s="222">
        <f t="shared" si="0"/>
        <v>237562.19660336198</v>
      </c>
      <c r="R20" s="222"/>
      <c r="S20" s="222">
        <f t="shared" si="0"/>
        <v>245876.87348447964</v>
      </c>
      <c r="T20" s="222"/>
      <c r="U20" s="222">
        <f t="shared" si="0"/>
        <v>254482.56405643641</v>
      </c>
      <c r="V20" s="222"/>
      <c r="W20" s="222">
        <f t="shared" si="0"/>
        <v>263389.45379841165</v>
      </c>
      <c r="X20" s="222"/>
      <c r="Y20" s="222">
        <f t="shared" si="0"/>
        <v>272608.08468135603</v>
      </c>
      <c r="Z20" s="222"/>
      <c r="AA20" s="222">
        <f t="shared" si="0"/>
        <v>282149.36764520349</v>
      </c>
      <c r="AB20" s="222"/>
      <c r="AC20" s="222">
        <f t="shared" si="0"/>
        <v>292024.5955127856</v>
      </c>
      <c r="AD20" s="222"/>
      <c r="AE20" s="222">
        <f t="shared" si="0"/>
        <v>302245.4563557331</v>
      </c>
      <c r="AF20" s="222"/>
      <c r="AG20" s="222">
        <f t="shared" si="0"/>
        <v>312824.04732818372</v>
      </c>
    </row>
    <row r="21" spans="1:33" s="210" customFormat="1" ht="14.25">
      <c r="A21" s="226" t="s">
        <v>960</v>
      </c>
      <c r="B21" s="226"/>
      <c r="C21" s="233"/>
      <c r="E21" s="232">
        <f>Application!W888</f>
        <v>66770.69</v>
      </c>
      <c r="F21" s="222"/>
      <c r="G21" s="232">
        <f t="shared" si="0"/>
        <v>69107.664149999997</v>
      </c>
      <c r="H21" s="222"/>
      <c r="I21" s="232">
        <f t="shared" si="0"/>
        <v>71526.432395249998</v>
      </c>
      <c r="J21" s="222"/>
      <c r="K21" s="232">
        <f t="shared" si="0"/>
        <v>74029.857529083747</v>
      </c>
      <c r="L21" s="222"/>
      <c r="M21" s="232">
        <f t="shared" si="0"/>
        <v>76620.902542601674</v>
      </c>
      <c r="N21" s="222"/>
      <c r="O21" s="232">
        <f t="shared" si="0"/>
        <v>79302.634131592727</v>
      </c>
      <c r="P21" s="222"/>
      <c r="Q21" s="232">
        <f t="shared" si="0"/>
        <v>82078.226326198463</v>
      </c>
      <c r="R21" s="222"/>
      <c r="S21" s="232">
        <f t="shared" si="0"/>
        <v>84950.964247615397</v>
      </c>
      <c r="T21" s="222"/>
      <c r="U21" s="232">
        <f t="shared" si="0"/>
        <v>87924.247996281934</v>
      </c>
      <c r="V21" s="222"/>
      <c r="W21" s="232">
        <f t="shared" si="0"/>
        <v>91001.596676151792</v>
      </c>
      <c r="X21" s="222"/>
      <c r="Y21" s="232">
        <f t="shared" si="0"/>
        <v>94186.652559817099</v>
      </c>
      <c r="Z21" s="222"/>
      <c r="AA21" s="232">
        <f t="shared" si="0"/>
        <v>97483.185399410693</v>
      </c>
      <c r="AB21" s="222"/>
      <c r="AC21" s="232">
        <f t="shared" si="0"/>
        <v>100895.09688839006</v>
      </c>
      <c r="AD21" s="222"/>
      <c r="AE21" s="232">
        <f t="shared" si="0"/>
        <v>104426.42527948371</v>
      </c>
      <c r="AF21" s="222"/>
      <c r="AG21" s="232">
        <f t="shared" si="0"/>
        <v>108081.35016426563</v>
      </c>
    </row>
    <row r="22" spans="1:33" s="223" customFormat="1" ht="15">
      <c r="A22" s="223" t="s">
        <v>841</v>
      </c>
      <c r="C22" s="233"/>
      <c r="E22" s="223">
        <f>SUM(E15:E21)</f>
        <v>1027090.69</v>
      </c>
      <c r="G22" s="223">
        <f>SUM(G15:G21)</f>
        <v>1063038.86415</v>
      </c>
      <c r="I22" s="223">
        <f>SUM(I15:I21)</f>
        <v>1100245.22439525</v>
      </c>
      <c r="K22" s="223">
        <f>SUM(K15:K21)</f>
        <v>1138753.8072490836</v>
      </c>
      <c r="M22" s="223">
        <f>SUM(M15:M21)</f>
        <v>1178610.1905028012</v>
      </c>
      <c r="O22" s="223">
        <f>SUM(O15:O21)</f>
        <v>1219861.5471703992</v>
      </c>
      <c r="Q22" s="223">
        <f>SUM(Q15:Q21)</f>
        <v>1262556.7013213632</v>
      </c>
      <c r="S22" s="223">
        <f>SUM(S15:S21)</f>
        <v>1306746.1858676106</v>
      </c>
      <c r="U22" s="223">
        <f>SUM(U15:U21)</f>
        <v>1352482.3023729769</v>
      </c>
      <c r="W22" s="223">
        <f>SUM(W15:W21)</f>
        <v>1399819.1829560311</v>
      </c>
      <c r="Y22" s="223">
        <f>SUM(Y15:Y21)</f>
        <v>1448812.8543594922</v>
      </c>
      <c r="AA22" s="223">
        <f>SUM(AA15:AA21)</f>
        <v>1499521.3042620742</v>
      </c>
      <c r="AC22" s="223">
        <f>SUM(AC15:AC21)</f>
        <v>1552004.5499112469</v>
      </c>
      <c r="AE22" s="223">
        <f>SUM(AE15:AE21)</f>
        <v>1606324.7091581402</v>
      </c>
      <c r="AG22" s="223">
        <f>SUM(AG15:AG21)</f>
        <v>1662546.0739786751</v>
      </c>
    </row>
    <row r="23" spans="1:33" s="210" customFormat="1" ht="14.25">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25">
      <c r="A24" s="210" t="s">
        <v>1668</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25">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25">
      <c r="A26" s="210" t="s">
        <v>1156</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25">
      <c r="A27" s="210" t="s">
        <v>843</v>
      </c>
      <c r="C27" s="237">
        <v>1.0349999999999999</v>
      </c>
      <c r="E27" s="222">
        <f>Application!AC897</f>
        <v>132000</v>
      </c>
      <c r="F27" s="222"/>
      <c r="G27" s="222">
        <f>E27*$C$27</f>
        <v>136620</v>
      </c>
      <c r="H27" s="222"/>
      <c r="I27" s="222">
        <f>G27*$C$27</f>
        <v>141401.69999999998</v>
      </c>
      <c r="J27" s="222"/>
      <c r="K27" s="222">
        <f>I27*$C$27</f>
        <v>146350.75949999996</v>
      </c>
      <c r="L27" s="222"/>
      <c r="M27" s="222">
        <f>K27*$C$27</f>
        <v>151473.03608249995</v>
      </c>
      <c r="N27" s="222"/>
      <c r="O27" s="222">
        <f>M27*$C$27</f>
        <v>156774.59234538744</v>
      </c>
      <c r="P27" s="222"/>
      <c r="Q27" s="222">
        <f>O27*$C$27</f>
        <v>162261.70307747598</v>
      </c>
      <c r="R27" s="222"/>
      <c r="S27" s="222">
        <f>Q27*$C$27</f>
        <v>167940.86268518763</v>
      </c>
      <c r="T27" s="222"/>
      <c r="U27" s="222">
        <f>S27*$C$27</f>
        <v>173818.7928791692</v>
      </c>
      <c r="V27" s="222"/>
      <c r="W27" s="222">
        <f>U27*$C$27</f>
        <v>179902.45062994011</v>
      </c>
      <c r="X27" s="222"/>
      <c r="Y27" s="222">
        <f>W27*$C$27</f>
        <v>186199.03640198801</v>
      </c>
      <c r="Z27" s="222"/>
      <c r="AA27" s="222">
        <f>Y27*$C$27</f>
        <v>192716.00267605757</v>
      </c>
      <c r="AB27" s="222"/>
      <c r="AC27" s="222">
        <f>AA27*$C$27</f>
        <v>199461.06276971957</v>
      </c>
      <c r="AD27" s="222"/>
      <c r="AE27" s="222">
        <f>AC27*$C$27</f>
        <v>206442.19996665974</v>
      </c>
      <c r="AF27" s="222"/>
      <c r="AG27" s="222">
        <f>AE27*$C$27</f>
        <v>213667.67696549281</v>
      </c>
    </row>
    <row r="28" spans="1:33" s="210" customFormat="1" ht="14.25">
      <c r="A28" s="210" t="s">
        <v>844</v>
      </c>
      <c r="C28" s="237"/>
      <c r="E28" s="222">
        <f>Application!AC898</f>
        <v>38150</v>
      </c>
      <c r="F28" s="222"/>
      <c r="G28" s="222">
        <f>$E$28</f>
        <v>38150</v>
      </c>
      <c r="H28" s="222"/>
      <c r="I28" s="222">
        <f>$E$28</f>
        <v>38150</v>
      </c>
      <c r="J28" s="222"/>
      <c r="K28" s="222">
        <f>$E$28</f>
        <v>38150</v>
      </c>
      <c r="L28" s="222"/>
      <c r="M28" s="222">
        <f>$E$28</f>
        <v>38150</v>
      </c>
      <c r="N28" s="222"/>
      <c r="O28" s="222">
        <f>$E$28</f>
        <v>38150</v>
      </c>
      <c r="P28" s="222"/>
      <c r="Q28" s="222">
        <f>$E$28</f>
        <v>38150</v>
      </c>
      <c r="R28" s="222"/>
      <c r="S28" s="222">
        <f>$E$28</f>
        <v>38150</v>
      </c>
      <c r="T28" s="222"/>
      <c r="U28" s="222">
        <f>$E$28</f>
        <v>38150</v>
      </c>
      <c r="V28" s="222"/>
      <c r="W28" s="222">
        <f>$E$28</f>
        <v>38150</v>
      </c>
      <c r="X28" s="222"/>
      <c r="Y28" s="222">
        <f>$E$28</f>
        <v>38150</v>
      </c>
      <c r="Z28" s="222"/>
      <c r="AA28" s="222">
        <f>$E$28</f>
        <v>38150</v>
      </c>
      <c r="AB28" s="222"/>
      <c r="AC28" s="222">
        <f>$E$28</f>
        <v>38150</v>
      </c>
      <c r="AD28" s="222"/>
      <c r="AE28" s="222">
        <f>$E$28</f>
        <v>38150</v>
      </c>
      <c r="AF28" s="222"/>
      <c r="AG28" s="222">
        <f>$E$28</f>
        <v>38150</v>
      </c>
    </row>
    <row r="29" spans="1:33" s="210" customFormat="1" ht="14.25">
      <c r="A29" s="210" t="s">
        <v>1666</v>
      </c>
      <c r="C29" s="237"/>
      <c r="E29" s="222">
        <f>Application!AC899</f>
        <v>0</v>
      </c>
      <c r="F29" s="222"/>
      <c r="G29" s="222">
        <f>$E$29</f>
        <v>0</v>
      </c>
      <c r="H29" s="222"/>
      <c r="I29" s="222">
        <f>$E$29</f>
        <v>0</v>
      </c>
      <c r="J29" s="222"/>
      <c r="K29" s="222">
        <f>$E$29</f>
        <v>0</v>
      </c>
      <c r="L29" s="222"/>
      <c r="M29" s="222">
        <f>$E$29</f>
        <v>0</v>
      </c>
      <c r="N29" s="222"/>
      <c r="O29" s="222">
        <f>$E$29</f>
        <v>0</v>
      </c>
      <c r="P29" s="222"/>
      <c r="Q29" s="222">
        <f>$E$29</f>
        <v>0</v>
      </c>
      <c r="R29" s="222"/>
      <c r="S29" s="222">
        <f>$E$29</f>
        <v>0</v>
      </c>
      <c r="T29" s="222"/>
      <c r="U29" s="222">
        <f>$E$29</f>
        <v>0</v>
      </c>
      <c r="V29" s="222"/>
      <c r="W29" s="222">
        <f>$E$29</f>
        <v>0</v>
      </c>
      <c r="X29" s="222"/>
      <c r="Y29" s="222">
        <f>$E$29</f>
        <v>0</v>
      </c>
      <c r="Z29" s="222"/>
      <c r="AA29" s="222">
        <f>$E$29</f>
        <v>0</v>
      </c>
      <c r="AB29" s="222"/>
      <c r="AC29" s="222">
        <f>$E$29</f>
        <v>0</v>
      </c>
      <c r="AD29" s="222"/>
      <c r="AE29" s="222">
        <f>$E$29</f>
        <v>0</v>
      </c>
      <c r="AF29" s="222"/>
      <c r="AG29" s="222">
        <f>$E$29</f>
        <v>0</v>
      </c>
    </row>
    <row r="30" spans="1:33" s="210" customFormat="1" ht="14.25">
      <c r="A30" s="210" t="s">
        <v>842</v>
      </c>
      <c r="C30" s="237">
        <v>1.02</v>
      </c>
      <c r="E30" s="222">
        <f>Application!AC900</f>
        <v>60000</v>
      </c>
      <c r="F30" s="222"/>
      <c r="G30" s="222">
        <f>E30*$C$30</f>
        <v>61200</v>
      </c>
      <c r="H30" s="222"/>
      <c r="I30" s="222">
        <f>G30*$C$30</f>
        <v>62424</v>
      </c>
      <c r="J30" s="222"/>
      <c r="K30" s="222">
        <f>I30*$C$30</f>
        <v>63672.480000000003</v>
      </c>
      <c r="L30" s="222"/>
      <c r="M30" s="222">
        <f>K30*$C$30</f>
        <v>64945.929600000003</v>
      </c>
      <c r="N30" s="222"/>
      <c r="O30" s="222">
        <f>M30*$C$30</f>
        <v>66244.848192000005</v>
      </c>
      <c r="P30" s="222"/>
      <c r="Q30" s="222">
        <f>O30*$C$30</f>
        <v>67569.745155840006</v>
      </c>
      <c r="R30" s="222"/>
      <c r="S30" s="222">
        <f>Q30*$C$30</f>
        <v>68921.140058956807</v>
      </c>
      <c r="T30" s="222"/>
      <c r="U30" s="222">
        <f>S30*$C$30</f>
        <v>70299.562860135949</v>
      </c>
      <c r="V30" s="222"/>
      <c r="W30" s="222">
        <f>U30*$C$30</f>
        <v>71705.554117338674</v>
      </c>
      <c r="X30" s="222"/>
      <c r="Y30" s="222">
        <f>W30*$C$30</f>
        <v>73139.665199685449</v>
      </c>
      <c r="Z30" s="222"/>
      <c r="AA30" s="222">
        <f>Y30*$C$30</f>
        <v>74602.458503679154</v>
      </c>
      <c r="AB30" s="222"/>
      <c r="AC30" s="222">
        <f>AA30*$C$30</f>
        <v>76094.507673752742</v>
      </c>
      <c r="AD30" s="222"/>
      <c r="AE30" s="222">
        <f>AC30*$C$30</f>
        <v>77616.397827227804</v>
      </c>
      <c r="AF30" s="222"/>
      <c r="AG30" s="222">
        <f>AE30*$C$30</f>
        <v>79168.725783772359</v>
      </c>
    </row>
    <row r="31" spans="1:33" s="210" customFormat="1" ht="14.25">
      <c r="A31" s="210" t="s">
        <v>1667</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25">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4.25">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25">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5">
      <c r="A35" s="223" t="s">
        <v>177</v>
      </c>
      <c r="C35" s="224"/>
      <c r="E35" s="223">
        <f>SUM(E22:E33)</f>
        <v>1257240.69</v>
      </c>
      <c r="G35" s="223">
        <f>SUM(G22:G33)</f>
        <v>1299008.86415</v>
      </c>
      <c r="I35" s="223">
        <f>SUM(I22:I33)</f>
        <v>1342220.9243952499</v>
      </c>
      <c r="K35" s="223">
        <f>SUM(K22:K33)</f>
        <v>1386927.0467490836</v>
      </c>
      <c r="M35" s="223">
        <f>SUM(M22:M33)</f>
        <v>1433179.156185301</v>
      </c>
      <c r="O35" s="223">
        <f>SUM(O22:O33)</f>
        <v>1481030.9877077867</v>
      </c>
      <c r="Q35" s="223">
        <f>SUM(Q22:Q33)</f>
        <v>1530538.1495546792</v>
      </c>
      <c r="S35" s="223">
        <f>SUM(S22:S33)</f>
        <v>1581758.1886117551</v>
      </c>
      <c r="U35" s="223">
        <f>SUM(U22:U33)</f>
        <v>1634750.6581122819</v>
      </c>
      <c r="W35" s="223">
        <f>SUM(W22:W33)</f>
        <v>1689577.1877033098</v>
      </c>
      <c r="Y35" s="223">
        <f>SUM(Y22:Y33)</f>
        <v>1746301.5559611656</v>
      </c>
      <c r="AA35" s="223">
        <f>SUM(AA22:AA33)</f>
        <v>1804989.7654418109</v>
      </c>
      <c r="AC35" s="223">
        <f>SUM(AC22:AC33)</f>
        <v>1865710.1203547192</v>
      </c>
      <c r="AE35" s="223">
        <f>SUM(AE22:AE33)</f>
        <v>1928533.3069520278</v>
      </c>
      <c r="AG35" s="223">
        <f>SUM(AG22:AG33)</f>
        <v>1993532.4767279401</v>
      </c>
    </row>
    <row r="36" spans="1:33" s="210" customFormat="1" ht="14.25">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5">
      <c r="A37" s="223" t="s">
        <v>845</v>
      </c>
      <c r="C37" s="224"/>
      <c r="E37" s="223">
        <f>E11-E35</f>
        <v>1546919.9100000001</v>
      </c>
      <c r="G37" s="223">
        <f>G11-G35</f>
        <v>1575255.7508499997</v>
      </c>
      <c r="I37" s="223">
        <f>I11-I35</f>
        <v>1603900.3059797494</v>
      </c>
      <c r="K37" s="223">
        <f>K11-K35</f>
        <v>1632847.2143852909</v>
      </c>
      <c r="M37" s="223">
        <f>M11-M35</f>
        <v>1662089.4614774319</v>
      </c>
      <c r="O37" s="223">
        <f>O11-O35</f>
        <v>1691619.3453965136</v>
      </c>
      <c r="Q37" s="223">
        <f>Q11-Q35</f>
        <v>1721428.4418772291</v>
      </c>
      <c r="S37" s="223">
        <f>S11-S35</f>
        <v>1751507.5676059504</v>
      </c>
      <c r="U37" s="223">
        <f>U11-U35</f>
        <v>1781846.7420108663</v>
      </c>
      <c r="W37" s="223">
        <f>W11-W35</f>
        <v>1812435.147422917</v>
      </c>
      <c r="Y37" s="223">
        <f>Y11-Y35</f>
        <v>1843261.0875432165</v>
      </c>
      <c r="AA37" s="223">
        <f>AA11-AA35</f>
        <v>1874311.9441501799</v>
      </c>
      <c r="AC37" s="223">
        <f>AC11-AC35</f>
        <v>1905574.1319770718</v>
      </c>
      <c r="AE37" s="223">
        <f>AE11-AE35</f>
        <v>1937033.0516880571</v>
      </c>
      <c r="AG37" s="223">
        <f>AG11-AG35</f>
        <v>1968673.0408781474</v>
      </c>
    </row>
    <row r="38" spans="1:33" s="210" customFormat="1" ht="14.25">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5">
      <c r="A39" s="218" t="s">
        <v>858</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25">
      <c r="A40" s="225" t="str">
        <f>Application!C635</f>
        <v>Permanent Loan</v>
      </c>
      <c r="B40" s="226"/>
      <c r="C40" s="220"/>
      <c r="E40" s="222">
        <f>Application!AF635</f>
        <v>1288552</v>
      </c>
      <c r="F40" s="222"/>
      <c r="G40" s="222">
        <f>$E$40</f>
        <v>1288552</v>
      </c>
      <c r="H40" s="222"/>
      <c r="I40" s="222">
        <f>$E$40</f>
        <v>1288552</v>
      </c>
      <c r="J40" s="222"/>
      <c r="K40" s="222">
        <f>$E$40</f>
        <v>1288552</v>
      </c>
      <c r="L40" s="222"/>
      <c r="M40" s="222">
        <f>$E$40</f>
        <v>1288552</v>
      </c>
      <c r="N40" s="222"/>
      <c r="O40" s="222">
        <f>$E$40</f>
        <v>1288552</v>
      </c>
      <c r="P40" s="222"/>
      <c r="Q40" s="222">
        <f>$E$40</f>
        <v>1288552</v>
      </c>
      <c r="R40" s="222"/>
      <c r="S40" s="222">
        <f>$E$40</f>
        <v>1288552</v>
      </c>
      <c r="T40" s="222"/>
      <c r="U40" s="222">
        <f>$E$40</f>
        <v>1288552</v>
      </c>
      <c r="V40" s="222"/>
      <c r="W40" s="222">
        <f>$E$40</f>
        <v>1288552</v>
      </c>
      <c r="X40" s="222"/>
      <c r="Y40" s="222">
        <f>$E$40</f>
        <v>1288552</v>
      </c>
      <c r="Z40" s="222"/>
      <c r="AA40" s="222">
        <f>$E$40</f>
        <v>1288552</v>
      </c>
      <c r="AB40" s="222"/>
      <c r="AC40" s="222">
        <f>$E$40</f>
        <v>1288552</v>
      </c>
      <c r="AD40" s="222"/>
      <c r="AE40" s="222">
        <f>$E$40</f>
        <v>1288552</v>
      </c>
      <c r="AF40" s="222"/>
      <c r="AG40" s="222">
        <f>$E$40</f>
        <v>1288552</v>
      </c>
    </row>
    <row r="41" spans="1:33" s="210" customFormat="1" ht="14.25">
      <c r="A41" s="225"/>
      <c r="B41" s="226"/>
      <c r="C41" s="220"/>
      <c r="E41" s="222"/>
      <c r="F41" s="222"/>
      <c r="G41" s="222">
        <f>$E$41</f>
        <v>0</v>
      </c>
      <c r="H41" s="222"/>
      <c r="I41" s="222">
        <f>$E$41</f>
        <v>0</v>
      </c>
      <c r="J41" s="222"/>
      <c r="K41" s="222">
        <f>$E$41</f>
        <v>0</v>
      </c>
      <c r="L41" s="222"/>
      <c r="M41" s="222">
        <f>$E$41</f>
        <v>0</v>
      </c>
      <c r="N41" s="222"/>
      <c r="O41" s="222">
        <f>$E$41</f>
        <v>0</v>
      </c>
      <c r="P41" s="222"/>
      <c r="Q41" s="222">
        <f>$E$41</f>
        <v>0</v>
      </c>
      <c r="R41" s="222"/>
      <c r="S41" s="222">
        <f>$E$41</f>
        <v>0</v>
      </c>
      <c r="T41" s="222"/>
      <c r="U41" s="222">
        <f>$E$41</f>
        <v>0</v>
      </c>
      <c r="V41" s="222"/>
      <c r="W41" s="222">
        <f>$E$41</f>
        <v>0</v>
      </c>
      <c r="X41" s="222"/>
      <c r="Y41" s="222">
        <f>$E$41</f>
        <v>0</v>
      </c>
      <c r="Z41" s="222"/>
      <c r="AA41" s="222">
        <f>$E$41</f>
        <v>0</v>
      </c>
      <c r="AB41" s="222"/>
      <c r="AC41" s="222">
        <f>$E$41</f>
        <v>0</v>
      </c>
      <c r="AD41" s="222"/>
      <c r="AE41" s="222">
        <f>$E$41</f>
        <v>0</v>
      </c>
      <c r="AF41" s="222"/>
      <c r="AG41" s="222">
        <f>$E$41</f>
        <v>0</v>
      </c>
    </row>
    <row r="42" spans="1:33" s="210" customFormat="1" ht="14.25">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5">
      <c r="A43" s="223" t="s">
        <v>846</v>
      </c>
      <c r="C43" s="224"/>
      <c r="E43" s="223">
        <f>SUM(E40:E42)</f>
        <v>1288552</v>
      </c>
      <c r="G43" s="223">
        <f>SUM(G40:G42)</f>
        <v>1288552</v>
      </c>
      <c r="I43" s="223">
        <f>SUM(I40:I42)</f>
        <v>1288552</v>
      </c>
      <c r="K43" s="223">
        <f>SUM(K40:K42)</f>
        <v>1288552</v>
      </c>
      <c r="M43" s="223">
        <f>SUM(M40:M42)</f>
        <v>1288552</v>
      </c>
      <c r="O43" s="223">
        <f>SUM(O40:O42)</f>
        <v>1288552</v>
      </c>
      <c r="Q43" s="223">
        <f>SUM(Q40:Q42)</f>
        <v>1288552</v>
      </c>
      <c r="S43" s="223">
        <f>SUM(S40:S42)</f>
        <v>1288552</v>
      </c>
      <c r="U43" s="223">
        <f>SUM(U40:U42)</f>
        <v>1288552</v>
      </c>
      <c r="W43" s="223">
        <f>SUM(W40:W42)</f>
        <v>1288552</v>
      </c>
      <c r="Y43" s="223">
        <f>SUM(Y40:Y42)</f>
        <v>1288552</v>
      </c>
      <c r="AA43" s="223">
        <f>SUM(AA40:AA42)</f>
        <v>1288552</v>
      </c>
      <c r="AC43" s="223">
        <f>SUM(AC40:AC42)</f>
        <v>1288552</v>
      </c>
      <c r="AE43" s="223">
        <f>SUM(AE40:AE42)</f>
        <v>1288552</v>
      </c>
      <c r="AG43" s="223">
        <f>SUM(AG40:AG42)</f>
        <v>1288552</v>
      </c>
    </row>
    <row r="44" spans="1:33" s="210" customFormat="1" ht="14.25">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5">
      <c r="A45" s="223" t="s">
        <v>847</v>
      </c>
      <c r="C45" s="224"/>
      <c r="E45" s="223">
        <f>E37-E43</f>
        <v>258367.91000000015</v>
      </c>
      <c r="G45" s="223">
        <f>G37-G43</f>
        <v>286703.75084999972</v>
      </c>
      <c r="I45" s="223">
        <f>I37-I43</f>
        <v>315348.30597974942</v>
      </c>
      <c r="K45" s="223">
        <f>K37-K43</f>
        <v>344295.21438529086</v>
      </c>
      <c r="M45" s="223">
        <f>M37-M43</f>
        <v>373537.46147743193</v>
      </c>
      <c r="O45" s="223">
        <f>O37-O43</f>
        <v>403067.34539651359</v>
      </c>
      <c r="Q45" s="223">
        <f>Q37-Q43</f>
        <v>432876.44187722914</v>
      </c>
      <c r="S45" s="223">
        <f>S37-S43</f>
        <v>462955.5676059504</v>
      </c>
      <c r="U45" s="223">
        <f>U37-U43</f>
        <v>493294.74201086629</v>
      </c>
      <c r="W45" s="223">
        <f>W37-W43</f>
        <v>523883.14742291695</v>
      </c>
      <c r="Y45" s="223">
        <f>Y37-Y43</f>
        <v>554709.08754321653</v>
      </c>
      <c r="AA45" s="223">
        <f>AA37-AA43</f>
        <v>585759.94415017986</v>
      </c>
      <c r="AC45" s="223">
        <f>AC37-AC43</f>
        <v>617022.13197707175</v>
      </c>
      <c r="AE45" s="223">
        <f>AE37-AE43</f>
        <v>648481.05168805714</v>
      </c>
      <c r="AG45" s="223">
        <f>AG37-AG43</f>
        <v>680121.04087814735</v>
      </c>
    </row>
    <row r="46" spans="1:33" s="210" customFormat="1" ht="14.25">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25">
      <c r="A47" s="227" t="s">
        <v>849</v>
      </c>
      <c r="C47" s="220"/>
      <c r="E47" s="227">
        <f>E45/(E4+E6+E8)</f>
        <v>8.7530476856425468E-2</v>
      </c>
      <c r="G47" s="227">
        <f>G45/(G4+G6+G8)</f>
        <v>9.4761130163897506E-2</v>
      </c>
      <c r="I47" s="227">
        <f>I45/(I4+I6+I8)</f>
        <v>0.10168654554742459</v>
      </c>
      <c r="K47" s="227">
        <f>K45/(K4+K6+K8)</f>
        <v>0.10831288215005813</v>
      </c>
      <c r="M47" s="227">
        <f>M45/(M4+M6+M8)</f>
        <v>0.1146461364866998</v>
      </c>
      <c r="O47" s="227">
        <f>O45/(O4+O6+O8)</f>
        <v>0.12069214628894297</v>
      </c>
      <c r="Q47" s="227">
        <f>Q45/(Q4+Q6+Q8)</f>
        <v>0.12645659425495309</v>
      </c>
      <c r="S47" s="227">
        <f>S45/(S4+S6+S8)</f>
        <v>0.13194501170668962</v>
      </c>
      <c r="U47" s="227">
        <f>U45/(U4+U6+U8)</f>
        <v>0.13716278215672459</v>
      </c>
      <c r="W47" s="227">
        <f>W45/(W4+W6+W8)</f>
        <v>0.1421151447868422</v>
      </c>
      <c r="Y47" s="227">
        <f>Y45/(Y4+Y6+Y8)</f>
        <v>0.14680719784056678</v>
      </c>
      <c r="AA47" s="227">
        <f>AA45/(AA4+AA6+AA8)</f>
        <v>0.15124390193170098</v>
      </c>
      <c r="AC47" s="227">
        <f>AC45/(AC4+AC6+AC8)</f>
        <v>0.15543008327091434</v>
      </c>
      <c r="AE47" s="227">
        <f>AE45/(AE4+AE6+AE8)</f>
        <v>0.15937043681236518</v>
      </c>
      <c r="AG47" s="227">
        <f>AG45/(AG4+AG6+AG8)</f>
        <v>0.16306952932229879</v>
      </c>
    </row>
    <row r="48" spans="1:33" s="227" customFormat="1" ht="14.25">
      <c r="A48" s="227" t="s">
        <v>850</v>
      </c>
      <c r="C48" s="220"/>
      <c r="E48" s="227">
        <f>E45/E43</f>
        <v>0.20051027044310213</v>
      </c>
      <c r="G48" s="227">
        <f>G45/G43</f>
        <v>0.22250072240002711</v>
      </c>
      <c r="I48" s="227">
        <f>I45/I43</f>
        <v>0.24473075667862021</v>
      </c>
      <c r="K48" s="227">
        <f>K45/K43</f>
        <v>0.26719543672687707</v>
      </c>
      <c r="M48" s="227">
        <f>M45/M43</f>
        <v>0.28988931876822349</v>
      </c>
      <c r="O48" s="227">
        <f>O45/O43</f>
        <v>0.31280642565958811</v>
      </c>
      <c r="Q48" s="227">
        <f>Q45/Q43</f>
        <v>0.33594021962422094</v>
      </c>
      <c r="S48" s="227">
        <f>S45/S43</f>
        <v>0.35928357381459997</v>
      </c>
      <c r="U48" s="227">
        <f>U45/U43</f>
        <v>0.38282874265909816</v>
      </c>
      <c r="W48" s="227">
        <f>W45/W43</f>
        <v>0.40656733094428238</v>
      </c>
      <c r="Y48" s="227">
        <f>Y45/Y43</f>
        <v>0.43049026158293691</v>
      </c>
      <c r="AA48" s="227">
        <f>AA45/AA43</f>
        <v>0.45458774201598373</v>
      </c>
      <c r="AC48" s="227">
        <f>AC45/AC43</f>
        <v>0.47884922919453132</v>
      </c>
      <c r="AE48" s="227">
        <f>AE45/AE43</f>
        <v>0.50326339308623724</v>
      </c>
      <c r="AG48" s="227">
        <f>AG45/AG43</f>
        <v>0.52781807864808505</v>
      </c>
    </row>
    <row r="49" spans="1:34" s="228" customFormat="1" ht="14.25">
      <c r="A49" s="228" t="s">
        <v>848</v>
      </c>
      <c r="C49" s="229"/>
      <c r="E49" s="228">
        <f>E37/E43</f>
        <v>1.2005102704431021</v>
      </c>
      <c r="G49" s="228">
        <f>G37/G43</f>
        <v>1.2225007224000271</v>
      </c>
      <c r="I49" s="228">
        <f>I37/I43</f>
        <v>1.2447307566786201</v>
      </c>
      <c r="K49" s="228">
        <f>K37/K43</f>
        <v>1.267195436726877</v>
      </c>
      <c r="M49" s="228">
        <f>M37/M43</f>
        <v>1.2898893187682234</v>
      </c>
      <c r="O49" s="228">
        <f>O37/O43</f>
        <v>1.3128064256595882</v>
      </c>
      <c r="Q49" s="228">
        <f>Q37/Q43</f>
        <v>1.3359402196242209</v>
      </c>
      <c r="S49" s="228">
        <f>S37/S43</f>
        <v>1.3592835738145999</v>
      </c>
      <c r="U49" s="228">
        <f>U37/U43</f>
        <v>1.3828287426590982</v>
      </c>
      <c r="W49" s="228">
        <f>W37/W43</f>
        <v>1.4065673309442823</v>
      </c>
      <c r="Y49" s="228">
        <f>Y37/Y43</f>
        <v>1.4304902615829369</v>
      </c>
      <c r="AA49" s="228">
        <f>AA37/AA43</f>
        <v>1.4545877420159836</v>
      </c>
      <c r="AC49" s="228">
        <f>AC37/AC43</f>
        <v>1.4788492291945314</v>
      </c>
      <c r="AE49" s="228">
        <f>AE37/AE43</f>
        <v>1.5032633930862371</v>
      </c>
      <c r="AG49" s="228">
        <f>AG37/AG43</f>
        <v>1.5278180786480851</v>
      </c>
    </row>
    <row r="50" spans="1:34" s="210" customFormat="1" ht="14.25">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860</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15" t="s">
        <v>1181</v>
      </c>
      <c r="B52" s="2715"/>
      <c r="C52" s="2715"/>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852</v>
      </c>
      <c r="C53" s="954"/>
      <c r="E53" s="955"/>
      <c r="G53" s="951">
        <f>E53*$C$53</f>
        <v>0</v>
      </c>
      <c r="I53" s="951">
        <f>G53*$C$53</f>
        <v>0</v>
      </c>
      <c r="K53" s="951">
        <f>I53*$C$53</f>
        <v>0</v>
      </c>
      <c r="M53" s="951">
        <f>K53*$C$53</f>
        <v>0</v>
      </c>
      <c r="O53" s="951">
        <f>M53*$C$53</f>
        <v>0</v>
      </c>
      <c r="Q53" s="951">
        <f>O53*$C$53</f>
        <v>0</v>
      </c>
      <c r="S53" s="951">
        <f>Q53*$C$53</f>
        <v>0</v>
      </c>
      <c r="U53" s="951">
        <f>S53*$C$53</f>
        <v>0</v>
      </c>
      <c r="W53" s="951">
        <f>U53*$C$53</f>
        <v>0</v>
      </c>
      <c r="Y53" s="951">
        <f>W53*$C$53</f>
        <v>0</v>
      </c>
      <c r="AA53" s="951">
        <f>Y53*$C$53</f>
        <v>0</v>
      </c>
      <c r="AC53" s="951">
        <f>AA53*$C$53</f>
        <v>0</v>
      </c>
      <c r="AE53" s="951">
        <f>AC53*$C$53</f>
        <v>0</v>
      </c>
      <c r="AG53" s="951">
        <f>AE53*$C$53</f>
        <v>0</v>
      </c>
    </row>
    <row r="54" spans="1:34" s="3" customFormat="1">
      <c r="A54" s="3" t="s">
        <v>853</v>
      </c>
      <c r="C54" s="949"/>
      <c r="E54" s="956"/>
      <c r="F54" s="951"/>
      <c r="G54" s="951">
        <f t="shared" ref="G54:AG57" si="1">E54*$C$53</f>
        <v>0</v>
      </c>
      <c r="H54" s="951"/>
      <c r="I54" s="951">
        <f t="shared" si="1"/>
        <v>0</v>
      </c>
      <c r="J54" s="951"/>
      <c r="K54" s="951">
        <f t="shared" si="1"/>
        <v>0</v>
      </c>
      <c r="L54" s="951"/>
      <c r="M54" s="951">
        <f t="shared" si="1"/>
        <v>0</v>
      </c>
      <c r="N54" s="951"/>
      <c r="O54" s="951">
        <f t="shared" si="1"/>
        <v>0</v>
      </c>
      <c r="P54" s="951"/>
      <c r="Q54" s="951">
        <f t="shared" si="1"/>
        <v>0</v>
      </c>
      <c r="R54" s="951"/>
      <c r="S54" s="951">
        <f t="shared" si="1"/>
        <v>0</v>
      </c>
      <c r="T54" s="951"/>
      <c r="U54" s="951">
        <f t="shared" si="1"/>
        <v>0</v>
      </c>
      <c r="V54" s="951"/>
      <c r="W54" s="951">
        <f t="shared" si="1"/>
        <v>0</v>
      </c>
      <c r="X54" s="951"/>
      <c r="Y54" s="951">
        <f t="shared" si="1"/>
        <v>0</v>
      </c>
      <c r="Z54" s="951"/>
      <c r="AA54" s="951">
        <f t="shared" si="1"/>
        <v>0</v>
      </c>
      <c r="AB54" s="951"/>
      <c r="AC54" s="951">
        <f t="shared" si="1"/>
        <v>0</v>
      </c>
      <c r="AD54" s="951"/>
      <c r="AE54" s="951">
        <f t="shared" si="1"/>
        <v>0</v>
      </c>
      <c r="AF54" s="951"/>
      <c r="AG54" s="951">
        <f t="shared" si="1"/>
        <v>0</v>
      </c>
      <c r="AH54" s="951"/>
    </row>
    <row r="55" spans="1:34" s="3" customFormat="1">
      <c r="A55" s="3" t="s">
        <v>854</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851</v>
      </c>
      <c r="C58" s="952"/>
      <c r="E58" s="951">
        <f>SUM(E53:E57)</f>
        <v>0</v>
      </c>
      <c r="F58" s="951"/>
      <c r="G58" s="951">
        <f>SUM(G53:G57)</f>
        <v>0</v>
      </c>
      <c r="H58" s="951"/>
      <c r="I58" s="951">
        <f>SUM(I53:I57)</f>
        <v>0</v>
      </c>
      <c r="J58" s="951"/>
      <c r="K58" s="951">
        <f>SUM(K53:K57)</f>
        <v>0</v>
      </c>
      <c r="L58" s="951"/>
      <c r="M58" s="951">
        <f>SUM(M53:M57)</f>
        <v>0</v>
      </c>
      <c r="N58" s="951"/>
      <c r="O58" s="951">
        <f>SUM(O53:O57)</f>
        <v>0</v>
      </c>
      <c r="P58" s="951"/>
      <c r="Q58" s="951">
        <f>SUM(Q53:Q57)</f>
        <v>0</v>
      </c>
      <c r="R58" s="951"/>
      <c r="S58" s="951">
        <f>SUM(S53:S57)</f>
        <v>0</v>
      </c>
      <c r="T58" s="951"/>
      <c r="U58" s="951">
        <f>SUM(U53:U57)</f>
        <v>0</v>
      </c>
      <c r="V58" s="951"/>
      <c r="W58" s="951">
        <f>SUM(W53:W57)</f>
        <v>0</v>
      </c>
      <c r="X58" s="951"/>
      <c r="Y58" s="951">
        <f>SUM(Y53:Y57)</f>
        <v>0</v>
      </c>
      <c r="Z58" s="951"/>
      <c r="AA58" s="951">
        <f>SUM(AA53:AA57)</f>
        <v>0</v>
      </c>
      <c r="AB58" s="951"/>
      <c r="AC58" s="951">
        <f>SUM(AC53:AC57)</f>
        <v>0</v>
      </c>
      <c r="AD58" s="951"/>
      <c r="AE58" s="951">
        <f>SUM(AE53:AE57)</f>
        <v>0</v>
      </c>
      <c r="AF58" s="951"/>
      <c r="AG58" s="951">
        <f>SUM(AG53:AG57)</f>
        <v>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856</v>
      </c>
      <c r="C60" s="960"/>
      <c r="E60" s="953">
        <f>E45-E58</f>
        <v>258367.91000000015</v>
      </c>
      <c r="G60" s="953">
        <f>G45-G58</f>
        <v>286703.75084999972</v>
      </c>
      <c r="I60" s="953">
        <f>I45-I58</f>
        <v>315348.30597974942</v>
      </c>
      <c r="K60" s="953">
        <f>K45-K58</f>
        <v>344295.21438529086</v>
      </c>
      <c r="M60" s="953">
        <f>M45-M58</f>
        <v>373537.46147743193</v>
      </c>
      <c r="O60" s="953">
        <f>O45-O58</f>
        <v>403067.34539651359</v>
      </c>
      <c r="Q60" s="953">
        <f>Q45-Q58</f>
        <v>432876.44187722914</v>
      </c>
      <c r="S60" s="953">
        <f>S45-S58</f>
        <v>462955.5676059504</v>
      </c>
      <c r="U60" s="953">
        <f>U45-U58</f>
        <v>493294.74201086629</v>
      </c>
      <c r="W60" s="953">
        <f>W45-W58</f>
        <v>523883.14742291695</v>
      </c>
      <c r="Y60" s="953">
        <f>Y45-Y58</f>
        <v>554709.08754321653</v>
      </c>
      <c r="AA60" s="953">
        <f>AA45-AA58</f>
        <v>585759.94415017986</v>
      </c>
      <c r="AC60" s="953">
        <f>AC45-AC58</f>
        <v>617022.13197707175</v>
      </c>
      <c r="AE60" s="953">
        <f>AE45-AE58</f>
        <v>648481.05168805714</v>
      </c>
      <c r="AG60" s="953">
        <f>AG45-AG58</f>
        <v>680121.04087814735</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855</v>
      </c>
      <c r="C62" s="950">
        <v>1</v>
      </c>
      <c r="E62" s="955">
        <f>E60*$C$62</f>
        <v>258367.91000000015</v>
      </c>
      <c r="G62" s="953">
        <f>G60*$C$62</f>
        <v>286703.75084999972</v>
      </c>
      <c r="I62" s="953">
        <f>I60*$C$62</f>
        <v>315348.30597974942</v>
      </c>
      <c r="K62" s="953">
        <f>K60*$C$62</f>
        <v>344295.21438529086</v>
      </c>
      <c r="M62" s="953">
        <f>M60*$C$62</f>
        <v>373537.46147743193</v>
      </c>
      <c r="O62" s="953">
        <f>O60*$C$62</f>
        <v>403067.34539651359</v>
      </c>
      <c r="Q62" s="953">
        <f>Q60*$C$62</f>
        <v>432876.44187722914</v>
      </c>
      <c r="S62" s="953">
        <f>S60*$C$62</f>
        <v>462955.5676059504</v>
      </c>
      <c r="U62" s="953">
        <f>U60*$C$62</f>
        <v>493294.74201086629</v>
      </c>
      <c r="W62" s="953">
        <f>W60*$C$62</f>
        <v>523883.14742291695</v>
      </c>
      <c r="Y62" s="953">
        <f>Y60*$C$62</f>
        <v>554709.08754321653</v>
      </c>
      <c r="AA62" s="953">
        <f>AA60*$C$62</f>
        <v>585759.94415017986</v>
      </c>
      <c r="AC62" s="953">
        <f>AC60*$C$62</f>
        <v>617022.13197707175</v>
      </c>
      <c r="AE62" s="953">
        <f>AE60*$C$62</f>
        <v>648481.05168805714</v>
      </c>
      <c r="AG62" s="953">
        <f>AG60*$C$62</f>
        <v>680121.04087814735</v>
      </c>
    </row>
    <row r="63" spans="1:34" s="953" customFormat="1">
      <c r="A63" s="2715" t="s">
        <v>1181</v>
      </c>
      <c r="B63" s="2715"/>
      <c r="C63" s="2715"/>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859</v>
      </c>
      <c r="C65" s="950">
        <v>0</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c r="B66" s="955"/>
      <c r="C66" s="954"/>
      <c r="E66" s="955">
        <f>$E60*$C$65</f>
        <v>0</v>
      </c>
      <c r="G66" s="951">
        <f>G60*$C$65</f>
        <v>0</v>
      </c>
      <c r="I66" s="951">
        <f>I60*$C$65</f>
        <v>0</v>
      </c>
      <c r="K66" s="951">
        <f>K60*$C$65</f>
        <v>0</v>
      </c>
      <c r="M66" s="951">
        <f>M60*$C$65</f>
        <v>0</v>
      </c>
      <c r="O66" s="951">
        <f>O60*$C$65</f>
        <v>0</v>
      </c>
      <c r="Q66" s="951">
        <f>Q60*$C$65</f>
        <v>0</v>
      </c>
      <c r="S66" s="951">
        <f>S60*$C$65</f>
        <v>0</v>
      </c>
      <c r="U66" s="951">
        <f>U60*$C$65</f>
        <v>0</v>
      </c>
      <c r="W66" s="951">
        <f>W60*$C$65</f>
        <v>0</v>
      </c>
      <c r="Y66" s="951">
        <f>Y60*$C$65</f>
        <v>0</v>
      </c>
      <c r="AA66" s="951">
        <f>AA60*$C$65</f>
        <v>0</v>
      </c>
      <c r="AC66" s="951">
        <f>AC60*$C$65</f>
        <v>0</v>
      </c>
      <c r="AE66" s="951">
        <f>AE60*$C$65</f>
        <v>0</v>
      </c>
      <c r="AG66" s="951">
        <f>AG60*$C$65</f>
        <v>0</v>
      </c>
    </row>
    <row r="67" spans="1:34" s="951" customFormat="1">
      <c r="A67" s="956"/>
      <c r="B67" s="956"/>
      <c r="C67" s="961"/>
      <c r="E67" s="955">
        <f>$E60*$C$65</f>
        <v>0</v>
      </c>
      <c r="G67" s="951">
        <f>G60*$C$65</f>
        <v>0</v>
      </c>
      <c r="I67" s="951">
        <f>I60*$C$65</f>
        <v>0</v>
      </c>
      <c r="K67" s="951">
        <f>K60*$C$65</f>
        <v>0</v>
      </c>
      <c r="M67" s="951">
        <f>M60*$C$65</f>
        <v>0</v>
      </c>
      <c r="O67" s="951">
        <f>O60*$C$65</f>
        <v>0</v>
      </c>
      <c r="Q67" s="951">
        <f>Q60*$C$65</f>
        <v>0</v>
      </c>
      <c r="S67" s="951">
        <f>S60*$C$65</f>
        <v>0</v>
      </c>
      <c r="U67" s="951">
        <f>U60*$C$65</f>
        <v>0</v>
      </c>
      <c r="W67" s="951">
        <f>W60*$C$65</f>
        <v>0</v>
      </c>
      <c r="Y67" s="951">
        <f>Y60*$C$65</f>
        <v>0</v>
      </c>
      <c r="AA67" s="951">
        <f>AA60*$C$65</f>
        <v>0</v>
      </c>
      <c r="AC67" s="951">
        <f>AC60*$C$65</f>
        <v>0</v>
      </c>
      <c r="AE67" s="951">
        <f>AE60*$C$65</f>
        <v>0</v>
      </c>
      <c r="AG67" s="951">
        <f>AG60*$C$65</f>
        <v>0</v>
      </c>
    </row>
    <row r="68" spans="1:34" s="951" customFormat="1">
      <c r="A68" s="956"/>
      <c r="B68" s="956"/>
      <c r="C68" s="961"/>
      <c r="E68" s="956"/>
      <c r="G68" s="951">
        <f t="shared" ref="G68:AG69" si="2">E68*$C$66</f>
        <v>0</v>
      </c>
      <c r="I68" s="951">
        <f t="shared" si="2"/>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851</v>
      </c>
      <c r="C70" s="961"/>
      <c r="E70" s="951">
        <f>SUM(E66:E69)</f>
        <v>0</v>
      </c>
      <c r="G70" s="951">
        <f>SUM(G66:G69)</f>
        <v>0</v>
      </c>
      <c r="I70" s="951">
        <f>SUM(I66:I69)</f>
        <v>0</v>
      </c>
      <c r="K70" s="951">
        <f>SUM(K66:K69)</f>
        <v>0</v>
      </c>
      <c r="M70" s="951">
        <f>SUM(M66:M69)</f>
        <v>0</v>
      </c>
      <c r="O70" s="951">
        <f>SUM(O66:O69)</f>
        <v>0</v>
      </c>
      <c r="Q70" s="951">
        <f>SUM(Q66:Q69)</f>
        <v>0</v>
      </c>
      <c r="S70" s="951">
        <f>SUM(S66:S69)</f>
        <v>0</v>
      </c>
      <c r="U70" s="951">
        <f>SUM(U66:U69)</f>
        <v>0</v>
      </c>
      <c r="W70" s="951">
        <f>SUM(W66:W69)</f>
        <v>0</v>
      </c>
      <c r="Y70" s="951">
        <f>SUM(Y66:Y69)</f>
        <v>0</v>
      </c>
      <c r="AA70" s="951">
        <f>SUM(AA66:AA69)</f>
        <v>0</v>
      </c>
      <c r="AC70" s="951">
        <f>SUM(AC66:AC69)</f>
        <v>0</v>
      </c>
      <c r="AE70" s="951">
        <f>SUM(AE66:AE69)</f>
        <v>0</v>
      </c>
      <c r="AG70" s="951">
        <f>SUM(AG66:AG69)</f>
        <v>0</v>
      </c>
    </row>
    <row r="71" spans="1:34" s="951" customFormat="1">
      <c r="A71" s="953"/>
      <c r="C71" s="961"/>
    </row>
    <row r="72" spans="1:34" s="951" customFormat="1">
      <c r="A72" s="953" t="s">
        <v>1709</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1708</v>
      </c>
      <c r="C75" s="183"/>
    </row>
    <row r="76" spans="1:34" s="217" customFormat="1">
      <c r="C76" s="183"/>
    </row>
    <row r="77" spans="1:34" s="234" customFormat="1" ht="30" customHeight="1">
      <c r="A77" s="2713" t="s">
        <v>1707</v>
      </c>
      <c r="B77" s="2714"/>
      <c r="C77" s="2714"/>
      <c r="D77" s="2714"/>
      <c r="E77" s="2714"/>
      <c r="F77" s="2714"/>
      <c r="G77" s="2714"/>
      <c r="H77" s="2714"/>
      <c r="I77" s="2714"/>
      <c r="J77" s="2714"/>
      <c r="K77" s="2714"/>
      <c r="L77" s="2714"/>
      <c r="M77" s="2714"/>
      <c r="N77" s="2714"/>
      <c r="O77" s="2714"/>
      <c r="P77" s="2714"/>
      <c r="Q77" s="2714"/>
      <c r="R77" s="2714"/>
      <c r="S77" s="2714"/>
      <c r="T77" s="2714"/>
      <c r="U77" s="2714"/>
      <c r="V77" s="2714"/>
      <c r="W77" s="2714"/>
      <c r="X77" s="2714"/>
      <c r="Y77" s="2714"/>
      <c r="Z77" s="2714"/>
      <c r="AA77" s="2714"/>
      <c r="AB77" s="2714"/>
      <c r="AC77" s="2714"/>
      <c r="AD77" s="2714"/>
      <c r="AE77" s="2714"/>
      <c r="AF77" s="2714"/>
      <c r="AG77" s="2714"/>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75" zeroHeight="1"/>
  <cols>
    <col min="1" max="1" width="161.7109375" style="3" customWidth="1"/>
    <col min="2" max="16384" width="8.85546875" style="3" hidden="1"/>
  </cols>
  <sheetData>
    <row r="1" spans="1:1" ht="45">
      <c r="A1" s="1283" t="s">
        <v>969</v>
      </c>
    </row>
    <row r="2" spans="1:1" ht="15">
      <c r="A2" s="1284"/>
    </row>
    <row r="3" spans="1:1" ht="15">
      <c r="A3" s="1285" t="s">
        <v>964</v>
      </c>
    </row>
    <row r="4" spans="1:1" ht="15">
      <c r="A4" s="1285" t="s">
        <v>965</v>
      </c>
    </row>
    <row r="5" spans="1:1" ht="15">
      <c r="A5" s="1285" t="s">
        <v>966</v>
      </c>
    </row>
    <row r="6" spans="1:1" ht="15">
      <c r="A6" s="1285" t="s">
        <v>968</v>
      </c>
    </row>
    <row r="7" spans="1:1" ht="15">
      <c r="A7" s="1285" t="s">
        <v>967</v>
      </c>
    </row>
    <row r="8" spans="1:1" ht="15">
      <c r="A8" s="16" t="s">
        <v>1022</v>
      </c>
    </row>
    <row r="9" spans="1:1" ht="15">
      <c r="A9" s="1285" t="s">
        <v>1023</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topLeftCell="A50" workbookViewId="0">
      <selection activeCell="A69" sqref="A69"/>
    </sheetView>
  </sheetViews>
  <sheetFormatPr defaultColWidth="9.140625" defaultRowHeight="12.75" zeroHeight="1"/>
  <cols>
    <col min="1" max="1" width="35.7109375" style="204" customWidth="1"/>
    <col min="2" max="4" width="14.7109375" style="204" customWidth="1"/>
    <col min="5" max="5" width="50.7109375" style="204" customWidth="1"/>
    <col min="6" max="253" width="9.140625" style="204" customWidth="1"/>
    <col min="254" max="16384" width="9.140625" style="204"/>
  </cols>
  <sheetData>
    <row r="1" spans="1:6" s="275" customFormat="1" ht="18" customHeight="1">
      <c r="A1" s="509" t="s">
        <v>1214</v>
      </c>
      <c r="D1" s="280"/>
    </row>
    <row r="2" spans="1:6" s="275" customFormat="1">
      <c r="A2" s="259" t="s">
        <v>887</v>
      </c>
      <c r="B2" s="261"/>
      <c r="C2" s="261"/>
      <c r="D2" s="258"/>
      <c r="E2" s="262"/>
      <c r="F2" s="261"/>
    </row>
    <row r="3" spans="1:6" s="347" customFormat="1" ht="80.25" customHeight="1">
      <c r="A3" s="277"/>
      <c r="B3" s="263" t="s">
        <v>888</v>
      </c>
      <c r="C3" s="263" t="s">
        <v>889</v>
      </c>
      <c r="D3" s="263" t="s">
        <v>890</v>
      </c>
      <c r="E3" s="260" t="s">
        <v>891</v>
      </c>
      <c r="F3" s="260"/>
    </row>
    <row r="4" spans="1:6" s="348" customFormat="1">
      <c r="A4" s="264" t="s">
        <v>26</v>
      </c>
      <c r="B4" s="264"/>
      <c r="C4" s="264"/>
      <c r="D4" s="264"/>
      <c r="E4" s="282"/>
      <c r="F4" s="264"/>
    </row>
    <row r="5" spans="1:6" s="348" customFormat="1">
      <c r="A5" s="360" t="s">
        <v>27</v>
      </c>
      <c r="B5" s="266">
        <f>'Sources and Uses Budget'!$C4</f>
        <v>5041189</v>
      </c>
      <c r="C5" s="266">
        <f>'Sources and Uses Budget'!$C4</f>
        <v>5041189</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35000</v>
      </c>
      <c r="C7" s="266">
        <f>'Sources and Uses Budget'!$C6</f>
        <v>35000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591</v>
      </c>
      <c r="B9" s="270">
        <f>SUM(B5:B8)</f>
        <v>5076189</v>
      </c>
      <c r="C9" s="270">
        <f>SUM(C5:C8)</f>
        <v>5076189</v>
      </c>
      <c r="D9" s="270">
        <f t="shared" si="0"/>
        <v>0</v>
      </c>
      <c r="E9" s="268"/>
      <c r="F9" s="267"/>
    </row>
    <row r="10" spans="1:6" s="348" customFormat="1">
      <c r="A10" s="360" t="s">
        <v>592</v>
      </c>
      <c r="B10" s="266">
        <f>'Sources and Uses Budget'!$C9</f>
        <v>0</v>
      </c>
      <c r="C10" s="266">
        <f>'Sources and Uses Budget'!$C9</f>
        <v>0</v>
      </c>
      <c r="D10" s="270">
        <f t="shared" si="0"/>
        <v>0</v>
      </c>
      <c r="E10" s="268"/>
      <c r="F10" s="267"/>
    </row>
    <row r="11" spans="1:6" s="348" customFormat="1">
      <c r="A11" s="360" t="s">
        <v>593</v>
      </c>
      <c r="B11" s="266">
        <f>'Sources and Uses Budget'!$C10</f>
        <v>0</v>
      </c>
      <c r="C11" s="266">
        <f>'Sources and Uses Budget'!$C10</f>
        <v>0</v>
      </c>
      <c r="D11" s="270">
        <f t="shared" si="0"/>
        <v>0</v>
      </c>
      <c r="E11" s="268"/>
      <c r="F11" s="267"/>
    </row>
    <row r="12" spans="1:6" s="348" customFormat="1">
      <c r="A12" s="361" t="s">
        <v>594</v>
      </c>
      <c r="B12" s="270">
        <f>SUM(B10:B11)</f>
        <v>0</v>
      </c>
      <c r="C12" s="270">
        <f>SUM(C10:C11)</f>
        <v>0</v>
      </c>
      <c r="D12" s="270">
        <f t="shared" si="0"/>
        <v>0</v>
      </c>
      <c r="E12" s="268"/>
      <c r="F12" s="267"/>
    </row>
    <row r="13" spans="1:6" s="348" customFormat="1">
      <c r="A13" s="361" t="s">
        <v>84</v>
      </c>
      <c r="B13" s="270">
        <f>SUM(B9+B12)</f>
        <v>5076189</v>
      </c>
      <c r="C13" s="270">
        <f>SUM(C9+C12)</f>
        <v>5076189</v>
      </c>
      <c r="D13" s="270">
        <f t="shared" si="0"/>
        <v>0</v>
      </c>
      <c r="E13" s="268"/>
      <c r="F13" s="267"/>
    </row>
    <row r="14" spans="1:6" s="348" customFormat="1">
      <c r="A14" s="362" t="s">
        <v>900</v>
      </c>
      <c r="B14" s="266">
        <f>'Sources and Uses Budget'!$C13</f>
        <v>0</v>
      </c>
      <c r="C14" s="266">
        <f>'Sources and Uses Budget'!$C13</f>
        <v>0</v>
      </c>
      <c r="D14" s="270">
        <f t="shared" si="0"/>
        <v>0</v>
      </c>
      <c r="E14" s="268"/>
      <c r="F14" s="267"/>
    </row>
    <row r="15" spans="1:6" s="348" customFormat="1" ht="24">
      <c r="A15" s="360" t="s">
        <v>901</v>
      </c>
      <c r="B15" s="266">
        <f>'Sources and Uses Budget'!$C14</f>
        <v>0</v>
      </c>
      <c r="C15" s="266">
        <f>'Sources and Uses Budget'!$C14</f>
        <v>0</v>
      </c>
      <c r="D15" s="270">
        <f t="shared" si="0"/>
        <v>0</v>
      </c>
      <c r="E15" s="268"/>
      <c r="F15" s="267"/>
    </row>
    <row r="16" spans="1:6" s="348" customFormat="1">
      <c r="A16" s="360" t="s">
        <v>1158</v>
      </c>
      <c r="B16" s="266">
        <f>'Sources and Uses Budget'!$C15</f>
        <v>0</v>
      </c>
      <c r="C16" s="266">
        <f>'Sources and Uses Budget'!$C15</f>
        <v>0</v>
      </c>
      <c r="D16" s="270">
        <f t="shared" si="0"/>
        <v>0</v>
      </c>
      <c r="E16" s="268"/>
      <c r="F16" s="267"/>
    </row>
    <row r="17" spans="1:6" s="348" customFormat="1">
      <c r="A17" s="264" t="s">
        <v>595</v>
      </c>
      <c r="B17" s="264"/>
      <c r="C17" s="264"/>
      <c r="D17" s="264"/>
      <c r="E17" s="282"/>
      <c r="F17" s="264"/>
    </row>
    <row r="18" spans="1:6" s="348" customFormat="1">
      <c r="A18" s="145" t="s">
        <v>596</v>
      </c>
      <c r="B18" s="266">
        <f>'Sources and Uses Budget'!$C17</f>
        <v>0</v>
      </c>
      <c r="C18" s="266">
        <f>'Sources and Uses Budget'!$C17</f>
        <v>0</v>
      </c>
      <c r="D18" s="270">
        <f t="shared" si="0"/>
        <v>0</v>
      </c>
      <c r="E18" s="268"/>
      <c r="F18" s="267"/>
    </row>
    <row r="19" spans="1:6" s="348" customFormat="1">
      <c r="A19" s="145" t="s">
        <v>597</v>
      </c>
      <c r="B19" s="266">
        <f>'Sources and Uses Budget'!$C18</f>
        <v>0</v>
      </c>
      <c r="C19" s="266">
        <f>'Sources and Uses Budget'!$C18</f>
        <v>0</v>
      </c>
      <c r="D19" s="270">
        <f t="shared" si="0"/>
        <v>0</v>
      </c>
      <c r="E19" s="268"/>
      <c r="F19" s="267"/>
    </row>
    <row r="20" spans="1:6" s="348" customFormat="1">
      <c r="A20" s="145" t="s">
        <v>598</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1626</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c r="A29" s="264" t="s">
        <v>142</v>
      </c>
      <c r="B29" s="264"/>
      <c r="C29" s="264"/>
      <c r="D29" s="264"/>
      <c r="E29" s="282"/>
      <c r="F29" s="264"/>
    </row>
    <row r="30" spans="1:6" s="348" customFormat="1">
      <c r="A30" s="145" t="s">
        <v>596</v>
      </c>
      <c r="B30" s="266">
        <f>'Sources and Uses Budget'!$C29</f>
        <v>696500</v>
      </c>
      <c r="C30" s="266">
        <f>'Sources and Uses Budget'!$C29</f>
        <v>696500</v>
      </c>
      <c r="D30" s="270">
        <f t="shared" si="0"/>
        <v>0</v>
      </c>
      <c r="E30" s="268"/>
      <c r="F30" s="267"/>
    </row>
    <row r="31" spans="1:6" s="348" customFormat="1">
      <c r="A31" s="145" t="s">
        <v>597</v>
      </c>
      <c r="B31" s="266">
        <f>'Sources and Uses Budget'!$C30</f>
        <v>41898292</v>
      </c>
      <c r="C31" s="266">
        <f>'Sources and Uses Budget'!$C30</f>
        <v>41898292</v>
      </c>
      <c r="D31" s="270">
        <f t="shared" si="0"/>
        <v>0</v>
      </c>
      <c r="E31" s="268"/>
      <c r="F31" s="267"/>
    </row>
    <row r="32" spans="1:6" s="348" customFormat="1">
      <c r="A32" s="145" t="s">
        <v>598</v>
      </c>
      <c r="B32" s="266">
        <f>'Sources and Uses Budget'!$C31</f>
        <v>2981636</v>
      </c>
      <c r="C32" s="266">
        <f>'Sources and Uses Budget'!$C31</f>
        <v>2981636</v>
      </c>
      <c r="D32" s="270">
        <f t="shared" si="0"/>
        <v>0</v>
      </c>
      <c r="E32" s="268"/>
      <c r="F32" s="267"/>
    </row>
    <row r="33" spans="1:6" s="348" customFormat="1">
      <c r="A33" s="145" t="s">
        <v>137</v>
      </c>
      <c r="B33" s="266">
        <f>'Sources and Uses Budget'!$C32</f>
        <v>1277844</v>
      </c>
      <c r="C33" s="266">
        <f>'Sources and Uses Budget'!$C32</f>
        <v>1277844</v>
      </c>
      <c r="D33" s="270">
        <f t="shared" si="0"/>
        <v>0</v>
      </c>
      <c r="E33" s="268"/>
      <c r="F33" s="267"/>
    </row>
    <row r="34" spans="1:6" s="348" customFormat="1">
      <c r="A34" s="145" t="s">
        <v>138</v>
      </c>
      <c r="B34" s="266">
        <f>'Sources and Uses Budget'!$C33</f>
        <v>1703792</v>
      </c>
      <c r="C34" s="266">
        <f>'Sources and Uses Budget'!$C33</f>
        <v>1703792</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613046</v>
      </c>
      <c r="C36" s="266">
        <f>'Sources and Uses Budget'!$C35</f>
        <v>613046</v>
      </c>
      <c r="D36" s="270">
        <f t="shared" si="0"/>
        <v>0</v>
      </c>
      <c r="E36" s="268"/>
      <c r="F36" s="267"/>
    </row>
    <row r="37" spans="1:6" s="348" customFormat="1">
      <c r="A37" s="283" t="s">
        <v>1626</v>
      </c>
      <c r="B37" s="266">
        <f>'Sources and Uses Budget'!$C36</f>
        <v>225000</v>
      </c>
      <c r="C37" s="266">
        <f>'Sources and Uses Budget'!$C36</f>
        <v>225000</v>
      </c>
      <c r="D37" s="270"/>
      <c r="E37" s="268"/>
      <c r="F37" s="267"/>
    </row>
    <row r="38" spans="1:6" s="348" customFormat="1">
      <c r="A38" s="155" t="str">
        <f>'Sources and Uses Budget'!A37</f>
        <v>Other: Payment &amp; Performance Bond</v>
      </c>
      <c r="B38" s="266">
        <f>'Sources and Uses Budget'!$C37</f>
        <v>485581</v>
      </c>
      <c r="C38" s="266">
        <f>'Sources and Uses Budget'!$C37</f>
        <v>485581</v>
      </c>
      <c r="D38" s="270">
        <f t="shared" si="0"/>
        <v>0</v>
      </c>
      <c r="E38" s="268"/>
      <c r="F38" s="267"/>
    </row>
    <row r="39" spans="1:6" s="348" customFormat="1">
      <c r="A39" s="271" t="s">
        <v>143</v>
      </c>
      <c r="B39" s="270">
        <f>SUM(B30:B38)</f>
        <v>49881691</v>
      </c>
      <c r="C39" s="270">
        <f>SUM(C30:C38)</f>
        <v>49881691</v>
      </c>
      <c r="D39" s="270">
        <f t="shared" si="0"/>
        <v>0</v>
      </c>
      <c r="E39" s="268"/>
      <c r="F39" s="267"/>
    </row>
    <row r="40" spans="1:6" s="348" customFormat="1">
      <c r="A40" s="264" t="s">
        <v>144</v>
      </c>
      <c r="B40" s="264"/>
      <c r="C40" s="264"/>
      <c r="D40" s="264"/>
      <c r="E40" s="282"/>
      <c r="F40" s="264"/>
    </row>
    <row r="41" spans="1:6" s="348" customFormat="1">
      <c r="A41" s="269" t="s">
        <v>145</v>
      </c>
      <c r="B41" s="266">
        <f>'Sources and Uses Budget'!$C40</f>
        <v>1842841</v>
      </c>
      <c r="C41" s="266">
        <f>'Sources and Uses Budget'!$C40</f>
        <v>1842841</v>
      </c>
      <c r="D41" s="270">
        <f t="shared" si="0"/>
        <v>0</v>
      </c>
      <c r="E41" s="268"/>
      <c r="F41" s="267"/>
    </row>
    <row r="42" spans="1:6" s="348" customFormat="1">
      <c r="A42" s="269" t="s">
        <v>146</v>
      </c>
      <c r="B42" s="266">
        <f>'Sources and Uses Budget'!$C41</f>
        <v>0</v>
      </c>
      <c r="C42" s="266">
        <f>'Sources and Uses Budget'!$C41</f>
        <v>0</v>
      </c>
      <c r="D42" s="270">
        <f t="shared" si="0"/>
        <v>0</v>
      </c>
      <c r="E42" s="268"/>
      <c r="F42" s="267"/>
    </row>
    <row r="43" spans="1:6" s="348" customFormat="1">
      <c r="A43" s="271" t="s">
        <v>147</v>
      </c>
      <c r="B43" s="270">
        <f>SUM(B41:B42)</f>
        <v>1842841</v>
      </c>
      <c r="C43" s="270">
        <f>SUM(C41:C42)</f>
        <v>1842841</v>
      </c>
      <c r="D43" s="270">
        <f t="shared" si="0"/>
        <v>0</v>
      </c>
      <c r="E43" s="268"/>
      <c r="F43" s="267"/>
    </row>
    <row r="44" spans="1:6" s="348" customFormat="1">
      <c r="A44" s="271" t="s">
        <v>148</v>
      </c>
      <c r="B44" s="266">
        <f>'Sources and Uses Budget'!$C43</f>
        <v>170140</v>
      </c>
      <c r="C44" s="266">
        <f>'Sources and Uses Budget'!$C43</f>
        <v>170140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4375760</v>
      </c>
      <c r="C46" s="266">
        <f>'Sources and Uses Budget'!$C45</f>
        <v>4375760</v>
      </c>
      <c r="D46" s="270">
        <f t="shared" si="0"/>
        <v>0</v>
      </c>
      <c r="E46" s="268"/>
      <c r="F46" s="267"/>
    </row>
    <row r="47" spans="1:6" s="348" customFormat="1">
      <c r="A47" s="145" t="s">
        <v>151</v>
      </c>
      <c r="B47" s="266">
        <f>'Sources and Uses Budget'!$C46</f>
        <v>401354</v>
      </c>
      <c r="C47" s="266">
        <f>'Sources and Uses Budget'!$C46</f>
        <v>401354</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353695</v>
      </c>
      <c r="C50" s="266">
        <f>'Sources and Uses Budget'!$C49</f>
        <v>353695</v>
      </c>
      <c r="D50" s="270">
        <f t="shared" si="0"/>
        <v>0</v>
      </c>
      <c r="E50" s="268"/>
      <c r="F50" s="267"/>
    </row>
    <row r="51" spans="1:6" s="348" customFormat="1">
      <c r="A51" s="145" t="s">
        <v>156</v>
      </c>
      <c r="B51" s="266">
        <f>'Sources and Uses Budget'!$C50</f>
        <v>100000</v>
      </c>
      <c r="C51" s="266">
        <f>'Sources and Uses Budget'!$C50</f>
        <v>100000</v>
      </c>
      <c r="D51" s="270">
        <f t="shared" si="0"/>
        <v>0</v>
      </c>
      <c r="E51" s="268"/>
      <c r="F51" s="267"/>
    </row>
    <row r="52" spans="1:6" s="348" customFormat="1">
      <c r="A52" s="283" t="s">
        <v>154</v>
      </c>
      <c r="B52" s="266">
        <f>'Sources and Uses Budget'!$C51</f>
        <v>100000</v>
      </c>
      <c r="C52" s="266">
        <f>'Sources and Uses Budget'!$C51</f>
        <v>100000</v>
      </c>
      <c r="D52" s="270">
        <f t="shared" si="0"/>
        <v>0</v>
      </c>
      <c r="E52" s="268"/>
      <c r="F52" s="267"/>
    </row>
    <row r="53" spans="1:6" s="348" customFormat="1">
      <c r="A53" s="145" t="s">
        <v>155</v>
      </c>
      <c r="B53" s="266">
        <f>'Sources and Uses Budget'!$C52</f>
        <v>634700</v>
      </c>
      <c r="C53" s="266">
        <f>'Sources and Uses Budget'!$C52</f>
        <v>634700</v>
      </c>
      <c r="D53" s="270">
        <f t="shared" si="0"/>
        <v>0</v>
      </c>
      <c r="E53" s="268"/>
      <c r="F53" s="267"/>
    </row>
    <row r="54" spans="1:6" s="348" customFormat="1" ht="24">
      <c r="A54" s="155" t="str">
        <f>'Sources and Uses Budget'!A53</f>
        <v>Other: Accrued &amp; Deferred Soft Loan Interest</v>
      </c>
      <c r="B54" s="266">
        <f>'Sources and Uses Budget'!$C53</f>
        <v>1285355</v>
      </c>
      <c r="C54" s="266">
        <f>'Sources and Uses Budget'!$C53</f>
        <v>1285355</v>
      </c>
      <c r="D54" s="270">
        <f t="shared" si="0"/>
        <v>0</v>
      </c>
      <c r="E54" s="268"/>
      <c r="F54" s="267"/>
    </row>
    <row r="55" spans="1:6" s="349" customFormat="1">
      <c r="A55" s="271" t="s">
        <v>157</v>
      </c>
      <c r="B55" s="273">
        <f>SUM(B46:B54)</f>
        <v>7250864</v>
      </c>
      <c r="C55" s="273">
        <f>SUM(C46:C54)</f>
        <v>7250864</v>
      </c>
      <c r="D55" s="270">
        <f t="shared" si="0"/>
        <v>0</v>
      </c>
      <c r="E55" s="268"/>
      <c r="F55" s="267"/>
    </row>
    <row r="56" spans="1:6" s="348" customFormat="1">
      <c r="A56" s="264" t="s">
        <v>417</v>
      </c>
      <c r="B56" s="264"/>
      <c r="C56" s="264"/>
      <c r="D56" s="264"/>
      <c r="E56" s="282"/>
      <c r="F56" s="264"/>
    </row>
    <row r="57" spans="1:6" s="348" customFormat="1">
      <c r="A57" s="269" t="s">
        <v>158</v>
      </c>
      <c r="B57" s="266">
        <f>'Sources and Uses Budget'!$C56</f>
        <v>205470</v>
      </c>
      <c r="C57" s="266">
        <f>'Sources and Uses Budget'!$C56</f>
        <v>205470</v>
      </c>
      <c r="D57" s="270">
        <f t="shared" si="0"/>
        <v>0</v>
      </c>
      <c r="E57" s="268"/>
      <c r="F57" s="267"/>
    </row>
    <row r="58" spans="1:6" s="348" customFormat="1" ht="12" customHeight="1">
      <c r="A58" s="269" t="s">
        <v>152</v>
      </c>
      <c r="B58" s="266">
        <f>'Sources and Uses Budget'!$C57</f>
        <v>0</v>
      </c>
      <c r="C58" s="266">
        <f>'Sources and Uses Budget'!$C57</f>
        <v>0</v>
      </c>
      <c r="D58" s="270">
        <f t="shared" si="0"/>
        <v>0</v>
      </c>
      <c r="E58" s="268"/>
      <c r="F58" s="267"/>
    </row>
    <row r="59" spans="1:6" s="348" customFormat="1">
      <c r="A59" s="269" t="s">
        <v>156</v>
      </c>
      <c r="B59" s="266">
        <f>'Sources and Uses Budget'!$C58</f>
        <v>5000</v>
      </c>
      <c r="C59" s="266">
        <f>'Sources and Uses Budget'!$C58</f>
        <v>5000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ht="25.5">
      <c r="A62" s="1009" t="str">
        <f>'Sources and Uses Budget'!A61</f>
        <v>Other: Permanent Loan Conversion Fee + Permanent Loan Legal</v>
      </c>
      <c r="B62" s="266">
        <f>'Sources and Uses Budget'!$C61</f>
        <v>20000</v>
      </c>
      <c r="C62" s="266">
        <f>'Sources and Uses Budget'!$C61</f>
        <v>20000</v>
      </c>
      <c r="D62" s="270">
        <f t="shared" si="0"/>
        <v>0</v>
      </c>
      <c r="E62" s="268"/>
      <c r="F62" s="267"/>
    </row>
    <row r="63" spans="1:6" s="348" customFormat="1" ht="13.7" customHeight="1">
      <c r="A63" s="271" t="s">
        <v>300</v>
      </c>
      <c r="B63" s="270">
        <f>SUM(B57:B62)</f>
        <v>230470</v>
      </c>
      <c r="C63" s="270">
        <f>SUM(C57:C62)</f>
        <v>230470</v>
      </c>
      <c r="D63" s="270">
        <f t="shared" si="0"/>
        <v>0</v>
      </c>
      <c r="E63" s="268"/>
      <c r="F63" s="267"/>
    </row>
    <row r="64" spans="1:6" s="348" customFormat="1">
      <c r="A64" s="274" t="s">
        <v>301</v>
      </c>
      <c r="B64" s="270">
        <f>SUM(B9+B12+B14+B15+B17+B26+B28+B39+B43+B44+B55+B63)</f>
        <v>64452195</v>
      </c>
      <c r="C64" s="270">
        <f>SUM(C9+C12+C14+C15+C17+C26+C28+C39+C43+C44+C55+C63)</f>
        <v>64452195</v>
      </c>
      <c r="D64" s="270">
        <f t="shared" si="0"/>
        <v>0</v>
      </c>
      <c r="E64" s="268"/>
      <c r="F64" s="267"/>
    </row>
    <row r="65" spans="1:6" s="348" customFormat="1" ht="24">
      <c r="A65" s="141" t="s">
        <v>1630</v>
      </c>
      <c r="B65" s="264"/>
      <c r="C65" s="264"/>
      <c r="D65" s="264"/>
      <c r="E65" s="282"/>
      <c r="F65" s="264"/>
    </row>
    <row r="66" spans="1:6" s="348" customFormat="1">
      <c r="A66" s="145" t="s">
        <v>170</v>
      </c>
      <c r="B66" s="266">
        <f>'Sources and Uses Budget'!$C65</f>
        <v>235000</v>
      </c>
      <c r="C66" s="266">
        <f>'Sources and Uses Budget'!$C65</f>
        <v>235000</v>
      </c>
      <c r="D66" s="270">
        <f t="shared" si="0"/>
        <v>0</v>
      </c>
      <c r="E66" s="268"/>
      <c r="F66" s="267"/>
    </row>
    <row r="67" spans="1:6" s="348" customFormat="1" ht="24">
      <c r="A67" s="283" t="s">
        <v>1627</v>
      </c>
      <c r="B67" s="266">
        <f>'Sources and Uses Budget'!$C66</f>
        <v>0</v>
      </c>
      <c r="C67" s="266">
        <f>'Sources and Uses Budget'!$C66</f>
        <v>0</v>
      </c>
      <c r="D67" s="270"/>
      <c r="E67" s="268"/>
      <c r="F67" s="267"/>
    </row>
    <row r="68" spans="1:6" s="348" customFormat="1" ht="24">
      <c r="A68" s="283" t="s">
        <v>1628</v>
      </c>
      <c r="B68" s="266">
        <f>'Sources and Uses Budget'!$C67</f>
        <v>0</v>
      </c>
      <c r="C68" s="266">
        <f>'Sources and Uses Budget'!$C67</f>
        <v>0</v>
      </c>
      <c r="D68" s="270"/>
      <c r="E68" s="268"/>
      <c r="F68" s="267"/>
    </row>
    <row r="69" spans="1:6" s="348" customFormat="1">
      <c r="A69" s="283" t="s">
        <v>1634</v>
      </c>
      <c r="B69" s="266">
        <f>'Sources and Uses Budget'!$C68</f>
        <v>0</v>
      </c>
      <c r="C69" s="266">
        <f>'Sources and Uses Budget'!$C68</f>
        <v>0</v>
      </c>
      <c r="D69" s="270"/>
      <c r="E69" s="268"/>
      <c r="F69" s="267"/>
    </row>
    <row r="70" spans="1:6" s="348" customFormat="1">
      <c r="A70" s="155" t="str">
        <f>'Sources and Uses Budget'!A69</f>
        <v xml:space="preserve">Other: </v>
      </c>
      <c r="B70" s="266">
        <f>'Sources and Uses Budget'!$C69</f>
        <v>0</v>
      </c>
      <c r="C70" s="266">
        <f>'Sources and Uses Budget'!$C69</f>
        <v>0</v>
      </c>
      <c r="D70" s="270">
        <f t="shared" si="0"/>
        <v>0</v>
      </c>
      <c r="E70" s="268"/>
      <c r="F70" s="267"/>
    </row>
    <row r="71" spans="1:6" s="348" customFormat="1">
      <c r="A71" s="149" t="s">
        <v>1631</v>
      </c>
      <c r="B71" s="270">
        <f>SUM(B66:B70)</f>
        <v>235000</v>
      </c>
      <c r="C71" s="270">
        <f>SUM(C66:C70)</f>
        <v>235000</v>
      </c>
      <c r="D71" s="270">
        <f t="shared" si="0"/>
        <v>0</v>
      </c>
      <c r="E71" s="268"/>
      <c r="F71" s="267"/>
    </row>
    <row r="72" spans="1:6" s="348" customFormat="1">
      <c r="A72" s="264" t="s">
        <v>600</v>
      </c>
      <c r="B72" s="264"/>
      <c r="C72" s="264"/>
      <c r="D72" s="264"/>
      <c r="E72" s="282"/>
      <c r="F72" s="264"/>
    </row>
    <row r="73" spans="1:6" s="348" customFormat="1">
      <c r="A73" s="269" t="s">
        <v>601</v>
      </c>
      <c r="B73" s="266">
        <f>'Sources and Uses Budget'!$C72</f>
        <v>0</v>
      </c>
      <c r="C73" s="266">
        <f>'Sources and Uses Budget'!$C72</f>
        <v>0</v>
      </c>
      <c r="D73" s="270">
        <f t="shared" si="0"/>
        <v>0</v>
      </c>
      <c r="E73" s="268"/>
      <c r="F73" s="267"/>
    </row>
    <row r="74" spans="1:6" s="348" customFormat="1">
      <c r="A74" s="269" t="s">
        <v>602</v>
      </c>
      <c r="B74" s="266">
        <f>'Sources and Uses Budget'!$C73</f>
        <v>0</v>
      </c>
      <c r="C74" s="266">
        <f>'Sources and Uses Budget'!$C73</f>
        <v>0</v>
      </c>
      <c r="D74" s="270">
        <f t="shared" si="0"/>
        <v>0</v>
      </c>
      <c r="E74" s="268"/>
      <c r="F74" s="267"/>
    </row>
    <row r="75" spans="1:6" s="348" customFormat="1">
      <c r="A75" s="287" t="s">
        <v>984</v>
      </c>
      <c r="B75" s="266">
        <f>'Sources and Uses Budget'!$C74</f>
        <v>0</v>
      </c>
      <c r="C75" s="266">
        <f>'Sources and Uses Budget'!$C74</f>
        <v>0</v>
      </c>
      <c r="D75" s="270">
        <f t="shared" si="0"/>
        <v>0</v>
      </c>
      <c r="E75" s="268"/>
      <c r="F75" s="267"/>
    </row>
    <row r="76" spans="1:6" s="348" customFormat="1">
      <c r="A76" s="269" t="s">
        <v>603</v>
      </c>
      <c r="B76" s="266">
        <f>'Sources and Uses Budget'!$C75</f>
        <v>957572</v>
      </c>
      <c r="C76" s="266">
        <f>'Sources and Uses Budget'!$C75</f>
        <v>957572</v>
      </c>
      <c r="D76" s="270">
        <f t="shared" si="0"/>
        <v>0</v>
      </c>
      <c r="E76" s="268"/>
      <c r="F76" s="267"/>
    </row>
    <row r="77" spans="1:6" s="348" customFormat="1">
      <c r="A77" s="272" t="s">
        <v>34</v>
      </c>
      <c r="B77" s="266">
        <f>'Sources and Uses Budget'!$C76</f>
        <v>80000</v>
      </c>
      <c r="C77" s="266">
        <f>'Sources and Uses Budget'!$C76</f>
        <v>80000</v>
      </c>
      <c r="D77" s="270">
        <f t="shared" si="0"/>
        <v>0</v>
      </c>
      <c r="E77" s="268"/>
      <c r="F77" s="267"/>
    </row>
    <row r="78" spans="1:6" s="348" customFormat="1">
      <c r="A78" s="271" t="s">
        <v>604</v>
      </c>
      <c r="B78" s="270">
        <f>SUM(B73:B77)</f>
        <v>1037572</v>
      </c>
      <c r="C78" s="270">
        <f>SUM(C73:C77)</f>
        <v>1037572</v>
      </c>
      <c r="D78" s="270">
        <f t="shared" ref="D78:D106" si="1">C78-B78</f>
        <v>0</v>
      </c>
      <c r="E78" s="268"/>
      <c r="F78" s="267"/>
    </row>
    <row r="79" spans="1:6" s="348" customFormat="1">
      <c r="A79" s="264" t="s">
        <v>1207</v>
      </c>
      <c r="B79" s="264"/>
      <c r="C79" s="264"/>
      <c r="D79" s="264"/>
      <c r="E79" s="282"/>
      <c r="F79" s="264"/>
    </row>
    <row r="80" spans="1:6" s="348" customFormat="1">
      <c r="A80" s="506" t="s">
        <v>1209</v>
      </c>
      <c r="B80" s="266">
        <f>'Sources and Uses Budget'!$C79</f>
        <v>3227684</v>
      </c>
      <c r="C80" s="266">
        <f>'Sources and Uses Budget'!$C79</f>
        <v>3227684</v>
      </c>
      <c r="D80" s="270">
        <f t="shared" si="1"/>
        <v>0</v>
      </c>
      <c r="E80" s="268"/>
      <c r="F80" s="267"/>
    </row>
    <row r="81" spans="1:6" s="348" customFormat="1">
      <c r="A81" s="506" t="s">
        <v>58</v>
      </c>
      <c r="B81" s="266">
        <f>'Sources and Uses Budget'!$C80</f>
        <v>638730</v>
      </c>
      <c r="C81" s="266">
        <f>'Sources and Uses Budget'!$C80</f>
        <v>638730</v>
      </c>
      <c r="D81" s="270">
        <f>C81-B81</f>
        <v>0</v>
      </c>
      <c r="E81" s="268"/>
      <c r="F81" s="267"/>
    </row>
    <row r="82" spans="1:6" s="348" customFormat="1">
      <c r="A82" s="271" t="s">
        <v>1206</v>
      </c>
      <c r="B82" s="270">
        <f>SUM(B80:B81)</f>
        <v>3866414</v>
      </c>
      <c r="C82" s="270">
        <f>SUM(C80:C81)</f>
        <v>3866414</v>
      </c>
      <c r="D82" s="270">
        <f t="shared" si="1"/>
        <v>0</v>
      </c>
      <c r="E82" s="268"/>
      <c r="F82" s="267"/>
    </row>
    <row r="83" spans="1:6" s="348" customFormat="1">
      <c r="A83" s="264" t="s">
        <v>763</v>
      </c>
      <c r="B83" s="264"/>
      <c r="C83" s="264"/>
      <c r="D83" s="264"/>
      <c r="E83" s="282"/>
      <c r="F83" s="264"/>
    </row>
    <row r="84" spans="1:6" s="348" customFormat="1" ht="13.7" customHeight="1">
      <c r="A84" s="269" t="s">
        <v>764</v>
      </c>
      <c r="B84" s="266">
        <f>'Sources and Uses Budget'!$C83</f>
        <v>115386</v>
      </c>
      <c r="C84" s="266">
        <f>'Sources and Uses Budget'!$C83</f>
        <v>115386</v>
      </c>
      <c r="D84" s="270">
        <f t="shared" si="1"/>
        <v>0</v>
      </c>
      <c r="E84" s="268"/>
      <c r="F84" s="267"/>
    </row>
    <row r="85" spans="1:6" s="348" customFormat="1">
      <c r="A85" s="269" t="s">
        <v>765</v>
      </c>
      <c r="B85" s="266">
        <f>'Sources and Uses Budget'!$C84</f>
        <v>150000</v>
      </c>
      <c r="C85" s="266">
        <f>'Sources and Uses Budget'!$C84</f>
        <v>150000</v>
      </c>
      <c r="D85" s="270">
        <f t="shared" si="1"/>
        <v>0</v>
      </c>
      <c r="E85" s="268"/>
      <c r="F85" s="267"/>
    </row>
    <row r="86" spans="1:6" s="348" customFormat="1">
      <c r="A86" s="269" t="s">
        <v>766</v>
      </c>
      <c r="B86" s="266">
        <f>'Sources and Uses Budget'!$C85</f>
        <v>926936</v>
      </c>
      <c r="C86" s="266">
        <f>'Sources and Uses Budget'!$C85</f>
        <v>926936</v>
      </c>
      <c r="D86" s="270">
        <f t="shared" si="1"/>
        <v>0</v>
      </c>
      <c r="E86" s="268"/>
      <c r="F86" s="267"/>
    </row>
    <row r="87" spans="1:6" s="348" customFormat="1">
      <c r="A87" s="269" t="s">
        <v>767</v>
      </c>
      <c r="B87" s="266">
        <f>'Sources and Uses Budget'!$C86</f>
        <v>892925</v>
      </c>
      <c r="C87" s="266">
        <f>'Sources and Uses Budget'!$C86</f>
        <v>892925</v>
      </c>
      <c r="D87" s="270">
        <f t="shared" si="1"/>
        <v>0</v>
      </c>
      <c r="E87" s="268"/>
      <c r="F87" s="267"/>
    </row>
    <row r="88" spans="1:6" s="348" customFormat="1">
      <c r="A88" s="269" t="s">
        <v>768</v>
      </c>
      <c r="B88" s="266">
        <f>'Sources and Uses Budget'!$C87</f>
        <v>0</v>
      </c>
      <c r="C88" s="266">
        <f>'Sources and Uses Budget'!$C87</f>
        <v>0</v>
      </c>
      <c r="D88" s="270">
        <f t="shared" si="1"/>
        <v>0</v>
      </c>
      <c r="E88" s="268"/>
      <c r="F88" s="267"/>
    </row>
    <row r="89" spans="1:6" s="348" customFormat="1">
      <c r="A89" s="269" t="s">
        <v>769</v>
      </c>
      <c r="B89" s="266">
        <f>'Sources and Uses Budget'!$C88</f>
        <v>172000</v>
      </c>
      <c r="C89" s="266">
        <f>'Sources and Uses Budget'!$C88</f>
        <v>172000</v>
      </c>
      <c r="D89" s="270">
        <f t="shared" si="1"/>
        <v>0</v>
      </c>
      <c r="E89" s="268"/>
      <c r="F89" s="267"/>
    </row>
    <row r="90" spans="1:6" s="348" customFormat="1">
      <c r="A90" s="269" t="s">
        <v>770</v>
      </c>
      <c r="B90" s="266">
        <f>'Sources and Uses Budget'!$C89</f>
        <v>250000</v>
      </c>
      <c r="C90" s="266">
        <f>'Sources and Uses Budget'!$C89</f>
        <v>250000</v>
      </c>
      <c r="D90" s="270">
        <f t="shared" si="1"/>
        <v>0</v>
      </c>
      <c r="E90" s="268"/>
      <c r="F90" s="267"/>
    </row>
    <row r="91" spans="1:6" s="348" customFormat="1">
      <c r="A91" s="269" t="s">
        <v>771</v>
      </c>
      <c r="B91" s="266">
        <f>'Sources and Uses Budget'!$C90</f>
        <v>15000</v>
      </c>
      <c r="C91" s="266">
        <f>'Sources and Uses Budget'!$C90</f>
        <v>15000</v>
      </c>
      <c r="D91" s="270">
        <f t="shared" si="1"/>
        <v>0</v>
      </c>
      <c r="E91" s="268"/>
      <c r="F91" s="267"/>
    </row>
    <row r="92" spans="1:6" s="348" customFormat="1">
      <c r="A92" s="269" t="s">
        <v>371</v>
      </c>
      <c r="B92" s="266">
        <f>'Sources and Uses Budget'!$C91</f>
        <v>0</v>
      </c>
      <c r="C92" s="266">
        <f>'Sources and Uses Budget'!$C91</f>
        <v>0</v>
      </c>
      <c r="D92" s="270">
        <f t="shared" si="1"/>
        <v>0</v>
      </c>
      <c r="E92" s="268"/>
      <c r="F92" s="267"/>
    </row>
    <row r="93" spans="1:6" s="348" customFormat="1">
      <c r="A93" s="506" t="s">
        <v>1208</v>
      </c>
      <c r="B93" s="266">
        <f>'Sources and Uses Budget'!$C92</f>
        <v>15000</v>
      </c>
      <c r="C93" s="266">
        <f>'Sources and Uses Budget'!$C92</f>
        <v>15000</v>
      </c>
      <c r="D93" s="270">
        <f t="shared" si="1"/>
        <v>0</v>
      </c>
      <c r="E93" s="268"/>
      <c r="F93" s="267"/>
    </row>
    <row r="94" spans="1:6" s="348" customFormat="1">
      <c r="A94" s="272" t="s">
        <v>34</v>
      </c>
      <c r="B94" s="266">
        <f>'Sources and Uses Budget'!$C93</f>
        <v>2208811</v>
      </c>
      <c r="C94" s="266">
        <f>'Sources and Uses Budget'!$C93</f>
        <v>2208811</v>
      </c>
      <c r="D94" s="270">
        <f t="shared" si="1"/>
        <v>0</v>
      </c>
      <c r="E94" s="268"/>
      <c r="F94" s="267"/>
    </row>
    <row r="95" spans="1:6" s="348" customFormat="1">
      <c r="A95" s="272" t="s">
        <v>34</v>
      </c>
      <c r="B95" s="266">
        <f>'Sources and Uses Budget'!$C94</f>
        <v>952744</v>
      </c>
      <c r="C95" s="266">
        <f>'Sources and Uses Budget'!$C94</f>
        <v>952744</v>
      </c>
      <c r="D95" s="270">
        <f t="shared" si="1"/>
        <v>0</v>
      </c>
      <c r="E95" s="268"/>
      <c r="F95" s="267"/>
    </row>
    <row r="96" spans="1:6" s="348" customFormat="1">
      <c r="A96" s="272" t="s">
        <v>34</v>
      </c>
      <c r="B96" s="266">
        <f>'Sources and Uses Budget'!$C95</f>
        <v>308929</v>
      </c>
      <c r="C96" s="266">
        <f>'Sources and Uses Budget'!$C95</f>
        <v>308929</v>
      </c>
      <c r="D96" s="270">
        <f t="shared" si="1"/>
        <v>0</v>
      </c>
      <c r="E96" s="268"/>
      <c r="F96" s="267"/>
    </row>
    <row r="97" spans="1:6" s="348" customFormat="1">
      <c r="A97" s="271" t="s">
        <v>772</v>
      </c>
      <c r="B97" s="270">
        <f>SUM(B84:B96)</f>
        <v>6007731</v>
      </c>
      <c r="C97" s="270">
        <f>SUM(C84:C96)</f>
        <v>6007731</v>
      </c>
      <c r="D97" s="270">
        <f t="shared" si="1"/>
        <v>0</v>
      </c>
      <c r="E97" s="268"/>
      <c r="F97" s="267"/>
    </row>
    <row r="98" spans="1:6" s="348" customFormat="1">
      <c r="A98" s="271" t="s">
        <v>773</v>
      </c>
      <c r="B98" s="270">
        <f>SUM(B64+B71+B78+B82+B97)</f>
        <v>75598912</v>
      </c>
      <c r="C98" s="270">
        <f>SUM(C64+C71+C78+C82+C97)</f>
        <v>75598912</v>
      </c>
      <c r="D98" s="270">
        <f t="shared" si="1"/>
        <v>0</v>
      </c>
      <c r="E98" s="268"/>
      <c r="F98" s="267"/>
    </row>
    <row r="99" spans="1:6" s="348" customFormat="1">
      <c r="A99" s="264" t="s">
        <v>774</v>
      </c>
      <c r="B99" s="264"/>
      <c r="C99" s="264"/>
      <c r="D99" s="264"/>
      <c r="E99" s="282"/>
      <c r="F99" s="264"/>
    </row>
    <row r="100" spans="1:6" s="348" customFormat="1">
      <c r="A100" s="145" t="s">
        <v>775</v>
      </c>
      <c r="B100" s="266">
        <f>'Sources and Uses Budget'!$C99</f>
        <v>9603409</v>
      </c>
      <c r="C100" s="266">
        <f>'Sources and Uses Budget'!$C99</f>
        <v>9603409</v>
      </c>
      <c r="D100" s="270">
        <f t="shared" si="1"/>
        <v>0</v>
      </c>
      <c r="E100" s="268"/>
      <c r="F100" s="267"/>
    </row>
    <row r="101" spans="1:6" s="348" customFormat="1">
      <c r="A101" s="283" t="s">
        <v>1632</v>
      </c>
      <c r="B101" s="266">
        <f>'Sources and Uses Budget'!$C100</f>
        <v>0</v>
      </c>
      <c r="C101" s="266">
        <f>'Sources and Uses Budget'!$C100</f>
        <v>0</v>
      </c>
      <c r="D101" s="270">
        <f t="shared" si="1"/>
        <v>0</v>
      </c>
      <c r="E101" s="268"/>
      <c r="F101" s="267"/>
    </row>
    <row r="102" spans="1:6" s="348" customFormat="1">
      <c r="A102" s="145" t="s">
        <v>776</v>
      </c>
      <c r="B102" s="266">
        <f>'Sources and Uses Budget'!$C101</f>
        <v>0</v>
      </c>
      <c r="C102" s="266">
        <f>'Sources and Uses Budget'!$C101</f>
        <v>0</v>
      </c>
      <c r="D102" s="270">
        <f t="shared" si="1"/>
        <v>0</v>
      </c>
      <c r="E102" s="268"/>
      <c r="F102" s="267"/>
    </row>
    <row r="103" spans="1:6" s="348" customFormat="1" ht="12" customHeight="1">
      <c r="A103" s="283" t="s">
        <v>1633</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777</v>
      </c>
      <c r="B105" s="270">
        <f>SUM(B100:B104)</f>
        <v>9603409</v>
      </c>
      <c r="C105" s="270">
        <f>SUM(C100:C104)</f>
        <v>9603409</v>
      </c>
      <c r="D105" s="270">
        <f t="shared" si="1"/>
        <v>0</v>
      </c>
      <c r="E105" s="268"/>
      <c r="F105" s="267"/>
    </row>
    <row r="106" spans="1:6" s="348" customFormat="1">
      <c r="A106" s="271" t="s">
        <v>778</v>
      </c>
      <c r="B106" s="273">
        <f>SUM(B98+B105)</f>
        <v>85202321</v>
      </c>
      <c r="C106" s="273">
        <f>SUM(C98+C105)</f>
        <v>85202321</v>
      </c>
      <c r="D106" s="270">
        <f t="shared" si="1"/>
        <v>0</v>
      </c>
      <c r="E106" s="268"/>
      <c r="F106" s="267"/>
    </row>
    <row r="107" spans="1:6" s="348" customFormat="1">
      <c r="A107" s="277" t="s">
        <v>779</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Ben Noury</cp:lastModifiedBy>
  <cp:lastPrinted>2024-12-09T20:28:29Z</cp:lastPrinted>
  <dcterms:created xsi:type="dcterms:W3CDTF">2007-12-27T18:26:28Z</dcterms:created>
  <dcterms:modified xsi:type="dcterms:W3CDTF">2026-09-03T22:37:17Z</dcterms:modified>
</cp:coreProperties>
</file>